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INDOWS\Desktop\OBSERVACIONES EXP TECN. BAJO PITOCUNA V3\01. EXP. TECN. CC. BAJO PITOCUNA FINAL\04. Planilla de metrados ✔ok\04.01. SISTEMA DE AGUA POTABLE ok\"/>
    </mc:Choice>
  </mc:AlternateContent>
  <xr:revisionPtr revIDLastSave="0" documentId="13_ncr:1_{E3C4085D-E940-4DA3-B604-06BB057F741D}" xr6:coauthVersionLast="47" xr6:coauthVersionMax="47" xr10:uidLastSave="{00000000-0000-0000-0000-000000000000}"/>
  <bookViews>
    <workbookView xWindow="-120" yWindow="-120" windowWidth="20730" windowHeight="11160" tabRatio="900" firstSheet="2" activeTab="7" xr2:uid="{00000000-000D-0000-FFFF-FFFF00000000}"/>
  </bookViews>
  <sheets>
    <sheet name="1.1 MIT. AMB." sheetId="25" r:id="rId1"/>
    <sheet name="1.2 CAP. T- LADERA" sheetId="26" r:id="rId2"/>
    <sheet name="1.2 MET. DE ACERO" sheetId="27" r:id="rId3"/>
    <sheet name="1.3 L-COND." sheetId="28" r:id="rId4"/>
    <sheet name="1.4 RESERV. 5M3" sheetId="29" r:id="rId5"/>
    <sheet name="1.4 METR.ACERO 5M3" sheetId="30" r:id="rId6"/>
    <sheet name="1.5 L-ADUCC." sheetId="31" r:id="rId7"/>
    <sheet name="1.6 RED DE DISTRIB." sheetId="32" r:id="rId8"/>
    <sheet name="1.7 VALV-AIRE" sheetId="33" r:id="rId9"/>
    <sheet name="1.8. VALV-PURGA T-1" sheetId="34" r:id="rId10"/>
    <sheet name="1.8.1 M.ACERO T-01" sheetId="35" r:id="rId11"/>
    <sheet name="1.8.2 VALV-PURGA T-2" sheetId="36" r:id="rId12"/>
    <sheet name="1.8 M-ACERO T-02" sheetId="37" r:id="rId13"/>
    <sheet name="1.9 VALV-CONTROL" sheetId="51" r:id="rId14"/>
    <sheet name="1.9 M-Acero" sheetId="52" r:id="rId15"/>
    <sheet name="1.10 CRUCE AEREO 2.50 M" sheetId="38" r:id="rId16"/>
    <sheet name="1.11 TUB. ANCL. A PUENTE" sheetId="39" r:id="rId17"/>
    <sheet name="1.12 TUB. ANCL. ALCANT." sheetId="40" r:id="rId18"/>
    <sheet name="1.13 CONEX. DOMIC." sheetId="41" r:id="rId19"/>
    <sheet name="1.14 LAV. DOMIC." sheetId="42" r:id="rId20"/>
    <sheet name="1.14 M- ACERO LAV." sheetId="44" r:id="rId21"/>
    <sheet name="1.15 LAV. INICIAL." sheetId="45" r:id="rId22"/>
    <sheet name="1.15 METR- ACERO" sheetId="47" r:id="rId23"/>
    <sheet name="1.16 LAVAD. PRIMAR." sheetId="48" r:id="rId24"/>
    <sheet name="1.16 METR. ACERO" sheetId="50" r:id="rId25"/>
    <sheet name="Datos" sheetId="23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\A">#REF!</definedName>
    <definedName name="\aa">#REF!</definedName>
    <definedName name="\aaa">#REF!</definedName>
    <definedName name="\aaaa">#REF!</definedName>
    <definedName name="\activa">#REF!</definedName>
    <definedName name="\alcant">#REF!</definedName>
    <definedName name="\almace">#REF!</definedName>
    <definedName name="\b">#REF!</definedName>
    <definedName name="\bb">#REF!</definedName>
    <definedName name="\bbb">#REF!</definedName>
    <definedName name="\bbbb">#REF!</definedName>
    <definedName name="\bbbbb">#REF!</definedName>
    <definedName name="\bombe">#REF!</definedName>
    <definedName name="\capt">#REF!</definedName>
    <definedName name="\cond">#REF!</definedName>
    <definedName name="\cruda">#REF!</definedName>
    <definedName name="\d">#REF!</definedName>
    <definedName name="\Dato">#REF!</definedName>
    <definedName name="\dd">#REF!</definedName>
    <definedName name="\desa">#REF!</definedName>
    <definedName name="\Diag">#REF!</definedName>
    <definedName name="\e">#REF!</definedName>
    <definedName name="\lagu">#REF!</definedName>
    <definedName name="\m">#REF!</definedName>
    <definedName name="\medido">#REF!</definedName>
    <definedName name="\Metas">#REF!</definedName>
    <definedName name="\mm">#REF!</definedName>
    <definedName name="\mmm">#REF!</definedName>
    <definedName name="\mmmm">#REF!</definedName>
    <definedName name="\n">#REF!</definedName>
    <definedName name="\nn">#REF!</definedName>
    <definedName name="\nnn">#REF!</definedName>
    <definedName name="\nnnn">#REF!</definedName>
    <definedName name="\oferta">#REF!</definedName>
    <definedName name="\Pasiva">#REF!</definedName>
    <definedName name="\pobla">#REF!</definedName>
    <definedName name="\pre">#REF!</definedName>
    <definedName name="\prima">#REF!</definedName>
    <definedName name="\Q">#REF!</definedName>
    <definedName name="\QQ">#REF!</definedName>
    <definedName name="\QQQ">#REF!</definedName>
    <definedName name="\QQQQ">#REF!</definedName>
    <definedName name="\r">#REF!</definedName>
    <definedName name="\rr">#REF!</definedName>
    <definedName name="\rrrr">#REF!</definedName>
    <definedName name="\RRRRR">#REF!</definedName>
    <definedName name="\TOTAL">#REF!</definedName>
    <definedName name="\trata">#REF!</definedName>
    <definedName name="\tribu">#REF!</definedName>
    <definedName name="\tt">#REF!</definedName>
    <definedName name="\ttt">#REF!</definedName>
    <definedName name="\tttt">#REF!</definedName>
    <definedName name="\UsuarP">#REF!</definedName>
    <definedName name="__123Graph_A" hidden="1">[1]ConexDesa!$P$14:$P$43</definedName>
    <definedName name="__123Graph_AGraph1" hidden="1">[2]Poblacion!$D$31:$G$31</definedName>
    <definedName name="__123Graph_AGraph10" hidden="1">[1]ConduCruda!$O$11:$O$41</definedName>
    <definedName name="__123Graph_AGraph11" hidden="1">[1]Tratamiento!$T$11:$T$40</definedName>
    <definedName name="__123Graph_AGraph12" hidden="1">[3]ConduTratada!$O$12:$O$40</definedName>
    <definedName name="__123Graph_AGraph13" hidden="1">[1]Almacena!$P$15:$P$42</definedName>
    <definedName name="__123Graph_AGraph14" hidden="1">[1]ConexDomici!$Q$13:$Q$42</definedName>
    <definedName name="__123Graph_AGraph15" hidden="1">[1]PMedidores!$U$14:$U$43</definedName>
    <definedName name="__123Graph_AGraph16" hidden="1">'[3]Trat.AguasServ.'!$X$19:$X$46</definedName>
    <definedName name="__123Graph_AGraph17" hidden="1">[1]Emisores!$V$11:$V$40</definedName>
    <definedName name="__123Graph_AGraph18" hidden="1">[1]ConexDesa!$P$14:$P$43</definedName>
    <definedName name="__123Graph_AGraph2" hidden="1">[2]Poblacion!$D$108:$G$108</definedName>
    <definedName name="__123Graph_AGraph3" hidden="1">[2]Poblacion!$C$190:$F$190</definedName>
    <definedName name="__123Graph_AGraph4" hidden="1">[2]Poblacion!$C$262:$C$291</definedName>
    <definedName name="__123Graph_AGraph5" hidden="1">'[3]Demanda Activa Agua'!$S$14:$S$41</definedName>
    <definedName name="__123Graph_AGraph6" hidden="1">'[3]Demanda Pasiva Agua'!$S$14:$S$41</definedName>
    <definedName name="__123Graph_AGraph8" hidden="1">[1]Captacion!$S$11:$S$38</definedName>
    <definedName name="__123Graph_AGraph9" hidden="1">[3]PreTratamiento!$O$13:$O$43</definedName>
    <definedName name="__123Graph_B" hidden="1">[1]ConexDesa!$Q$14:$Q$43</definedName>
    <definedName name="__123Graph_BGraph1" hidden="1">[2]Poblacion!$D$32:$G$32</definedName>
    <definedName name="__123Graph_BGraph10" hidden="1">[1]ConduCruda!$P$11:$P$41</definedName>
    <definedName name="__123Graph_BGraph11" hidden="1">[1]Tratamiento!$U$11:$U$40</definedName>
    <definedName name="__123Graph_BGraph12" hidden="1">[3]ConduTratada!$P$12:$P$40</definedName>
    <definedName name="__123Graph_BGraph13" hidden="1">[1]Almacena!$Q$15:$Q$42</definedName>
    <definedName name="__123Graph_BGraph14" hidden="1">[1]ConexDomici!$R$13:$R$42</definedName>
    <definedName name="__123Graph_BGraph15" hidden="1">[1]PMedidores!$V$14:$V$43</definedName>
    <definedName name="__123Graph_BGraph16" hidden="1">'[3]Trat.AguasServ.'!$Y$19:$Y$46</definedName>
    <definedName name="__123Graph_BGraph17" hidden="1">[1]Emisores!$W$11:$W$40</definedName>
    <definedName name="__123Graph_BGraph18" hidden="1">[1]ConexDesa!$Q$14:$Q$43</definedName>
    <definedName name="__123Graph_BGraph2" hidden="1">[2]Poblacion!$D$109:$G$109</definedName>
    <definedName name="__123Graph_BGraph3" hidden="1">[2]Poblacion!$C$191:$F$191</definedName>
    <definedName name="__123Graph_BGraph4" hidden="1">[2]Poblacion!$D$262:$D$291</definedName>
    <definedName name="__123Graph_BGraph5" hidden="1">'[3]Demanda Activa Agua'!$R$14:$R$41</definedName>
    <definedName name="__123Graph_BGraph6" hidden="1">'[3]Demanda Pasiva Agua'!$R$14:$R$41</definedName>
    <definedName name="__123Graph_BGraph8" hidden="1">[1]Captacion!$T$11:$T$38</definedName>
    <definedName name="__123Graph_BGraph9" hidden="1">[3]PreTratamiento!$P$13:$P$43</definedName>
    <definedName name="__123Graph_CGraph1" hidden="1">[2]Poblacion!$D$33:$G$33</definedName>
    <definedName name="__123Graph_CGraph2" hidden="1">[2]Poblacion!$D$110:$G$110</definedName>
    <definedName name="__123Graph_CGraph3" hidden="1">[2]Poblacion!$C$192:$F$192</definedName>
    <definedName name="__123Graph_CGraph4" hidden="1">[2]Poblacion!$E$262:$E$291</definedName>
    <definedName name="__123Graph_DGraph1" hidden="1">[2]Poblacion!$D$34:$G$34</definedName>
    <definedName name="__123Graph_DGraph2" hidden="1">[2]Poblacion!$D$111:$G$111</definedName>
    <definedName name="__123Graph_DGraph3" hidden="1">[2]Poblacion!$C$193:$F$193</definedName>
    <definedName name="__123Graph_DGraph4" hidden="1">[2]Poblacion!$F$262:$F$291</definedName>
    <definedName name="__123Graph_EGraph1" hidden="1">[2]Poblacion!$D$35:$G$35</definedName>
    <definedName name="__123Graph_EGraph2" hidden="1">[2]Poblacion!$D$112:$G$112</definedName>
    <definedName name="__123Graph_EGraph3" hidden="1">[2]Poblacion!$C$194:$F$194</definedName>
    <definedName name="__123Graph_EGraph4" hidden="1">[2]Poblacion!$G$262:$G$291</definedName>
    <definedName name="__123Graph_FGraph1" hidden="1">[2]Poblacion!$D$36:$G$36</definedName>
    <definedName name="__123Graph_FGraph2" hidden="1">[2]Poblacion!$D$113:$G$113</definedName>
    <definedName name="__123Graph_FGraph3" hidden="1">[2]Poblacion!$C$195:$F$195</definedName>
    <definedName name="__123Graph_X" hidden="1">[1]ConexDesa!$O$14:$O$43</definedName>
    <definedName name="__123Graph_XGraph2" hidden="1">[2]Poblacion!$D$107:$G$107</definedName>
    <definedName name="__123Graph_XGraph3" hidden="1">[2]Poblacion!$C$189:$F$189</definedName>
    <definedName name="__123Graph_XGraph4" hidden="1">[2]Poblacion!$B$262:$B$291</definedName>
    <definedName name="__PP1" localSheetId="15">'[4]Red 12Piletas'!$E$99</definedName>
    <definedName name="__PP1" localSheetId="16">'[4]Red 12Piletas'!$E$99</definedName>
    <definedName name="__PP1" localSheetId="17">'[4]Red 12Piletas'!$E$99</definedName>
    <definedName name="__PP1" localSheetId="18">'[4]Red 12Piletas'!$E$99</definedName>
    <definedName name="__PP1" localSheetId="19">'[5]Red 12Piletas'!$E$99</definedName>
    <definedName name="__PP1" localSheetId="20">'[5]Red 12Piletas'!$E$99</definedName>
    <definedName name="__PP1" localSheetId="21">'[5]Red 12Piletas'!$E$99</definedName>
    <definedName name="__PP1" localSheetId="22">'[5]Red 12Piletas'!$E$99</definedName>
    <definedName name="__PP1" localSheetId="23">'[5]Red 12Piletas'!$E$99</definedName>
    <definedName name="__PP1" localSheetId="24">'[5]Red 12Piletas'!$E$99</definedName>
    <definedName name="__PP1" localSheetId="3">'[4]Red 12Piletas'!$E$99</definedName>
    <definedName name="__PP1" localSheetId="6">'[4]Red 12Piletas'!$E$99</definedName>
    <definedName name="__PP1" localSheetId="7">'[4]Red 12Piletas'!$E$99</definedName>
    <definedName name="__PP1" localSheetId="8">'[6]Red 12Piletas'!$E$99</definedName>
    <definedName name="__PP1" localSheetId="14">'[6]Red 12Piletas'!$E$99</definedName>
    <definedName name="__PP1" localSheetId="13">'[6]Red 12Piletas'!$E$99</definedName>
    <definedName name="__PP1">'[7]Red 12Piletas'!$E$99</definedName>
    <definedName name="__PP10" localSheetId="15">'[4]Red 12Piletas'!$E$127</definedName>
    <definedName name="__PP10" localSheetId="16">'[4]Red 12Piletas'!$E$127</definedName>
    <definedName name="__PP10" localSheetId="17">'[4]Red 12Piletas'!$E$127</definedName>
    <definedName name="__PP10" localSheetId="18">'[4]Red 12Piletas'!$E$127</definedName>
    <definedName name="__PP10" localSheetId="19">'[5]Red 12Piletas'!$E$127</definedName>
    <definedName name="__PP10" localSheetId="20">'[5]Red 12Piletas'!$E$127</definedName>
    <definedName name="__PP10" localSheetId="21">'[5]Red 12Piletas'!$E$127</definedName>
    <definedName name="__PP10" localSheetId="22">'[5]Red 12Piletas'!$E$127</definedName>
    <definedName name="__PP10" localSheetId="23">'[5]Red 12Piletas'!$E$127</definedName>
    <definedName name="__PP10" localSheetId="24">'[5]Red 12Piletas'!$E$127</definedName>
    <definedName name="__PP10" localSheetId="3">'[4]Red 12Piletas'!$E$127</definedName>
    <definedName name="__PP10" localSheetId="6">'[4]Red 12Piletas'!$E$127</definedName>
    <definedName name="__PP10" localSheetId="7">'[4]Red 12Piletas'!$E$127</definedName>
    <definedName name="__PP10" localSheetId="8">'[6]Red 12Piletas'!$E$127</definedName>
    <definedName name="__PP10" localSheetId="14">'[6]Red 12Piletas'!$E$127</definedName>
    <definedName name="__PP10" localSheetId="13">'[6]Red 12Piletas'!$E$127</definedName>
    <definedName name="__PP10">'[7]Red 12Piletas'!$E$127</definedName>
    <definedName name="__PP11" localSheetId="15">'[4]Red 12Piletas'!$E$131</definedName>
    <definedName name="__PP11" localSheetId="16">'[4]Red 12Piletas'!$E$131</definedName>
    <definedName name="__PP11" localSheetId="17">'[4]Red 12Piletas'!$E$131</definedName>
    <definedName name="__PP11" localSheetId="18">'[4]Red 12Piletas'!$E$131</definedName>
    <definedName name="__PP11" localSheetId="19">'[5]Red 12Piletas'!$E$131</definedName>
    <definedName name="__PP11" localSheetId="20">'[5]Red 12Piletas'!$E$131</definedName>
    <definedName name="__PP11" localSheetId="21">'[5]Red 12Piletas'!$E$131</definedName>
    <definedName name="__PP11" localSheetId="22">'[5]Red 12Piletas'!$E$131</definedName>
    <definedName name="__PP11" localSheetId="23">'[5]Red 12Piletas'!$E$131</definedName>
    <definedName name="__PP11" localSheetId="24">'[5]Red 12Piletas'!$E$131</definedName>
    <definedName name="__PP11" localSheetId="3">'[4]Red 12Piletas'!$E$131</definedName>
    <definedName name="__PP11" localSheetId="6">'[4]Red 12Piletas'!$E$131</definedName>
    <definedName name="__PP11" localSheetId="7">'[4]Red 12Piletas'!$E$131</definedName>
    <definedName name="__PP11" localSheetId="8">'[6]Red 12Piletas'!$E$131</definedName>
    <definedName name="__PP11" localSheetId="14">'[6]Red 12Piletas'!$E$131</definedName>
    <definedName name="__PP11" localSheetId="13">'[6]Red 12Piletas'!$E$131</definedName>
    <definedName name="__PP11">'[7]Red 12Piletas'!$E$131</definedName>
    <definedName name="__PP12" localSheetId="15">'[4]Red 12Piletas'!$E$135</definedName>
    <definedName name="__PP12" localSheetId="16">'[4]Red 12Piletas'!$E$135</definedName>
    <definedName name="__PP12" localSheetId="17">'[4]Red 12Piletas'!$E$135</definedName>
    <definedName name="__PP12" localSheetId="18">'[4]Red 12Piletas'!$E$135</definedName>
    <definedName name="__PP12" localSheetId="19">'[5]Red 12Piletas'!$E$135</definedName>
    <definedName name="__PP12" localSheetId="20">'[5]Red 12Piletas'!$E$135</definedName>
    <definedName name="__PP12" localSheetId="21">'[5]Red 12Piletas'!$E$135</definedName>
    <definedName name="__PP12" localSheetId="22">'[5]Red 12Piletas'!$E$135</definedName>
    <definedName name="__PP12" localSheetId="23">'[5]Red 12Piletas'!$E$135</definedName>
    <definedName name="__PP12" localSheetId="24">'[5]Red 12Piletas'!$E$135</definedName>
    <definedName name="__PP12" localSheetId="3">'[4]Red 12Piletas'!$E$135</definedName>
    <definedName name="__PP12" localSheetId="6">'[4]Red 12Piletas'!$E$135</definedName>
    <definedName name="__PP12" localSheetId="7">'[4]Red 12Piletas'!$E$135</definedName>
    <definedName name="__PP12" localSheetId="8">'[6]Red 12Piletas'!$E$135</definedName>
    <definedName name="__PP12" localSheetId="14">'[6]Red 12Piletas'!$E$135</definedName>
    <definedName name="__PP12" localSheetId="13">'[6]Red 12Piletas'!$E$135</definedName>
    <definedName name="__PP12">'[7]Red 12Piletas'!$E$135</definedName>
    <definedName name="__PP2" localSheetId="15">'[4]Red 12Piletas'!$E$102</definedName>
    <definedName name="__PP2" localSheetId="16">'[4]Red 12Piletas'!$E$102</definedName>
    <definedName name="__PP2" localSheetId="17">'[4]Red 12Piletas'!$E$102</definedName>
    <definedName name="__PP2" localSheetId="18">'[4]Red 12Piletas'!$E$102</definedName>
    <definedName name="__PP2" localSheetId="19">'[5]Red 12Piletas'!$E$102</definedName>
    <definedName name="__PP2" localSheetId="20">'[5]Red 12Piletas'!$E$102</definedName>
    <definedName name="__PP2" localSheetId="21">'[5]Red 12Piletas'!$E$102</definedName>
    <definedName name="__PP2" localSheetId="22">'[5]Red 12Piletas'!$E$102</definedName>
    <definedName name="__PP2" localSheetId="23">'[5]Red 12Piletas'!$E$102</definedName>
    <definedName name="__PP2" localSheetId="24">'[5]Red 12Piletas'!$E$102</definedName>
    <definedName name="__PP2" localSheetId="3">'[4]Red 12Piletas'!$E$102</definedName>
    <definedName name="__PP2" localSheetId="6">'[4]Red 12Piletas'!$E$102</definedName>
    <definedName name="__PP2" localSheetId="7">'[4]Red 12Piletas'!$E$102</definedName>
    <definedName name="__PP2" localSheetId="8">'[6]Red 12Piletas'!$E$102</definedName>
    <definedName name="__PP2" localSheetId="14">'[6]Red 12Piletas'!$E$102</definedName>
    <definedName name="__PP2" localSheetId="13">'[6]Red 12Piletas'!$E$102</definedName>
    <definedName name="__PP2">'[7]Red 12Piletas'!$E$102</definedName>
    <definedName name="__PP3" localSheetId="15">'[4]Red 12Piletas'!$E$105</definedName>
    <definedName name="__PP3" localSheetId="16">'[4]Red 12Piletas'!$E$105</definedName>
    <definedName name="__PP3" localSheetId="17">'[4]Red 12Piletas'!$E$105</definedName>
    <definedName name="__PP3" localSheetId="18">'[4]Red 12Piletas'!$E$105</definedName>
    <definedName name="__PP3" localSheetId="19">'[5]Red 12Piletas'!$E$105</definedName>
    <definedName name="__PP3" localSheetId="20">'[5]Red 12Piletas'!$E$105</definedName>
    <definedName name="__PP3" localSheetId="21">'[5]Red 12Piletas'!$E$105</definedName>
    <definedName name="__PP3" localSheetId="22">'[5]Red 12Piletas'!$E$105</definedName>
    <definedName name="__PP3" localSheetId="23">'[5]Red 12Piletas'!$E$105</definedName>
    <definedName name="__PP3" localSheetId="24">'[5]Red 12Piletas'!$E$105</definedName>
    <definedName name="__PP3" localSheetId="3">'[4]Red 12Piletas'!$E$105</definedName>
    <definedName name="__PP3" localSheetId="6">'[4]Red 12Piletas'!$E$105</definedName>
    <definedName name="__PP3" localSheetId="7">'[4]Red 12Piletas'!$E$105</definedName>
    <definedName name="__PP3" localSheetId="8">'[6]Red 12Piletas'!$E$105</definedName>
    <definedName name="__PP3" localSheetId="14">'[6]Red 12Piletas'!$E$105</definedName>
    <definedName name="__PP3" localSheetId="13">'[6]Red 12Piletas'!$E$105</definedName>
    <definedName name="__PP3">'[7]Red 12Piletas'!$E$105</definedName>
    <definedName name="__PP4" localSheetId="15">'[4]Red 12Piletas'!$E$108</definedName>
    <definedName name="__PP4" localSheetId="16">'[4]Red 12Piletas'!$E$108</definedName>
    <definedName name="__PP4" localSheetId="17">'[4]Red 12Piletas'!$E$108</definedName>
    <definedName name="__PP4" localSheetId="18">'[4]Red 12Piletas'!$E$108</definedName>
    <definedName name="__PP4" localSheetId="19">'[5]Red 12Piletas'!$E$108</definedName>
    <definedName name="__PP4" localSheetId="20">'[5]Red 12Piletas'!$E$108</definedName>
    <definedName name="__PP4" localSheetId="21">'[5]Red 12Piletas'!$E$108</definedName>
    <definedName name="__PP4" localSheetId="22">'[5]Red 12Piletas'!$E$108</definedName>
    <definedName name="__PP4" localSheetId="23">'[5]Red 12Piletas'!$E$108</definedName>
    <definedName name="__PP4" localSheetId="24">'[5]Red 12Piletas'!$E$108</definedName>
    <definedName name="__PP4" localSheetId="3">'[4]Red 12Piletas'!$E$108</definedName>
    <definedName name="__PP4" localSheetId="6">'[4]Red 12Piletas'!$E$108</definedName>
    <definedName name="__PP4" localSheetId="7">'[4]Red 12Piletas'!$E$108</definedName>
    <definedName name="__PP4" localSheetId="8">'[6]Red 12Piletas'!$E$108</definedName>
    <definedName name="__PP4" localSheetId="14">'[6]Red 12Piletas'!$E$108</definedName>
    <definedName name="__PP4" localSheetId="13">'[6]Red 12Piletas'!$E$108</definedName>
    <definedName name="__PP4">'[7]Red 12Piletas'!$E$108</definedName>
    <definedName name="__PP5" localSheetId="15">'[4]Red 12Piletas'!$E$112</definedName>
    <definedName name="__PP5" localSheetId="16">'[4]Red 12Piletas'!$E$112</definedName>
    <definedName name="__PP5" localSheetId="17">'[4]Red 12Piletas'!$E$112</definedName>
    <definedName name="__PP5" localSheetId="18">'[4]Red 12Piletas'!$E$112</definedName>
    <definedName name="__PP5" localSheetId="19">'[5]Red 12Piletas'!$E$112</definedName>
    <definedName name="__PP5" localSheetId="20">'[5]Red 12Piletas'!$E$112</definedName>
    <definedName name="__PP5" localSheetId="21">'[5]Red 12Piletas'!$E$112</definedName>
    <definedName name="__PP5" localSheetId="22">'[5]Red 12Piletas'!$E$112</definedName>
    <definedName name="__PP5" localSheetId="23">'[5]Red 12Piletas'!$E$112</definedName>
    <definedName name="__PP5" localSheetId="24">'[5]Red 12Piletas'!$E$112</definedName>
    <definedName name="__PP5" localSheetId="3">'[4]Red 12Piletas'!$E$112</definedName>
    <definedName name="__PP5" localSheetId="6">'[4]Red 12Piletas'!$E$112</definedName>
    <definedName name="__PP5" localSheetId="7">'[4]Red 12Piletas'!$E$112</definedName>
    <definedName name="__PP5" localSheetId="8">'[6]Red 12Piletas'!$E$112</definedName>
    <definedName name="__PP5" localSheetId="14">'[6]Red 12Piletas'!$E$112</definedName>
    <definedName name="__PP5" localSheetId="13">'[6]Red 12Piletas'!$E$112</definedName>
    <definedName name="__PP5">'[7]Red 12Piletas'!$E$112</definedName>
    <definedName name="__PP6" localSheetId="15">'[4]Red 12Piletas'!$E$115</definedName>
    <definedName name="__PP6" localSheetId="16">'[4]Red 12Piletas'!$E$115</definedName>
    <definedName name="__PP6" localSheetId="17">'[4]Red 12Piletas'!$E$115</definedName>
    <definedName name="__PP6" localSheetId="18">'[4]Red 12Piletas'!$E$115</definedName>
    <definedName name="__PP6" localSheetId="19">'[5]Red 12Piletas'!$E$115</definedName>
    <definedName name="__PP6" localSheetId="20">'[5]Red 12Piletas'!$E$115</definedName>
    <definedName name="__PP6" localSheetId="21">'[5]Red 12Piletas'!$E$115</definedName>
    <definedName name="__PP6" localSheetId="22">'[5]Red 12Piletas'!$E$115</definedName>
    <definedName name="__PP6" localSheetId="23">'[5]Red 12Piletas'!$E$115</definedName>
    <definedName name="__PP6" localSheetId="24">'[5]Red 12Piletas'!$E$115</definedName>
    <definedName name="__PP6" localSheetId="3">'[4]Red 12Piletas'!$E$115</definedName>
    <definedName name="__PP6" localSheetId="6">'[4]Red 12Piletas'!$E$115</definedName>
    <definedName name="__PP6" localSheetId="7">'[4]Red 12Piletas'!$E$115</definedName>
    <definedName name="__PP6" localSheetId="8">'[6]Red 12Piletas'!$E$115</definedName>
    <definedName name="__PP6" localSheetId="14">'[6]Red 12Piletas'!$E$115</definedName>
    <definedName name="__PP6" localSheetId="13">'[6]Red 12Piletas'!$E$115</definedName>
    <definedName name="__PP6">'[7]Red 12Piletas'!$E$115</definedName>
    <definedName name="__PP7" localSheetId="15">'[4]Red 12Piletas'!$E$118</definedName>
    <definedName name="__PP7" localSheetId="16">'[4]Red 12Piletas'!$E$118</definedName>
    <definedName name="__PP7" localSheetId="17">'[4]Red 12Piletas'!$E$118</definedName>
    <definedName name="__PP7" localSheetId="18">'[4]Red 12Piletas'!$E$118</definedName>
    <definedName name="__PP7" localSheetId="19">'[5]Red 12Piletas'!$E$118</definedName>
    <definedName name="__PP7" localSheetId="20">'[5]Red 12Piletas'!$E$118</definedName>
    <definedName name="__PP7" localSheetId="21">'[5]Red 12Piletas'!$E$118</definedName>
    <definedName name="__PP7" localSheetId="22">'[5]Red 12Piletas'!$E$118</definedName>
    <definedName name="__PP7" localSheetId="23">'[5]Red 12Piletas'!$E$118</definedName>
    <definedName name="__PP7" localSheetId="24">'[5]Red 12Piletas'!$E$118</definedName>
    <definedName name="__PP7" localSheetId="3">'[4]Red 12Piletas'!$E$118</definedName>
    <definedName name="__PP7" localSheetId="6">'[4]Red 12Piletas'!$E$118</definedName>
    <definedName name="__PP7" localSheetId="7">'[4]Red 12Piletas'!$E$118</definedName>
    <definedName name="__PP7" localSheetId="8">'[6]Red 12Piletas'!$E$118</definedName>
    <definedName name="__PP7" localSheetId="14">'[6]Red 12Piletas'!$E$118</definedName>
    <definedName name="__PP7" localSheetId="13">'[6]Red 12Piletas'!$E$118</definedName>
    <definedName name="__PP7">'[7]Red 12Piletas'!$E$118</definedName>
    <definedName name="__PP8" localSheetId="15">'[4]Red 12Piletas'!$E$121</definedName>
    <definedName name="__PP8" localSheetId="16">'[4]Red 12Piletas'!$E$121</definedName>
    <definedName name="__PP8" localSheetId="17">'[4]Red 12Piletas'!$E$121</definedName>
    <definedName name="__PP8" localSheetId="18">'[4]Red 12Piletas'!$E$121</definedName>
    <definedName name="__PP8" localSheetId="19">'[5]Red 12Piletas'!$E$121</definedName>
    <definedName name="__PP8" localSheetId="20">'[5]Red 12Piletas'!$E$121</definedName>
    <definedName name="__PP8" localSheetId="21">'[5]Red 12Piletas'!$E$121</definedName>
    <definedName name="__PP8" localSheetId="22">'[5]Red 12Piletas'!$E$121</definedName>
    <definedName name="__PP8" localSheetId="23">'[5]Red 12Piletas'!$E$121</definedName>
    <definedName name="__PP8" localSheetId="24">'[5]Red 12Piletas'!$E$121</definedName>
    <definedName name="__PP8" localSheetId="3">'[4]Red 12Piletas'!$E$121</definedName>
    <definedName name="__PP8" localSheetId="6">'[4]Red 12Piletas'!$E$121</definedName>
    <definedName name="__PP8" localSheetId="7">'[4]Red 12Piletas'!$E$121</definedName>
    <definedName name="__PP8" localSheetId="8">'[6]Red 12Piletas'!$E$121</definedName>
    <definedName name="__PP8" localSheetId="14">'[6]Red 12Piletas'!$E$121</definedName>
    <definedName name="__PP8" localSheetId="13">'[6]Red 12Piletas'!$E$121</definedName>
    <definedName name="__PP8">'[7]Red 12Piletas'!$E$121</definedName>
    <definedName name="__PP9" localSheetId="15">'[4]Red 12Piletas'!$E$124</definedName>
    <definedName name="__PP9" localSheetId="16">'[4]Red 12Piletas'!$E$124</definedName>
    <definedName name="__PP9" localSheetId="17">'[4]Red 12Piletas'!$E$124</definedName>
    <definedName name="__PP9" localSheetId="18">'[4]Red 12Piletas'!$E$124</definedName>
    <definedName name="__PP9" localSheetId="19">'[5]Red 12Piletas'!$E$124</definedName>
    <definedName name="__PP9" localSheetId="20">'[5]Red 12Piletas'!$E$124</definedName>
    <definedName name="__PP9" localSheetId="21">'[5]Red 12Piletas'!$E$124</definedName>
    <definedName name="__PP9" localSheetId="22">'[5]Red 12Piletas'!$E$124</definedName>
    <definedName name="__PP9" localSheetId="23">'[5]Red 12Piletas'!$E$124</definedName>
    <definedName name="__PP9" localSheetId="24">'[5]Red 12Piletas'!$E$124</definedName>
    <definedName name="__PP9" localSheetId="3">'[4]Red 12Piletas'!$E$124</definedName>
    <definedName name="__PP9" localSheetId="6">'[4]Red 12Piletas'!$E$124</definedName>
    <definedName name="__PP9" localSheetId="7">'[4]Red 12Piletas'!$E$124</definedName>
    <definedName name="__PP9" localSheetId="8">'[6]Red 12Piletas'!$E$124</definedName>
    <definedName name="__PP9" localSheetId="14">'[6]Red 12Piletas'!$E$124</definedName>
    <definedName name="__PP9" localSheetId="13">'[6]Red 12Piletas'!$E$124</definedName>
    <definedName name="__PP9">'[7]Red 12Piletas'!$E$124</definedName>
    <definedName name="_123" hidden="1">[8]Poblacion!$C$194:$F$194</definedName>
    <definedName name="_123GRAPH" hidden="1">[8]Poblacion!$G$262:$G$291</definedName>
    <definedName name="_xlnm._FilterDatabase" localSheetId="15" hidden="1">'1.10 CRUCE AEREO 2.50 M'!$A$5:$A$54</definedName>
    <definedName name="_xlnm._FilterDatabase" localSheetId="16" hidden="1">'1.11 TUB. ANCL. A PUENTE'!$A$5:$A$45</definedName>
    <definedName name="_xlnm._FilterDatabase" localSheetId="17" hidden="1">'1.12 TUB. ANCL. ALCANT.'!$A$5:$A$23</definedName>
    <definedName name="_fl" localSheetId="16">'[9]Cuadro Nº06-C.U.'!#REF!</definedName>
    <definedName name="_fl" localSheetId="17">'[9]Cuadro Nº06-C.U.'!#REF!</definedName>
    <definedName name="_fl">'[9]Cuadro Nº06-C.U.'!#REF!</definedName>
    <definedName name="_Order1" hidden="1">255</definedName>
    <definedName name="_Order2" hidden="1">255</definedName>
    <definedName name="_PP1" localSheetId="15">'[4]Red 12Piletas'!$E$99</definedName>
    <definedName name="_PP1" localSheetId="16">'[4]Red 12Piletas'!$E$99</definedName>
    <definedName name="_PP1" localSheetId="17">'[4]Red 12Piletas'!$E$99</definedName>
    <definedName name="_PP1" localSheetId="18">'[4]Red 12Piletas'!$E$99</definedName>
    <definedName name="_PP1" localSheetId="19">'[5]Red 12Piletas'!$E$99</definedName>
    <definedName name="_PP1" localSheetId="20">'[5]Red 12Piletas'!$E$99</definedName>
    <definedName name="_PP1" localSheetId="21">'[5]Red 12Piletas'!$E$99</definedName>
    <definedName name="_PP1" localSheetId="22">'[5]Red 12Piletas'!$E$99</definedName>
    <definedName name="_PP1" localSheetId="23">'[5]Red 12Piletas'!$E$99</definedName>
    <definedName name="_PP1" localSheetId="24">'[5]Red 12Piletas'!$E$99</definedName>
    <definedName name="_PP1" localSheetId="3">'[4]Red 12Piletas'!$E$99</definedName>
    <definedName name="_PP1" localSheetId="6">'[4]Red 12Piletas'!$E$99</definedName>
    <definedName name="_PP1" localSheetId="7">'[4]Red 12Piletas'!$E$99</definedName>
    <definedName name="_PP1" localSheetId="8">'[6]Red 12Piletas'!$E$99</definedName>
    <definedName name="_PP1" localSheetId="14">'[6]Red 12Piletas'!$E$99</definedName>
    <definedName name="_PP1" localSheetId="13">'[6]Red 12Piletas'!$E$99</definedName>
    <definedName name="_PP1">'[7]Red 12Piletas'!$E$99</definedName>
    <definedName name="_PP10" localSheetId="15">'[4]Red 12Piletas'!$E$127</definedName>
    <definedName name="_PP10" localSheetId="16">'[4]Red 12Piletas'!$E$127</definedName>
    <definedName name="_PP10" localSheetId="17">'[4]Red 12Piletas'!$E$127</definedName>
    <definedName name="_PP10" localSheetId="18">'[4]Red 12Piletas'!$E$127</definedName>
    <definedName name="_PP10" localSheetId="19">'[5]Red 12Piletas'!$E$127</definedName>
    <definedName name="_PP10" localSheetId="20">'[5]Red 12Piletas'!$E$127</definedName>
    <definedName name="_PP10" localSheetId="21">'[5]Red 12Piletas'!$E$127</definedName>
    <definedName name="_PP10" localSheetId="22">'[5]Red 12Piletas'!$E$127</definedName>
    <definedName name="_PP10" localSheetId="23">'[5]Red 12Piletas'!$E$127</definedName>
    <definedName name="_PP10" localSheetId="24">'[5]Red 12Piletas'!$E$127</definedName>
    <definedName name="_PP10" localSheetId="3">'[4]Red 12Piletas'!$E$127</definedName>
    <definedName name="_PP10" localSheetId="6">'[4]Red 12Piletas'!$E$127</definedName>
    <definedName name="_PP10" localSheetId="7">'[4]Red 12Piletas'!$E$127</definedName>
    <definedName name="_PP10" localSheetId="8">'[6]Red 12Piletas'!$E$127</definedName>
    <definedName name="_PP10" localSheetId="14">'[6]Red 12Piletas'!$E$127</definedName>
    <definedName name="_PP10" localSheetId="13">'[6]Red 12Piletas'!$E$127</definedName>
    <definedName name="_PP10">'[7]Red 12Piletas'!$E$127</definedName>
    <definedName name="_PP11" localSheetId="15">'[4]Red 12Piletas'!$E$131</definedName>
    <definedName name="_PP11" localSheetId="16">'[4]Red 12Piletas'!$E$131</definedName>
    <definedName name="_PP11" localSheetId="17">'[4]Red 12Piletas'!$E$131</definedName>
    <definedName name="_PP11" localSheetId="18">'[4]Red 12Piletas'!$E$131</definedName>
    <definedName name="_PP11" localSheetId="19">'[5]Red 12Piletas'!$E$131</definedName>
    <definedName name="_PP11" localSheetId="20">'[5]Red 12Piletas'!$E$131</definedName>
    <definedName name="_PP11" localSheetId="21">'[5]Red 12Piletas'!$E$131</definedName>
    <definedName name="_PP11" localSheetId="22">'[5]Red 12Piletas'!$E$131</definedName>
    <definedName name="_PP11" localSheetId="23">'[5]Red 12Piletas'!$E$131</definedName>
    <definedName name="_PP11" localSheetId="24">'[5]Red 12Piletas'!$E$131</definedName>
    <definedName name="_PP11" localSheetId="3">'[4]Red 12Piletas'!$E$131</definedName>
    <definedName name="_PP11" localSheetId="6">'[4]Red 12Piletas'!$E$131</definedName>
    <definedName name="_PP11" localSheetId="7">'[4]Red 12Piletas'!$E$131</definedName>
    <definedName name="_PP11" localSheetId="8">'[6]Red 12Piletas'!$E$131</definedName>
    <definedName name="_PP11" localSheetId="14">'[6]Red 12Piletas'!$E$131</definedName>
    <definedName name="_PP11" localSheetId="13">'[6]Red 12Piletas'!$E$131</definedName>
    <definedName name="_PP11">'[7]Red 12Piletas'!$E$131</definedName>
    <definedName name="_PP12" localSheetId="15">'[4]Red 12Piletas'!$E$135</definedName>
    <definedName name="_PP12" localSheetId="16">'[4]Red 12Piletas'!$E$135</definedName>
    <definedName name="_PP12" localSheetId="17">'[4]Red 12Piletas'!$E$135</definedName>
    <definedName name="_PP12" localSheetId="18">'[4]Red 12Piletas'!$E$135</definedName>
    <definedName name="_PP12" localSheetId="19">'[5]Red 12Piletas'!$E$135</definedName>
    <definedName name="_PP12" localSheetId="20">'[5]Red 12Piletas'!$E$135</definedName>
    <definedName name="_PP12" localSheetId="21">'[5]Red 12Piletas'!$E$135</definedName>
    <definedName name="_PP12" localSheetId="22">'[5]Red 12Piletas'!$E$135</definedName>
    <definedName name="_PP12" localSheetId="23">'[5]Red 12Piletas'!$E$135</definedName>
    <definedName name="_PP12" localSheetId="24">'[5]Red 12Piletas'!$E$135</definedName>
    <definedName name="_PP12" localSheetId="3">'[4]Red 12Piletas'!$E$135</definedName>
    <definedName name="_PP12" localSheetId="6">'[4]Red 12Piletas'!$E$135</definedName>
    <definedName name="_PP12" localSheetId="7">'[4]Red 12Piletas'!$E$135</definedName>
    <definedName name="_PP12" localSheetId="8">'[6]Red 12Piletas'!$E$135</definedName>
    <definedName name="_PP12" localSheetId="14">'[6]Red 12Piletas'!$E$135</definedName>
    <definedName name="_PP12" localSheetId="13">'[6]Red 12Piletas'!$E$135</definedName>
    <definedName name="_PP12">'[7]Red 12Piletas'!$E$135</definedName>
    <definedName name="_PP2" localSheetId="15">'[4]Red 12Piletas'!$E$102</definedName>
    <definedName name="_PP2" localSheetId="16">'[4]Red 12Piletas'!$E$102</definedName>
    <definedName name="_PP2" localSheetId="17">'[4]Red 12Piletas'!$E$102</definedName>
    <definedName name="_PP2" localSheetId="18">'[4]Red 12Piletas'!$E$102</definedName>
    <definedName name="_PP2" localSheetId="19">'[5]Red 12Piletas'!$E$102</definedName>
    <definedName name="_PP2" localSheetId="20">'[5]Red 12Piletas'!$E$102</definedName>
    <definedName name="_PP2" localSheetId="21">'[5]Red 12Piletas'!$E$102</definedName>
    <definedName name="_PP2" localSheetId="22">'[5]Red 12Piletas'!$E$102</definedName>
    <definedName name="_PP2" localSheetId="23">'[5]Red 12Piletas'!$E$102</definedName>
    <definedName name="_PP2" localSheetId="24">'[5]Red 12Piletas'!$E$102</definedName>
    <definedName name="_PP2" localSheetId="3">'[4]Red 12Piletas'!$E$102</definedName>
    <definedName name="_PP2" localSheetId="6">'[4]Red 12Piletas'!$E$102</definedName>
    <definedName name="_PP2" localSheetId="7">'[4]Red 12Piletas'!$E$102</definedName>
    <definedName name="_PP2" localSheetId="8">'[6]Red 12Piletas'!$E$102</definedName>
    <definedName name="_PP2" localSheetId="14">'[6]Red 12Piletas'!$E$102</definedName>
    <definedName name="_PP2" localSheetId="13">'[6]Red 12Piletas'!$E$102</definedName>
    <definedName name="_PP2">'[7]Red 12Piletas'!$E$102</definedName>
    <definedName name="_PP3" localSheetId="15">'[4]Red 12Piletas'!$E$105</definedName>
    <definedName name="_PP3" localSheetId="16">'[4]Red 12Piletas'!$E$105</definedName>
    <definedName name="_PP3" localSheetId="17">'[4]Red 12Piletas'!$E$105</definedName>
    <definedName name="_PP3" localSheetId="18">'[4]Red 12Piletas'!$E$105</definedName>
    <definedName name="_PP3" localSheetId="19">'[5]Red 12Piletas'!$E$105</definedName>
    <definedName name="_PP3" localSheetId="20">'[5]Red 12Piletas'!$E$105</definedName>
    <definedName name="_PP3" localSheetId="21">'[5]Red 12Piletas'!$E$105</definedName>
    <definedName name="_PP3" localSheetId="22">'[5]Red 12Piletas'!$E$105</definedName>
    <definedName name="_PP3" localSheetId="23">'[5]Red 12Piletas'!$E$105</definedName>
    <definedName name="_PP3" localSheetId="24">'[5]Red 12Piletas'!$E$105</definedName>
    <definedName name="_PP3" localSheetId="3">'[4]Red 12Piletas'!$E$105</definedName>
    <definedName name="_PP3" localSheetId="6">'[4]Red 12Piletas'!$E$105</definedName>
    <definedName name="_PP3" localSheetId="7">'[4]Red 12Piletas'!$E$105</definedName>
    <definedName name="_PP3" localSheetId="8">'[6]Red 12Piletas'!$E$105</definedName>
    <definedName name="_PP3" localSheetId="14">'[6]Red 12Piletas'!$E$105</definedName>
    <definedName name="_PP3" localSheetId="13">'[6]Red 12Piletas'!$E$105</definedName>
    <definedName name="_PP3">'[7]Red 12Piletas'!$E$105</definedName>
    <definedName name="_PP4" localSheetId="15">'[4]Red 12Piletas'!$E$108</definedName>
    <definedName name="_PP4" localSheetId="16">'[4]Red 12Piletas'!$E$108</definedName>
    <definedName name="_PP4" localSheetId="17">'[4]Red 12Piletas'!$E$108</definedName>
    <definedName name="_PP4" localSheetId="18">'[4]Red 12Piletas'!$E$108</definedName>
    <definedName name="_PP4" localSheetId="19">'[5]Red 12Piletas'!$E$108</definedName>
    <definedName name="_PP4" localSheetId="20">'[5]Red 12Piletas'!$E$108</definedName>
    <definedName name="_PP4" localSheetId="21">'[5]Red 12Piletas'!$E$108</definedName>
    <definedName name="_PP4" localSheetId="22">'[5]Red 12Piletas'!$E$108</definedName>
    <definedName name="_PP4" localSheetId="23">'[5]Red 12Piletas'!$E$108</definedName>
    <definedName name="_PP4" localSheetId="24">'[5]Red 12Piletas'!$E$108</definedName>
    <definedName name="_PP4" localSheetId="3">'[4]Red 12Piletas'!$E$108</definedName>
    <definedName name="_PP4" localSheetId="6">'[4]Red 12Piletas'!$E$108</definedName>
    <definedName name="_PP4" localSheetId="7">'[4]Red 12Piletas'!$E$108</definedName>
    <definedName name="_PP4" localSheetId="8">'[6]Red 12Piletas'!$E$108</definedName>
    <definedName name="_PP4" localSheetId="14">'[6]Red 12Piletas'!$E$108</definedName>
    <definedName name="_PP4" localSheetId="13">'[6]Red 12Piletas'!$E$108</definedName>
    <definedName name="_PP4">'[7]Red 12Piletas'!$E$108</definedName>
    <definedName name="_PP5" localSheetId="15">'[4]Red 12Piletas'!$E$112</definedName>
    <definedName name="_PP5" localSheetId="16">'[4]Red 12Piletas'!$E$112</definedName>
    <definedName name="_PP5" localSheetId="17">'[4]Red 12Piletas'!$E$112</definedName>
    <definedName name="_PP5" localSheetId="18">'[4]Red 12Piletas'!$E$112</definedName>
    <definedName name="_PP5" localSheetId="19">'[5]Red 12Piletas'!$E$112</definedName>
    <definedName name="_PP5" localSheetId="20">'[5]Red 12Piletas'!$E$112</definedName>
    <definedName name="_PP5" localSheetId="21">'[5]Red 12Piletas'!$E$112</definedName>
    <definedName name="_PP5" localSheetId="22">'[5]Red 12Piletas'!$E$112</definedName>
    <definedName name="_PP5" localSheetId="23">'[5]Red 12Piletas'!$E$112</definedName>
    <definedName name="_PP5" localSheetId="24">'[5]Red 12Piletas'!$E$112</definedName>
    <definedName name="_PP5" localSheetId="3">'[4]Red 12Piletas'!$E$112</definedName>
    <definedName name="_PP5" localSheetId="6">'[4]Red 12Piletas'!$E$112</definedName>
    <definedName name="_PP5" localSheetId="7">'[4]Red 12Piletas'!$E$112</definedName>
    <definedName name="_PP5" localSheetId="8">'[6]Red 12Piletas'!$E$112</definedName>
    <definedName name="_PP5" localSheetId="14">'[6]Red 12Piletas'!$E$112</definedName>
    <definedName name="_PP5" localSheetId="13">'[6]Red 12Piletas'!$E$112</definedName>
    <definedName name="_PP5">'[7]Red 12Piletas'!$E$112</definedName>
    <definedName name="_PP6" localSheetId="15">'[4]Red 12Piletas'!$E$115</definedName>
    <definedName name="_PP6" localSheetId="16">'[4]Red 12Piletas'!$E$115</definedName>
    <definedName name="_PP6" localSheetId="17">'[4]Red 12Piletas'!$E$115</definedName>
    <definedName name="_PP6" localSheetId="18">'[4]Red 12Piletas'!$E$115</definedName>
    <definedName name="_PP6" localSheetId="19">'[5]Red 12Piletas'!$E$115</definedName>
    <definedName name="_PP6" localSheetId="20">'[5]Red 12Piletas'!$E$115</definedName>
    <definedName name="_PP6" localSheetId="21">'[5]Red 12Piletas'!$E$115</definedName>
    <definedName name="_PP6" localSheetId="22">'[5]Red 12Piletas'!$E$115</definedName>
    <definedName name="_PP6" localSheetId="23">'[5]Red 12Piletas'!$E$115</definedName>
    <definedName name="_PP6" localSheetId="24">'[5]Red 12Piletas'!$E$115</definedName>
    <definedName name="_PP6" localSheetId="3">'[4]Red 12Piletas'!$E$115</definedName>
    <definedName name="_PP6" localSheetId="6">'[4]Red 12Piletas'!$E$115</definedName>
    <definedName name="_PP6" localSheetId="7">'[4]Red 12Piletas'!$E$115</definedName>
    <definedName name="_PP6" localSheetId="8">'[6]Red 12Piletas'!$E$115</definedName>
    <definedName name="_PP6" localSheetId="14">'[6]Red 12Piletas'!$E$115</definedName>
    <definedName name="_PP6" localSheetId="13">'[6]Red 12Piletas'!$E$115</definedName>
    <definedName name="_PP6">'[7]Red 12Piletas'!$E$115</definedName>
    <definedName name="_PP7" localSheetId="15">'[4]Red 12Piletas'!$E$118</definedName>
    <definedName name="_PP7" localSheetId="16">'[4]Red 12Piletas'!$E$118</definedName>
    <definedName name="_PP7" localSheetId="17">'[4]Red 12Piletas'!$E$118</definedName>
    <definedName name="_PP7" localSheetId="18">'[4]Red 12Piletas'!$E$118</definedName>
    <definedName name="_PP7" localSheetId="19">'[5]Red 12Piletas'!$E$118</definedName>
    <definedName name="_PP7" localSheetId="20">'[5]Red 12Piletas'!$E$118</definedName>
    <definedName name="_PP7" localSheetId="21">'[5]Red 12Piletas'!$E$118</definedName>
    <definedName name="_PP7" localSheetId="22">'[5]Red 12Piletas'!$E$118</definedName>
    <definedName name="_PP7" localSheetId="23">'[5]Red 12Piletas'!$E$118</definedName>
    <definedName name="_PP7" localSheetId="24">'[5]Red 12Piletas'!$E$118</definedName>
    <definedName name="_PP7" localSheetId="3">'[4]Red 12Piletas'!$E$118</definedName>
    <definedName name="_PP7" localSheetId="6">'[4]Red 12Piletas'!$E$118</definedName>
    <definedName name="_PP7" localSheetId="7">'[4]Red 12Piletas'!$E$118</definedName>
    <definedName name="_PP7" localSheetId="8">'[6]Red 12Piletas'!$E$118</definedName>
    <definedName name="_PP7" localSheetId="14">'[6]Red 12Piletas'!$E$118</definedName>
    <definedName name="_PP7" localSheetId="13">'[6]Red 12Piletas'!$E$118</definedName>
    <definedName name="_PP7">'[7]Red 12Piletas'!$E$118</definedName>
    <definedName name="_PP8" localSheetId="15">'[4]Red 12Piletas'!$E$121</definedName>
    <definedName name="_PP8" localSheetId="16">'[4]Red 12Piletas'!$E$121</definedName>
    <definedName name="_PP8" localSheetId="17">'[4]Red 12Piletas'!$E$121</definedName>
    <definedName name="_PP8" localSheetId="18">'[4]Red 12Piletas'!$E$121</definedName>
    <definedName name="_PP8" localSheetId="19">'[5]Red 12Piletas'!$E$121</definedName>
    <definedName name="_PP8" localSheetId="20">'[5]Red 12Piletas'!$E$121</definedName>
    <definedName name="_PP8" localSheetId="21">'[5]Red 12Piletas'!$E$121</definedName>
    <definedName name="_PP8" localSheetId="22">'[5]Red 12Piletas'!$E$121</definedName>
    <definedName name="_PP8" localSheetId="23">'[5]Red 12Piletas'!$E$121</definedName>
    <definedName name="_PP8" localSheetId="24">'[5]Red 12Piletas'!$E$121</definedName>
    <definedName name="_PP8" localSheetId="3">'[4]Red 12Piletas'!$E$121</definedName>
    <definedName name="_PP8" localSheetId="6">'[4]Red 12Piletas'!$E$121</definedName>
    <definedName name="_PP8" localSheetId="7">'[4]Red 12Piletas'!$E$121</definedName>
    <definedName name="_PP8" localSheetId="8">'[6]Red 12Piletas'!$E$121</definedName>
    <definedName name="_PP8" localSheetId="14">'[6]Red 12Piletas'!$E$121</definedName>
    <definedName name="_PP8" localSheetId="13">'[6]Red 12Piletas'!$E$121</definedName>
    <definedName name="_PP8">'[7]Red 12Piletas'!$E$121</definedName>
    <definedName name="_PP9" localSheetId="15">'[4]Red 12Piletas'!$E$124</definedName>
    <definedName name="_PP9" localSheetId="16">'[4]Red 12Piletas'!$E$124</definedName>
    <definedName name="_PP9" localSheetId="17">'[4]Red 12Piletas'!$E$124</definedName>
    <definedName name="_PP9" localSheetId="18">'[4]Red 12Piletas'!$E$124</definedName>
    <definedName name="_PP9" localSheetId="19">'[5]Red 12Piletas'!$E$124</definedName>
    <definedName name="_PP9" localSheetId="20">'[5]Red 12Piletas'!$E$124</definedName>
    <definedName name="_PP9" localSheetId="21">'[5]Red 12Piletas'!$E$124</definedName>
    <definedName name="_PP9" localSheetId="22">'[5]Red 12Piletas'!$E$124</definedName>
    <definedName name="_PP9" localSheetId="23">'[5]Red 12Piletas'!$E$124</definedName>
    <definedName name="_PP9" localSheetId="24">'[5]Red 12Piletas'!$E$124</definedName>
    <definedName name="_PP9" localSheetId="3">'[4]Red 12Piletas'!$E$124</definedName>
    <definedName name="_PP9" localSheetId="6">'[4]Red 12Piletas'!$E$124</definedName>
    <definedName name="_PP9" localSheetId="7">'[4]Red 12Piletas'!$E$124</definedName>
    <definedName name="_PP9" localSheetId="8">'[6]Red 12Piletas'!$E$124</definedName>
    <definedName name="_PP9" localSheetId="14">'[6]Red 12Piletas'!$E$124</definedName>
    <definedName name="_PP9" localSheetId="13">'[6]Red 12Piletas'!$E$124</definedName>
    <definedName name="_PP9">'[7]Red 12Piletas'!$E$124</definedName>
    <definedName name="_TL1">'[10]RESERV. 5.0M3'!#REF!</definedName>
    <definedName name="_TL2">'[10]RESERV. 5.0M3'!#REF!</definedName>
    <definedName name="_TL3">'[10]RESERV. 5.0M3'!#REF!</definedName>
    <definedName name="A" localSheetId="0">#REF!</definedName>
    <definedName name="A" localSheetId="15">#REF!</definedName>
    <definedName name="A" localSheetId="16">#REF!</definedName>
    <definedName name="A" localSheetId="17">#REF!</definedName>
    <definedName name="A" localSheetId="18">#REF!</definedName>
    <definedName name="A" localSheetId="19">#REF!</definedName>
    <definedName name="A" localSheetId="20">#REF!</definedName>
    <definedName name="A" localSheetId="21">#REF!</definedName>
    <definedName name="A" localSheetId="22">#REF!</definedName>
    <definedName name="A" localSheetId="23">#REF!</definedName>
    <definedName name="A" localSheetId="24">#REF!</definedName>
    <definedName name="A" localSheetId="1">#REF!</definedName>
    <definedName name="A" localSheetId="2">#REF!</definedName>
    <definedName name="A" localSheetId="3">#REF!</definedName>
    <definedName name="A" localSheetId="4">#REF!</definedName>
    <definedName name="A" localSheetId="6">#REF!</definedName>
    <definedName name="A" localSheetId="7">#REF!</definedName>
    <definedName name="A" localSheetId="8">#REF!</definedName>
    <definedName name="A" localSheetId="12">#REF!</definedName>
    <definedName name="A" localSheetId="9">#REF!</definedName>
    <definedName name="A" localSheetId="10">#REF!</definedName>
    <definedName name="A" localSheetId="11">#REF!</definedName>
    <definedName name="A" localSheetId="14">#REF!</definedName>
    <definedName name="A" localSheetId="13">#REF!</definedName>
    <definedName name="A">#REF!</definedName>
    <definedName name="A_impresión_IM">[11]Lagsram2!#REF!</definedName>
    <definedName name="AA" localSheetId="18" hidden="1">[12]Emisores!$W$11:$W$40</definedName>
    <definedName name="AA">[13]GENERAL!$M$313</definedName>
    <definedName name="AAA" hidden="1">[8]Poblacion!$D$113:$G$113</definedName>
    <definedName name="AAAHHA" hidden="1">[12]PMedidores!$U$14:$U$43</definedName>
    <definedName name="AB">#REF!</definedName>
    <definedName name="ACERO">'[10]RESERV. 5.0M3'!#REF!</definedName>
    <definedName name="ADLT">'[10]RESERV. 5.0M3'!#REF!</definedName>
    <definedName name="AI">'[10]RESERV. 5.0M3'!#REF!</definedName>
    <definedName name="ALT">[13]GENERAL!$G$313</definedName>
    <definedName name="anclajeº">'[10]RESERV. 5.0M3'!#REF!</definedName>
    <definedName name="AP">'[10]RESERV. 5.0M3'!#REF!</definedName>
    <definedName name="_xlnm.Print_Area" localSheetId="0">'1.1 MIT. AMB.'!$A$1:$I$11</definedName>
    <definedName name="_xlnm.Print_Area" localSheetId="15">'1.10 CRUCE AEREO 2.50 M'!$A$1:$J$62</definedName>
    <definedName name="_xlnm.Print_Area" localSheetId="16">'1.11 TUB. ANCL. A PUENTE'!$A$1:$J$53</definedName>
    <definedName name="_xlnm.Print_Area" localSheetId="17">'1.12 TUB. ANCL. ALCANT.'!$A$1:$J$34</definedName>
    <definedName name="_xlnm.Print_Area" localSheetId="18">'1.13 CONEX. DOMIC.'!$B$1:$J$97</definedName>
    <definedName name="_xlnm.Print_Area" localSheetId="19">'1.14 LAV. DOMIC.'!$A$1:$I$130</definedName>
    <definedName name="_xlnm.Print_Area" localSheetId="21">'1.15 LAV. INICIAL.'!$A$1:$I$122</definedName>
    <definedName name="_xlnm.Print_Area" localSheetId="23">'1.16 LAVAD. PRIMAR.'!$A$1:$I$170</definedName>
    <definedName name="_xlnm.Print_Area" localSheetId="1">'1.2 CAP. T- LADERA'!$A$1:$I$353</definedName>
    <definedName name="_xlnm.Print_Area" localSheetId="2">'1.2 MET. DE ACERO'!$A$1:$T$198</definedName>
    <definedName name="_xlnm.Print_Area" localSheetId="3">'1.3 L-COND.'!$A$1:$I$36</definedName>
    <definedName name="_xlnm.Print_Area" localSheetId="5">'1.4 METR.ACERO 5M3'!$A$1:$T$149</definedName>
    <definedName name="_xlnm.Print_Area" localSheetId="4">'1.4 RESERV. 5M3'!$A$1:$I$513</definedName>
    <definedName name="_xlnm.Print_Area" localSheetId="6">'1.5 L-ADUCC.'!$A$1:$I$34</definedName>
    <definedName name="_xlnm.Print_Area" localSheetId="7">'1.6 RED DE DISTRIB.'!$B$1:$J$94</definedName>
    <definedName name="_xlnm.Print_Area" localSheetId="8">'1.7 VALV-AIRE'!$B$1:$J$110</definedName>
    <definedName name="_xlnm.Print_Area" localSheetId="9">'1.8. VALV-PURGA T-1'!$B$1:$J$120</definedName>
    <definedName name="_xlnm.Print_Area" localSheetId="11">'1.8.2 VALV-PURGA T-2'!$B$1:$K$120</definedName>
    <definedName name="_xlnm.Print_Area" localSheetId="13">'1.9 VALV-CONTROL'!$B$1:$J$107</definedName>
    <definedName name="_xlnm.Print_Area" localSheetId="25">Datos!$A$1:$K$25</definedName>
    <definedName name="ASDFG" hidden="1">[8]Poblacion!$C$195:$F$195</definedName>
    <definedName name="ASS" localSheetId="16">'[10]RESERV. 5.0M3'!#REF!</definedName>
    <definedName name="ASS" localSheetId="17">'[10]RESERV. 5.0M3'!#REF!</definedName>
    <definedName name="ASS">'[10]RESERV. 5.0M3'!#REF!</definedName>
    <definedName name="ATPM" localSheetId="16">'[10]RESERV. 5.0M3'!#REF!</definedName>
    <definedName name="ATPM" localSheetId="17">'[10]RESERV. 5.0M3'!#REF!</definedName>
    <definedName name="ATPM">'[10]RESERV. 5.0M3'!#REF!</definedName>
    <definedName name="B" localSheetId="0">#REF!</definedName>
    <definedName name="B" localSheetId="15">#REF!</definedName>
    <definedName name="B" localSheetId="16">#REF!</definedName>
    <definedName name="B" localSheetId="17">#REF!</definedName>
    <definedName name="B" localSheetId="18">#REF!</definedName>
    <definedName name="B" localSheetId="19">#REF!</definedName>
    <definedName name="B" localSheetId="20">#REF!</definedName>
    <definedName name="B" localSheetId="21">#REF!</definedName>
    <definedName name="B" localSheetId="22">#REF!</definedName>
    <definedName name="B" localSheetId="23">#REF!</definedName>
    <definedName name="B" localSheetId="24">#REF!</definedName>
    <definedName name="B" localSheetId="3">#REF!</definedName>
    <definedName name="B" localSheetId="4">#REF!</definedName>
    <definedName name="B" localSheetId="6">#REF!</definedName>
    <definedName name="B" localSheetId="7">#REF!</definedName>
    <definedName name="B" localSheetId="8">#REF!</definedName>
    <definedName name="B" localSheetId="12">#REF!</definedName>
    <definedName name="B" localSheetId="9">#REF!</definedName>
    <definedName name="B" localSheetId="10">#REF!</definedName>
    <definedName name="B" localSheetId="11">#REF!</definedName>
    <definedName name="B" localSheetId="14">#REF!</definedName>
    <definedName name="B" localSheetId="13">#REF!</definedName>
    <definedName name="B">#REF!</definedName>
    <definedName name="baba">#REF!</definedName>
    <definedName name="BADO" localSheetId="16">#REF!</definedName>
    <definedName name="BADO" localSheetId="17">#REF!</definedName>
    <definedName name="BADO">#REF!</definedName>
    <definedName name="BAÑO">'[10]RESERV. 5.0M3'!#REF!</definedName>
    <definedName name="Base">[14]Base!$E$6:$M$558</definedName>
    <definedName name="_xlnm.Database">#REF!</definedName>
    <definedName name="BB">[13]GENERAL!$N$313</definedName>
    <definedName name="bloque" localSheetId="15">#REF!</definedName>
    <definedName name="bloque" localSheetId="16">#REF!</definedName>
    <definedName name="bloque" localSheetId="17">#REF!</definedName>
    <definedName name="bloque">#REF!</definedName>
    <definedName name="bloquem" localSheetId="15">#REF!</definedName>
    <definedName name="bloquem" localSheetId="16">#REF!</definedName>
    <definedName name="bloquem" localSheetId="17">#REF!</definedName>
    <definedName name="bloquem">#REF!</definedName>
    <definedName name="BOCATOMA" localSheetId="15">#REF!</definedName>
    <definedName name="BOCATOMA" localSheetId="16">#REF!</definedName>
    <definedName name="BOCATOMA" localSheetId="17">#REF!</definedName>
    <definedName name="BOCATOMA">#REF!</definedName>
    <definedName name="BuiltIn_Print_Area">#N/A</definedName>
    <definedName name="BuiltIn_Print_Area___0">#N/A</definedName>
    <definedName name="captac2" localSheetId="0">#REF!</definedName>
    <definedName name="captac2" localSheetId="15">#REF!</definedName>
    <definedName name="captac2" localSheetId="16">#REF!</definedName>
    <definedName name="captac2" localSheetId="17">#REF!</definedName>
    <definedName name="captac2" localSheetId="18">#REF!</definedName>
    <definedName name="captac2" localSheetId="19">#REF!</definedName>
    <definedName name="captac2" localSheetId="20">#REF!</definedName>
    <definedName name="captac2" localSheetId="21">#REF!</definedName>
    <definedName name="captac2" localSheetId="22">#REF!</definedName>
    <definedName name="captac2" localSheetId="23">#REF!</definedName>
    <definedName name="captac2" localSheetId="24">#REF!</definedName>
    <definedName name="captac2" localSheetId="3">#REF!</definedName>
    <definedName name="captac2" localSheetId="4">#REF!</definedName>
    <definedName name="captac2" localSheetId="6">#REF!</definedName>
    <definedName name="captac2" localSheetId="7">#REF!</definedName>
    <definedName name="captac2" localSheetId="8">#REF!</definedName>
    <definedName name="captac2" localSheetId="12">#REF!</definedName>
    <definedName name="captac2" localSheetId="9">#REF!</definedName>
    <definedName name="captac2" localSheetId="10">#REF!</definedName>
    <definedName name="captac2" localSheetId="11">#REF!</definedName>
    <definedName name="captac2" localSheetId="14">#REF!</definedName>
    <definedName name="captac2" localSheetId="13">#REF!</definedName>
    <definedName name="captac2">#REF!</definedName>
    <definedName name="CASI">'[10]RESERV. 5.0M3'!#REF!</definedName>
    <definedName name="CC">[13]GENERAL!$O$313</definedName>
    <definedName name="CCC" localSheetId="16">#REF!</definedName>
    <definedName name="CCC" localSheetId="17">#REF!</definedName>
    <definedName name="CCC">#REF!</definedName>
    <definedName name="cd">'[10]RESERV. 5.0M3'!#REF!</definedName>
    <definedName name="CERCOPERI" localSheetId="15">'[15]6.1. Cerco Per. Reserv 12m3'!$A$15:$I$43</definedName>
    <definedName name="CERCOPERI" localSheetId="16">'[15]6.1. Cerco Per. Reserv 12m3'!$A$15:$I$43</definedName>
    <definedName name="CERCOPERI" localSheetId="17">'[15]6.1. Cerco Per. Reserv 12m3'!$A$15:$I$43</definedName>
    <definedName name="CERCOPERI">'[16]6.1. Cerco Per. Reserv 12m3'!$A$15:$I$43</definedName>
    <definedName name="CISTERNA" localSheetId="15">#REF!</definedName>
    <definedName name="CISTERNA" localSheetId="16">#REF!</definedName>
    <definedName name="CISTERNA" localSheetId="17">#REF!</definedName>
    <definedName name="CISTERNA">#REF!</definedName>
    <definedName name="CISTERNA21">'[17]CISTERNA_1 21.00 M3 '!$A$11:$I$313</definedName>
    <definedName name="Cost.Increm.Alt.B">'[18]Pres&amp;C.Increm.'!$Q$56</definedName>
    <definedName name="Cost.Increment.Alt.A">'[18]Pres&amp;C.Increm.'!$P$56</definedName>
    <definedName name="COSTO2.03.01" localSheetId="0">'[9]Cuadro Nº06-C.U.'!#REF!</definedName>
    <definedName name="COSTO2.03.01" localSheetId="15">'[9]Cuadro Nº06-C.U.'!#REF!</definedName>
    <definedName name="COSTO2.03.01" localSheetId="16">'[9]Cuadro Nº06-C.U.'!#REF!</definedName>
    <definedName name="COSTO2.03.01" localSheetId="17">'[9]Cuadro Nº06-C.U.'!#REF!</definedName>
    <definedName name="COSTO2.03.01" localSheetId="18">'[9]Cuadro Nº06-C.U.'!#REF!</definedName>
    <definedName name="COSTO2.03.01" localSheetId="19">'[9]Cuadro Nº06-C.U.'!#REF!</definedName>
    <definedName name="COSTO2.03.01" localSheetId="20">'[9]Cuadro Nº06-C.U.'!#REF!</definedName>
    <definedName name="COSTO2.03.01" localSheetId="21">'[9]Cuadro Nº06-C.U.'!#REF!</definedName>
    <definedName name="COSTO2.03.01" localSheetId="22">'[9]Cuadro Nº06-C.U.'!#REF!</definedName>
    <definedName name="COSTO2.03.01" localSheetId="23">'[9]Cuadro Nº06-C.U.'!#REF!</definedName>
    <definedName name="COSTO2.03.01" localSheetId="24">'[9]Cuadro Nº06-C.U.'!#REF!</definedName>
    <definedName name="COSTO2.03.01" localSheetId="3">'[9]Cuadro Nº06-C.U.'!#REF!</definedName>
    <definedName name="COSTO2.03.01" localSheetId="5">'[9]Cuadro Nº06-C.U.'!#REF!</definedName>
    <definedName name="COSTO2.03.01" localSheetId="4">'[9]Cuadro Nº06-C.U.'!#REF!</definedName>
    <definedName name="COSTO2.03.01" localSheetId="6">'[9]Cuadro Nº06-C.U.'!#REF!</definedName>
    <definedName name="COSTO2.03.01" localSheetId="7">'[9]Cuadro Nº06-C.U.'!#REF!</definedName>
    <definedName name="COSTO2.03.01" localSheetId="8">'[9]Cuadro Nº06-C.U.'!#REF!</definedName>
    <definedName name="COSTO2.03.01" localSheetId="12">'[9]Cuadro Nº06-C.U.'!#REF!</definedName>
    <definedName name="COSTO2.03.01" localSheetId="9">'[9]Cuadro Nº06-C.U.'!#REF!</definedName>
    <definedName name="COSTO2.03.01" localSheetId="10">'[9]Cuadro Nº06-C.U.'!#REF!</definedName>
    <definedName name="COSTO2.03.01" localSheetId="11">'[9]Cuadro Nº06-C.U.'!#REF!</definedName>
    <definedName name="COSTO2.03.01" localSheetId="14">'[9]Cuadro Nº06-C.U.'!#REF!</definedName>
    <definedName name="COSTO2.03.01" localSheetId="13">'[9]Cuadro Nº06-C.U.'!#REF!</definedName>
    <definedName name="COSTO2.03.01">'[9]Cuadro Nº06-C.U.'!#REF!</definedName>
    <definedName name="COSTO2.03.02" localSheetId="0">'[9]Cuadro Nº06-C.U.'!#REF!</definedName>
    <definedName name="COSTO2.03.02" localSheetId="15">'[9]Cuadro Nº06-C.U.'!#REF!</definedName>
    <definedName name="COSTO2.03.02" localSheetId="16">'[9]Cuadro Nº06-C.U.'!#REF!</definedName>
    <definedName name="COSTO2.03.02" localSheetId="17">'[9]Cuadro Nº06-C.U.'!#REF!</definedName>
    <definedName name="COSTO2.03.02" localSheetId="18">'[9]Cuadro Nº06-C.U.'!#REF!</definedName>
    <definedName name="COSTO2.03.02" localSheetId="19">'[9]Cuadro Nº06-C.U.'!#REF!</definedName>
    <definedName name="COSTO2.03.02" localSheetId="20">'[9]Cuadro Nº06-C.U.'!#REF!</definedName>
    <definedName name="COSTO2.03.02" localSheetId="21">'[9]Cuadro Nº06-C.U.'!#REF!</definedName>
    <definedName name="COSTO2.03.02" localSheetId="22">'[9]Cuadro Nº06-C.U.'!#REF!</definedName>
    <definedName name="COSTO2.03.02" localSheetId="23">'[9]Cuadro Nº06-C.U.'!#REF!</definedName>
    <definedName name="COSTO2.03.02" localSheetId="24">'[9]Cuadro Nº06-C.U.'!#REF!</definedName>
    <definedName name="COSTO2.03.02" localSheetId="3">'[9]Cuadro Nº06-C.U.'!#REF!</definedName>
    <definedName name="COSTO2.03.02" localSheetId="5">'[9]Cuadro Nº06-C.U.'!#REF!</definedName>
    <definedName name="COSTO2.03.02" localSheetId="4">'[9]Cuadro Nº06-C.U.'!#REF!</definedName>
    <definedName name="COSTO2.03.02" localSheetId="6">'[9]Cuadro Nº06-C.U.'!#REF!</definedName>
    <definedName name="COSTO2.03.02" localSheetId="7">'[9]Cuadro Nº06-C.U.'!#REF!</definedName>
    <definedName name="COSTO2.03.02" localSheetId="8">'[9]Cuadro Nº06-C.U.'!#REF!</definedName>
    <definedName name="COSTO2.03.02" localSheetId="12">'[9]Cuadro Nº06-C.U.'!#REF!</definedName>
    <definedName name="COSTO2.03.02" localSheetId="9">'[9]Cuadro Nº06-C.U.'!#REF!</definedName>
    <definedName name="COSTO2.03.02" localSheetId="10">'[9]Cuadro Nº06-C.U.'!#REF!</definedName>
    <definedName name="COSTO2.03.02" localSheetId="11">'[9]Cuadro Nº06-C.U.'!#REF!</definedName>
    <definedName name="COSTO2.03.02" localSheetId="14">'[9]Cuadro Nº06-C.U.'!#REF!</definedName>
    <definedName name="COSTO2.03.02" localSheetId="13">'[9]Cuadro Nº06-C.U.'!#REF!</definedName>
    <definedName name="COSTO2.03.02">'[9]Cuadro Nº06-C.U.'!#REF!</definedName>
    <definedName name="COSTO2.05" localSheetId="0">'[9]Cuadro Nº06-C.U.'!#REF!</definedName>
    <definedName name="COSTO2.05" localSheetId="15">'[9]Cuadro Nº06-C.U.'!#REF!</definedName>
    <definedName name="COSTO2.05" localSheetId="16">'[9]Cuadro Nº06-C.U.'!#REF!</definedName>
    <definedName name="COSTO2.05" localSheetId="17">'[9]Cuadro Nº06-C.U.'!#REF!</definedName>
    <definedName name="COSTO2.05" localSheetId="18">'[9]Cuadro Nº06-C.U.'!#REF!</definedName>
    <definedName name="COSTO2.05" localSheetId="5">'[9]Cuadro Nº06-C.U.'!#REF!</definedName>
    <definedName name="COSTO2.05" localSheetId="4">'[9]Cuadro Nº06-C.U.'!#REF!</definedName>
    <definedName name="COSTO2.05">'[9]Cuadro Nº06-C.U.'!#REF!</definedName>
    <definedName name="COSTO3.02" localSheetId="0">'[9]Cuadro Nº06-C.U.'!#REF!</definedName>
    <definedName name="COSTO3.02" localSheetId="15">'[9]Cuadro Nº06-C.U.'!#REF!</definedName>
    <definedName name="COSTO3.02" localSheetId="16">'[9]Cuadro Nº06-C.U.'!#REF!</definedName>
    <definedName name="COSTO3.02" localSheetId="17">'[9]Cuadro Nº06-C.U.'!#REF!</definedName>
    <definedName name="COSTO3.02" localSheetId="18">'[9]Cuadro Nº06-C.U.'!#REF!</definedName>
    <definedName name="COSTO3.02">'[9]Cuadro Nº06-C.U.'!#REF!</definedName>
    <definedName name="COSTO3.03" localSheetId="0">'[9]Cuadro Nº06-C.U.'!#REF!</definedName>
    <definedName name="COSTO3.03" localSheetId="15">'[9]Cuadro Nº06-C.U.'!#REF!</definedName>
    <definedName name="COSTO3.03" localSheetId="16">'[9]Cuadro Nº06-C.U.'!#REF!</definedName>
    <definedName name="COSTO3.03" localSheetId="17">'[9]Cuadro Nº06-C.U.'!#REF!</definedName>
    <definedName name="COSTO3.03">'[9]Cuadro Nº06-C.U.'!#REF!</definedName>
    <definedName name="COSTO3.04" localSheetId="0">'[9]Cuadro Nº06-C.U.'!#REF!</definedName>
    <definedName name="COSTO3.04">'[9]Cuadro Nº06-C.U.'!#REF!</definedName>
    <definedName name="COSTO3.05" localSheetId="0">'[9]Cuadro Nº06-C.U.'!#REF!</definedName>
    <definedName name="COSTO3.05">'[9]Cuadro Nº06-C.U.'!#REF!</definedName>
    <definedName name="CVA">'[10]RESERV. 5.0M3'!#REF!</definedName>
    <definedName name="CVAI">'[10]RESERV. 5.0M3'!#REF!</definedName>
    <definedName name="CVELF">'[10]RESERV. 5.0M3'!#REF!</definedName>
    <definedName name="CVEM">'[10]RESERV. 5.0M3'!#REF!</definedName>
    <definedName name="CVEM1">'[10]RESERV. 5.0M3'!#REF!</definedName>
    <definedName name="CVET">'[10]RESERV. 5.0M3'!#REF!</definedName>
    <definedName name="CVL">'[10]RESERV. 5.0M3'!#REF!</definedName>
    <definedName name="D">[19]AreaLaguna!#REF!</definedName>
    <definedName name="DAS">'[10]RESERV. 5.0M3'!#REF!</definedName>
    <definedName name="DD" hidden="1">[12]PMedidores!$V$14:$V$43</definedName>
    <definedName name="DDAS" localSheetId="15">#REF!</definedName>
    <definedName name="DDAS" localSheetId="16">#REF!</definedName>
    <definedName name="DDAS" localSheetId="17">#REF!</definedName>
    <definedName name="DDAS">#REF!</definedName>
    <definedName name="ddasd" localSheetId="15">#REF!</definedName>
    <definedName name="ddasd" localSheetId="16">#REF!</definedName>
    <definedName name="ddasd" localSheetId="17">#REF!</definedName>
    <definedName name="ddasd">#REF!</definedName>
    <definedName name="DDD" localSheetId="15">#REF!</definedName>
    <definedName name="DDD" localSheetId="16">#REF!</definedName>
    <definedName name="DDD" localSheetId="17">#REF!</definedName>
    <definedName name="DDD">#REF!</definedName>
    <definedName name="DER">'[10]RESERV. 5.0M3'!#REF!</definedName>
    <definedName name="DES" localSheetId="16">#REF!</definedName>
    <definedName name="DES" localSheetId="17">#REF!</definedName>
    <definedName name="DES">#REF!</definedName>
    <definedName name="DESARENADOR" localSheetId="15">#REF!</definedName>
    <definedName name="DESARENADOR" localSheetId="16">#REF!</definedName>
    <definedName name="DESARENADOR" localSheetId="17">#REF!</definedName>
    <definedName name="DESARENADOR">#REF!</definedName>
    <definedName name="DX">'[10]RESERV. 5.0M3'!#REF!</definedName>
    <definedName name="E" localSheetId="15">#REF!</definedName>
    <definedName name="E" localSheetId="16">#REF!</definedName>
    <definedName name="E" localSheetId="17">#REF!</definedName>
    <definedName name="E">#REF!</definedName>
    <definedName name="ee" localSheetId="15">#REF!</definedName>
    <definedName name="ee" localSheetId="16">#REF!</definedName>
    <definedName name="ee" localSheetId="17">#REF!</definedName>
    <definedName name="ee">#REF!</definedName>
    <definedName name="ELF">'[10]RESERV. 5.0M3'!#REF!</definedName>
    <definedName name="EM">'[10]RESERV. 5.0M3'!#REF!</definedName>
    <definedName name="EP">'[10]RESERV. 5.0M3'!#REF!</definedName>
    <definedName name="ERRRR">'[9]Cuadro Nº06-C.U.'!#REF!</definedName>
    <definedName name="ERSEFSE">'[9]Cuadro Nº06-C.U.'!#REF!</definedName>
    <definedName name="ES">'[10]RESERV. 5.0M3'!#REF!</definedName>
    <definedName name="ET">'[10]RESERV. 5.0M3'!#REF!</definedName>
    <definedName name="ETPM">'[10]RESERV. 5.0M3'!#REF!</definedName>
    <definedName name="FE">'[10]RESERV. 5.0M3'!#REF!</definedName>
    <definedName name="FRRFRFR" localSheetId="15">#REF!</definedName>
    <definedName name="FRRFRFR" localSheetId="16">#REF!</definedName>
    <definedName name="FRRFRFR" localSheetId="17">#REF!</definedName>
    <definedName name="FRRFRFR">#REF!</definedName>
    <definedName name="FSDFSDF" localSheetId="15">#REF!</definedName>
    <definedName name="FSDFSDF" localSheetId="16">#REF!</definedName>
    <definedName name="FSDFSDF" localSheetId="17">#REF!</definedName>
    <definedName name="FSDFSDF">#REF!</definedName>
    <definedName name="GH" localSheetId="16">#REF!</definedName>
    <definedName name="GH" localSheetId="17">#REF!</definedName>
    <definedName name="GH">#REF!</definedName>
    <definedName name="gre">'[10]RESERV. 5.0M3'!#REF!</definedName>
    <definedName name="H">[20]Reser_Caset!$C$6</definedName>
    <definedName name="HHDGTEDFFD">#REF!</definedName>
    <definedName name="HHHHHHHH">'[10]RESERV. 5.0M3'!#REF!</definedName>
    <definedName name="HTML_CodePage" hidden="1">1252</definedName>
    <definedName name="HTML_Control" localSheetId="20" hidden="1">{"'Elasticidad en funcion precio'!$A$1:$H$30"}</definedName>
    <definedName name="HTML_Control" localSheetId="22" hidden="1">{"'Elasticidad en funcion precio'!$A$1:$H$30"}</definedName>
    <definedName name="HTML_Control" localSheetId="24" hidden="1">{"'Elasticidad en funcion precio'!$A$1:$H$30"}</definedName>
    <definedName name="HTML_Control" hidden="1">{"'Elasticidad en funcion precio'!$A$1:$H$30"}</definedName>
    <definedName name="HTML_Description" hidden="1">""</definedName>
    <definedName name="HTML_Email" hidden="1">""</definedName>
    <definedName name="HTML_Header" hidden="1">"Elasticidad en funcion precio"</definedName>
    <definedName name="HTML_LastUpdate" hidden="1">"13/02/99"</definedName>
    <definedName name="HTML_LineAfter" hidden="1">FALSE</definedName>
    <definedName name="HTML_LineBefore" hidden="1">FALSE</definedName>
    <definedName name="HTML_Name" hidden="1">"Michel Tissot"</definedName>
    <definedName name="HTML_OBDlg2" hidden="1">TRUE</definedName>
    <definedName name="HTML_OBDlg4" hidden="1">TRUE</definedName>
    <definedName name="HTML_OS" hidden="1">0</definedName>
    <definedName name="HTML_PathFile" hidden="1">"C:\Universidades\Materias\Evaluación de Proyectos\HTML.htm"</definedName>
    <definedName name="HTML_Title" hidden="1">"Estadisticas"</definedName>
    <definedName name="Invers.Alt.A">'[18]Pres&amp;C.Increm.'!$K$6</definedName>
    <definedName name="Invers.Altern.B">'[18]Pres&amp;C.Increm.'!$N$6</definedName>
    <definedName name="JHJHJ" localSheetId="15">#REF!</definedName>
    <definedName name="JHJHJ" localSheetId="16">#REF!</definedName>
    <definedName name="JHJHJ" localSheetId="17">#REF!</definedName>
    <definedName name="JHJHJ">#REF!</definedName>
    <definedName name="JJJJJ">'[10]RESERV. 5.0M3'!#REF!</definedName>
    <definedName name="jjjjjjjjjjjjjjj">#REF!</definedName>
    <definedName name="JODDI">'[10]RESERV. 5.0M3'!#REF!</definedName>
    <definedName name="JOSSI">'[10]RESERV. 5.0M3'!#REF!</definedName>
    <definedName name="kalito">#REF!</definedName>
    <definedName name="kalo">#REF!</definedName>
    <definedName name="KKKKK">'[10]RESERV. 5.0M3'!#REF!</definedName>
    <definedName name="L">'[10]RESERV. 5.0M3'!#REF!</definedName>
    <definedName name="La" localSheetId="0">#REF!</definedName>
    <definedName name="La" localSheetId="15">#REF!</definedName>
    <definedName name="La" localSheetId="16">#REF!</definedName>
    <definedName name="La" localSheetId="17">#REF!</definedName>
    <definedName name="La" localSheetId="18">#REF!</definedName>
    <definedName name="La" localSheetId="19">#REF!</definedName>
    <definedName name="La" localSheetId="20">#REF!</definedName>
    <definedName name="La" localSheetId="21">#REF!</definedName>
    <definedName name="La" localSheetId="22">#REF!</definedName>
    <definedName name="La" localSheetId="23">#REF!</definedName>
    <definedName name="La" localSheetId="24">#REF!</definedName>
    <definedName name="La" localSheetId="3">#REF!</definedName>
    <definedName name="La" localSheetId="4">#REF!</definedName>
    <definedName name="La" localSheetId="6">#REF!</definedName>
    <definedName name="La" localSheetId="7">#REF!</definedName>
    <definedName name="La" localSheetId="8">#REF!</definedName>
    <definedName name="La" localSheetId="12">#REF!</definedName>
    <definedName name="La" localSheetId="9">#REF!</definedName>
    <definedName name="La" localSheetId="10">#REF!</definedName>
    <definedName name="La" localSheetId="11">#REF!</definedName>
    <definedName name="La" localSheetId="14">#REF!</definedName>
    <definedName name="La" localSheetId="13">#REF!</definedName>
    <definedName name="La">#REF!</definedName>
    <definedName name="LAR" localSheetId="0">#REF!</definedName>
    <definedName name="LAR" localSheetId="15">#REF!</definedName>
    <definedName name="LAR" localSheetId="16">#REF!</definedName>
    <definedName name="LAR" localSheetId="17">#REF!</definedName>
    <definedName name="LAR" localSheetId="18">#REF!</definedName>
    <definedName name="LAR" localSheetId="19">#REF!</definedName>
    <definedName name="LAR" localSheetId="20">#REF!</definedName>
    <definedName name="LAR" localSheetId="21">#REF!</definedName>
    <definedName name="LAR" localSheetId="22">#REF!</definedName>
    <definedName name="LAR" localSheetId="23">#REF!</definedName>
    <definedName name="LAR" localSheetId="24">#REF!</definedName>
    <definedName name="LAR" localSheetId="3">#REF!</definedName>
    <definedName name="LAR" localSheetId="4">#REF!</definedName>
    <definedName name="LAR" localSheetId="6">#REF!</definedName>
    <definedName name="LAR" localSheetId="7">#REF!</definedName>
    <definedName name="LAR" localSheetId="8">#REF!</definedName>
    <definedName name="LAR" localSheetId="12">#REF!</definedName>
    <definedName name="LAR" localSheetId="9">#REF!</definedName>
    <definedName name="LAR" localSheetId="10">#REF!</definedName>
    <definedName name="LAR" localSheetId="11">#REF!</definedName>
    <definedName name="LAR" localSheetId="14">#REF!</definedName>
    <definedName name="LAR" localSheetId="13">#REF!</definedName>
    <definedName name="LAR">#REF!</definedName>
    <definedName name="Largo" localSheetId="0">#REF!</definedName>
    <definedName name="Largo" localSheetId="15">#REF!</definedName>
    <definedName name="Largo" localSheetId="16">#REF!</definedName>
    <definedName name="Largo" localSheetId="17">#REF!</definedName>
    <definedName name="Largo" localSheetId="18">#REF!</definedName>
    <definedName name="Largo" localSheetId="19">#REF!</definedName>
    <definedName name="Largo" localSheetId="20">#REF!</definedName>
    <definedName name="Largo" localSheetId="21">#REF!</definedName>
    <definedName name="Largo" localSheetId="22">#REF!</definedName>
    <definedName name="Largo" localSheetId="23">#REF!</definedName>
    <definedName name="Largo" localSheetId="24">#REF!</definedName>
    <definedName name="Largo" localSheetId="3">#REF!</definedName>
    <definedName name="Largo" localSheetId="4">#REF!</definedName>
    <definedName name="Largo" localSheetId="6">#REF!</definedName>
    <definedName name="Largo" localSheetId="7">#REF!</definedName>
    <definedName name="Largo" localSheetId="8">#REF!</definedName>
    <definedName name="Largo" localSheetId="12">#REF!</definedName>
    <definedName name="Largo" localSheetId="9">#REF!</definedName>
    <definedName name="Largo" localSheetId="10">#REF!</definedName>
    <definedName name="Largo" localSheetId="11">#REF!</definedName>
    <definedName name="Largo" localSheetId="14">#REF!</definedName>
    <definedName name="Largo" localSheetId="13">#REF!</definedName>
    <definedName name="Largo">#REF!</definedName>
    <definedName name="LC" localSheetId="15">'[15]2. Linea.Cond '!$B$10:$N$50</definedName>
    <definedName name="LC" localSheetId="16">'[15]2. Linea.Cond '!$B$10:$N$50</definedName>
    <definedName name="LC" localSheetId="17">'[15]2. Linea.Cond '!$B$10:$N$50</definedName>
    <definedName name="LC">'[16]2. Linea.Cond '!$B$10:$N$50</definedName>
    <definedName name="Lh" localSheetId="0">#REF!</definedName>
    <definedName name="Lh" localSheetId="15">#REF!</definedName>
    <definedName name="Lh" localSheetId="16">#REF!</definedName>
    <definedName name="Lh" localSheetId="17">#REF!</definedName>
    <definedName name="Lh" localSheetId="18">#REF!</definedName>
    <definedName name="Lh" localSheetId="19">#REF!</definedName>
    <definedName name="Lh" localSheetId="20">#REF!</definedName>
    <definedName name="Lh" localSheetId="21">#REF!</definedName>
    <definedName name="Lh" localSheetId="22">#REF!</definedName>
    <definedName name="Lh" localSheetId="23">#REF!</definedName>
    <definedName name="Lh" localSheetId="24">#REF!</definedName>
    <definedName name="Lh" localSheetId="14">#REF!</definedName>
    <definedName name="Lh" localSheetId="13">#REF!</definedName>
    <definedName name="Lh">#REF!</definedName>
    <definedName name="lista" localSheetId="20" hidden="1">{"'Elasticidad en funcion precio'!$A$1:$H$30"}</definedName>
    <definedName name="lista" localSheetId="22" hidden="1">{"'Elasticidad en funcion precio'!$A$1:$H$30"}</definedName>
    <definedName name="lista" localSheetId="24" hidden="1">{"'Elasticidad en funcion precio'!$A$1:$H$30"}</definedName>
    <definedName name="lista" hidden="1">{"'Elasticidad en funcion precio'!$A$1:$H$30"}</definedName>
    <definedName name="LKK">'[10]RESERV. 5.0M3'!#REF!</definedName>
    <definedName name="LLLLL" localSheetId="15">#REF!</definedName>
    <definedName name="LLLLL" localSheetId="16">#REF!</definedName>
    <definedName name="LLLLL" localSheetId="17">#REF!</definedName>
    <definedName name="LLLLL">#REF!</definedName>
    <definedName name="LOCALIDAD">#REF!</definedName>
    <definedName name="Lp" localSheetId="0">#REF!</definedName>
    <definedName name="Lp" localSheetId="15">#REF!</definedName>
    <definedName name="Lp" localSheetId="16">#REF!</definedName>
    <definedName name="Lp" localSheetId="17">#REF!</definedName>
    <definedName name="Lp" localSheetId="18">#REF!</definedName>
    <definedName name="Lp" localSheetId="19">#REF!</definedName>
    <definedName name="Lp" localSheetId="20">#REF!</definedName>
    <definedName name="Lp" localSheetId="21">#REF!</definedName>
    <definedName name="Lp" localSheetId="22">#REF!</definedName>
    <definedName name="Lp" localSheetId="23">#REF!</definedName>
    <definedName name="Lp" localSheetId="24">#REF!</definedName>
    <definedName name="Lp" localSheetId="14">#REF!</definedName>
    <definedName name="Lp" localSheetId="13">#REF!</definedName>
    <definedName name="Lp">#REF!</definedName>
    <definedName name="MIO">'[10]RESERV. 5.0M3'!#REF!</definedName>
    <definedName name="Mitig.Amb.Alt.B">'[18]Plan de Manejo Ambiental'!#REF!</definedName>
    <definedName name="Mitig.Amb.Altern.B">'[18]Plan de Manejo Ambiental'!#REF!</definedName>
    <definedName name="Mitig.Ambiemt.Alt.A">'[18]Plan de Manejo Ambiental'!#REF!</definedName>
    <definedName name="MMM">'[10]RESERV. 5.0M3'!#REF!</definedName>
    <definedName name="NN" localSheetId="0">#REF!</definedName>
    <definedName name="NN" localSheetId="15">#REF!</definedName>
    <definedName name="NN" localSheetId="16">#REF!</definedName>
    <definedName name="NN" localSheetId="17">#REF!</definedName>
    <definedName name="NN" localSheetId="18">#REF!</definedName>
    <definedName name="NN" localSheetId="19">#REF!</definedName>
    <definedName name="NN" localSheetId="20">#REF!</definedName>
    <definedName name="NN" localSheetId="21">#REF!</definedName>
    <definedName name="NN" localSheetId="22">#REF!</definedName>
    <definedName name="NN" localSheetId="23">#REF!</definedName>
    <definedName name="NN" localSheetId="24">#REF!</definedName>
    <definedName name="NN" localSheetId="14">#REF!</definedName>
    <definedName name="NN" localSheetId="13">#REF!</definedName>
    <definedName name="NN">#REF!</definedName>
    <definedName name="Nr" localSheetId="0">#REF!</definedName>
    <definedName name="Nr" localSheetId="15">#REF!</definedName>
    <definedName name="Nr" localSheetId="16">#REF!</definedName>
    <definedName name="Nr" localSheetId="17">#REF!</definedName>
    <definedName name="Nr" localSheetId="18">#REF!</definedName>
    <definedName name="Nr" localSheetId="19">#REF!</definedName>
    <definedName name="Nr" localSheetId="20">#REF!</definedName>
    <definedName name="Nr" localSheetId="21">#REF!</definedName>
    <definedName name="Nr" localSheetId="22">#REF!</definedName>
    <definedName name="Nr" localSheetId="23">#REF!</definedName>
    <definedName name="Nr" localSheetId="24">#REF!</definedName>
    <definedName name="Nr" localSheetId="14">#REF!</definedName>
    <definedName name="Nr" localSheetId="13">#REF!</definedName>
    <definedName name="Nr">#REF!</definedName>
    <definedName name="OK">'[21]2.2'!$B$27:$B$28,'[21]2.2'!#REF!</definedName>
    <definedName name="OLLL" localSheetId="15">#REF!</definedName>
    <definedName name="OLLL" localSheetId="16">#REF!</definedName>
    <definedName name="OLLL" localSheetId="17">#REF!</definedName>
    <definedName name="OLLL">#REF!</definedName>
    <definedName name="OP">'[9]Cuadro Nº06-C.U.'!#REF!</definedName>
    <definedName name="PE">'[10]RESERV. 5.0M3'!#REF!</definedName>
    <definedName name="PLANTATRATAMIENTO" localSheetId="15">'[15]3.1. FILTRO LENTO'!$A$36:$J$232</definedName>
    <definedName name="PLANTATRATAMIENTO" localSheetId="16">'[15]3.1. FILTRO LENTO'!$A$36:$J$232</definedName>
    <definedName name="PLANTATRATAMIENTO" localSheetId="17">'[15]3.1. FILTRO LENTO'!$A$36:$J$232</definedName>
    <definedName name="PLANTATRATAMIENTO">#REF!</definedName>
    <definedName name="PLI">'[10]RESERV. 5.0M3'!#REF!</definedName>
    <definedName name="POR">'[10]RESERV. 5.0M3'!#REF!</definedName>
    <definedName name="ppp">[19]AreaLaguna!#REF!</definedName>
    <definedName name="PresupuestoUBS" hidden="1">[12]Almacena!$P$15:$P$42</definedName>
    <definedName name="Q" localSheetId="15">#REF!</definedName>
    <definedName name="Q" localSheetId="16">#REF!</definedName>
    <definedName name="Q" localSheetId="17">#REF!</definedName>
    <definedName name="Q">#REF!</definedName>
    <definedName name="QQQ" hidden="1">'[12]Demanda Activa Agua'!$R$14:$R$41</definedName>
    <definedName name="QQQQQQQQQQQQQQQQQQQ">#REF!</definedName>
    <definedName name="RAY">#REF!</definedName>
    <definedName name="RES" localSheetId="16">#REF!</definedName>
    <definedName name="RES" localSheetId="17">#REF!</definedName>
    <definedName name="RES">#REF!</definedName>
    <definedName name="RESER">'[10]RESERV. 5.0M3'!#REF!</definedName>
    <definedName name="RESERVORIO12" localSheetId="15">'[15]6.0 RAP. 12m3 '!$A$88:$J$622</definedName>
    <definedName name="RESERVORIO12" localSheetId="16">'[15]6.0 RAP. 12m3 '!$A$88:$J$622</definedName>
    <definedName name="RESERVORIO12" localSheetId="17">'[15]6.0 RAP. 12m3 '!$A$88:$J$622</definedName>
    <definedName name="RESERVORIO12">'[16]6.0 RAP. 12m3 '!$A$88:$J$622</definedName>
    <definedName name="RRRRRRR">'[10]RESERV. 5.0M3'!#REF!</definedName>
    <definedName name="SAE">'[10]RESERV. 5.0M3'!#REF!</definedName>
    <definedName name="SANTAAURELIAALTO" localSheetId="15">#REF!</definedName>
    <definedName name="SANTAAURELIAALTO" localSheetId="16">#REF!</definedName>
    <definedName name="SANTAAURELIAALTO" localSheetId="17">#REF!</definedName>
    <definedName name="SANTAAURELIAALTO">#REF!</definedName>
    <definedName name="SDA">#REF!</definedName>
    <definedName name="SDES">#REF!</definedName>
    <definedName name="SDSD" localSheetId="15">#REF!</definedName>
    <definedName name="SDSD" localSheetId="16">#REF!</definedName>
    <definedName name="SDSD" localSheetId="17">#REF!</definedName>
    <definedName name="SDSD">#REF!</definedName>
    <definedName name="soje">'[10]RESERV. 5.0M3'!#REF!</definedName>
    <definedName name="srr">'[10]RESERV. 5.0M3'!#REF!</definedName>
    <definedName name="SSS">'[10]RESERV. 5.0M3'!#REF!</definedName>
    <definedName name="SSSS" hidden="1">[12]Tratamiento!$U$11:$U$40</definedName>
    <definedName name="sssss" localSheetId="15">'[22]RESERV. 5.0M3'!#REF!</definedName>
    <definedName name="sssss" localSheetId="16">'[22]RESERV. 5.0M3'!#REF!</definedName>
    <definedName name="sssss" localSheetId="17">'[22]RESERV. 5.0M3'!#REF!</definedName>
    <definedName name="sssss">'[23]RESERV. 5.0M3'!#REF!</definedName>
    <definedName name="SWSSSS" localSheetId="16">#REF!</definedName>
    <definedName name="SWSSSS" localSheetId="17">#REF!</definedName>
    <definedName name="SWSSSS">#REF!</definedName>
    <definedName name="_xlnm.Print_Titles" localSheetId="0">'1.1 MIT. AMB.'!$5:$5</definedName>
    <definedName name="_xlnm.Print_Titles" localSheetId="15">'1.10 CRUCE AEREO 2.50 M'!$7:$8</definedName>
    <definedName name="_xlnm.Print_Titles" localSheetId="16">'1.11 TUB. ANCL. A PUENTE'!$7:$8</definedName>
    <definedName name="_xlnm.Print_Titles" localSheetId="17">'1.12 TUB. ANCL. ALCANT.'!$7:$8</definedName>
    <definedName name="_xlnm.Print_Titles" localSheetId="18">'1.13 CONEX. DOMIC.'!$1:$18</definedName>
    <definedName name="_xlnm.Print_Titles" localSheetId="19">'1.14 LAV. DOMIC.'!$1:$21</definedName>
    <definedName name="_xlnm.Print_Titles" localSheetId="20">'1.14 M- ACERO LAV.'!$3:$12</definedName>
    <definedName name="_xlnm.Print_Titles" localSheetId="21">'1.15 LAV. INICIAL.'!$1:$19</definedName>
    <definedName name="_xlnm.Print_Titles" localSheetId="23">'1.16 LAVAD. PRIMAR.'!$1:$19</definedName>
    <definedName name="_xlnm.Print_Titles" localSheetId="1">'1.2 CAP. T- LADERA'!$1:$5</definedName>
    <definedName name="_xlnm.Print_Titles" localSheetId="2">'1.2 MET. DE ACERO'!$2:$8</definedName>
    <definedName name="_xlnm.Print_Titles" localSheetId="3">'1.3 L-COND.'!$1:$12</definedName>
    <definedName name="_xlnm.Print_Titles" localSheetId="5">'1.4 METR.ACERO 5M3'!$2:$7</definedName>
    <definedName name="_xlnm.Print_Titles" localSheetId="4">'1.4 RESERV. 5M3'!$25:$25</definedName>
    <definedName name="_xlnm.Print_Titles" localSheetId="6">'1.5 L-ADUCC.'!$1:$12</definedName>
    <definedName name="_xlnm.Print_Titles" localSheetId="7">'1.6 RED DE DISTRIB.'!$1:$21</definedName>
    <definedName name="_xlnm.Print_Titles" localSheetId="8">'1.7 VALV-AIRE'!$1:$18</definedName>
    <definedName name="_xlnm.Print_Titles" localSheetId="9">'1.8. VALV-PURGA T-1'!$1:$18</definedName>
    <definedName name="_xlnm.Print_Titles" localSheetId="11">'1.8.2 VALV-PURGA T-2'!$1:$18</definedName>
    <definedName name="_xlnm.Print_Titles" localSheetId="13">'1.9 VALV-CONTROL'!$1:$18</definedName>
    <definedName name="total">'[24]2.2'!$B$27:$B$28,'[24]2.2'!#REF!</definedName>
    <definedName name="TRE">'[10]RESERV. 5.0M3'!#REF!</definedName>
    <definedName name="TREE">'[10]RESERV. 5.0M3'!#REF!</definedName>
    <definedName name="TRER" localSheetId="16">#REF!</definedName>
    <definedName name="TRER" localSheetId="17">#REF!</definedName>
    <definedName name="TRER">#REF!</definedName>
    <definedName name="tt" localSheetId="15">#REF!</definedName>
    <definedName name="tt" localSheetId="16">#REF!</definedName>
    <definedName name="tt" localSheetId="17">#REF!</definedName>
    <definedName name="tt">#REF!</definedName>
    <definedName name="TTTT" localSheetId="15">#REF!</definedName>
    <definedName name="TTTT" localSheetId="16">#REF!</definedName>
    <definedName name="TTTT" localSheetId="17">#REF!</definedName>
    <definedName name="TTTT">#REF!</definedName>
    <definedName name="TTTTTTT">'[10]RESERV. 5.0M3'!#REF!</definedName>
    <definedName name="TUI">'[9]Cuadro Nº06-C.U.'!#REF!</definedName>
    <definedName name="TYU" localSheetId="16">#REF!</definedName>
    <definedName name="TYU" localSheetId="17">#REF!</definedName>
    <definedName name="TYU">#REF!</definedName>
    <definedName name="TYUI">'[9]Cuadro Nº06-C.U.'!#REF!</definedName>
    <definedName name="UINFDUNFD">'[10]RESERV. 5.0M3'!#REF!</definedName>
    <definedName name="uyt">'[10]RESERV. 5.0M3'!#REF!</definedName>
    <definedName name="V">[25]Reservorios!$D$151:$D$151</definedName>
    <definedName name="vg" localSheetId="16">#REF!</definedName>
    <definedName name="vg" localSheetId="17">#REF!</definedName>
    <definedName name="vg">#REF!</definedName>
    <definedName name="VT">'[10]RESERV. 5.0M3'!#REF!</definedName>
    <definedName name="XXX" localSheetId="15">#REF!</definedName>
    <definedName name="XXX" localSheetId="16">#REF!</definedName>
    <definedName name="XXX" localSheetId="17">#REF!</definedName>
    <definedName name="XXX">#REF!</definedName>
    <definedName name="YUI" localSheetId="16">#REF!</definedName>
    <definedName name="YUI" localSheetId="17">#REF!</definedName>
    <definedName name="YUI">#REF!</definedName>
    <definedName name="YUO" localSheetId="16">#REF!</definedName>
    <definedName name="YUO" localSheetId="17">#REF!</definedName>
    <definedName name="YUO">#REF!</definedName>
    <definedName name="YYYYY">'[9]Cuadro Nº06-C.U.'!#REF!</definedName>
    <definedName name="Z">'[10]RESERV. 5.0M3'!#REF!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7" i="32" l="1"/>
  <c r="F78" i="32"/>
  <c r="F66" i="32"/>
  <c r="F54" i="32"/>
  <c r="F22" i="32"/>
  <c r="F44" i="32"/>
  <c r="F29" i="32"/>
  <c r="E46" i="32" s="1"/>
  <c r="F23" i="32"/>
  <c r="E41" i="32" s="1"/>
  <c r="F39" i="32" l="1"/>
  <c r="H165" i="48" l="1"/>
  <c r="I164" i="48" s="1"/>
  <c r="H162" i="48"/>
  <c r="I161" i="48" s="1"/>
  <c r="B25" i="41"/>
  <c r="B9" i="52"/>
  <c r="E9" i="52"/>
  <c r="N15" i="52"/>
  <c r="O15" i="52"/>
  <c r="P15" i="52"/>
  <c r="Q15" i="52"/>
  <c r="R15" i="52"/>
  <c r="S15" i="52"/>
  <c r="T15" i="52"/>
  <c r="N20" i="52"/>
  <c r="O20" i="52"/>
  <c r="P20" i="52"/>
  <c r="Q20" i="52"/>
  <c r="R20" i="52"/>
  <c r="S20" i="52"/>
  <c r="T20" i="52"/>
  <c r="T228" i="52" s="1"/>
  <c r="T230" i="52" s="1"/>
  <c r="N25" i="52"/>
  <c r="O25" i="52"/>
  <c r="P25" i="52"/>
  <c r="Q25" i="52"/>
  <c r="R25" i="52"/>
  <c r="S25" i="52"/>
  <c r="T25" i="52"/>
  <c r="N30" i="52"/>
  <c r="O30" i="52"/>
  <c r="P30" i="52"/>
  <c r="Q30" i="52"/>
  <c r="R30" i="52"/>
  <c r="S30" i="52"/>
  <c r="T30" i="52"/>
  <c r="N35" i="52"/>
  <c r="O35" i="52"/>
  <c r="P35" i="52"/>
  <c r="Q35" i="52"/>
  <c r="R35" i="52"/>
  <c r="S35" i="52"/>
  <c r="T35" i="52"/>
  <c r="N40" i="52"/>
  <c r="O40" i="52"/>
  <c r="P40" i="52"/>
  <c r="Q40" i="52"/>
  <c r="R40" i="52"/>
  <c r="S40" i="52"/>
  <c r="T40" i="52"/>
  <c r="N45" i="52"/>
  <c r="O45" i="52"/>
  <c r="P45" i="52"/>
  <c r="Q45" i="52"/>
  <c r="R45" i="52"/>
  <c r="S45" i="52"/>
  <c r="T45" i="52"/>
  <c r="N50" i="52"/>
  <c r="O50" i="52"/>
  <c r="P50" i="52"/>
  <c r="Q50" i="52"/>
  <c r="R50" i="52"/>
  <c r="S50" i="52"/>
  <c r="T50" i="52"/>
  <c r="N55" i="52"/>
  <c r="O55" i="52"/>
  <c r="P55" i="52"/>
  <c r="Q55" i="52"/>
  <c r="R55" i="52"/>
  <c r="R228" i="52" s="1"/>
  <c r="R230" i="52" s="1"/>
  <c r="S55" i="52"/>
  <c r="T55" i="52"/>
  <c r="G56" i="52"/>
  <c r="M60" i="52"/>
  <c r="N60" i="52"/>
  <c r="O60" i="52"/>
  <c r="P60" i="52"/>
  <c r="Q60" i="52"/>
  <c r="R60" i="52"/>
  <c r="S60" i="52"/>
  <c r="T60" i="52"/>
  <c r="N65" i="52"/>
  <c r="O65" i="52"/>
  <c r="P65" i="52"/>
  <c r="Q65" i="52"/>
  <c r="R65" i="52"/>
  <c r="S65" i="52"/>
  <c r="T65" i="52"/>
  <c r="N70" i="52"/>
  <c r="O70" i="52"/>
  <c r="P70" i="52"/>
  <c r="Q70" i="52"/>
  <c r="R70" i="52"/>
  <c r="S70" i="52"/>
  <c r="T70" i="52"/>
  <c r="G75" i="52"/>
  <c r="N75" i="52" s="1"/>
  <c r="O75" i="52"/>
  <c r="P75" i="52"/>
  <c r="Q75" i="52"/>
  <c r="R75" i="52"/>
  <c r="S75" i="52"/>
  <c r="T75" i="52"/>
  <c r="N80" i="52"/>
  <c r="O80" i="52"/>
  <c r="P80" i="52"/>
  <c r="Q80" i="52"/>
  <c r="R80" i="52"/>
  <c r="S80" i="52"/>
  <c r="T80" i="52"/>
  <c r="N85" i="52"/>
  <c r="O85" i="52"/>
  <c r="P85" i="52"/>
  <c r="Q85" i="52"/>
  <c r="R85" i="52"/>
  <c r="S85" i="52"/>
  <c r="T85" i="52"/>
  <c r="N90" i="52"/>
  <c r="O90" i="52"/>
  <c r="P90" i="52"/>
  <c r="Q90" i="52"/>
  <c r="R90" i="52"/>
  <c r="S90" i="52"/>
  <c r="T90" i="52"/>
  <c r="N95" i="52"/>
  <c r="O95" i="52"/>
  <c r="P95" i="52"/>
  <c r="Q95" i="52"/>
  <c r="R95" i="52"/>
  <c r="S95" i="52"/>
  <c r="T95" i="52"/>
  <c r="N100" i="52"/>
  <c r="O100" i="52"/>
  <c r="P100" i="52"/>
  <c r="Q100" i="52"/>
  <c r="R100" i="52"/>
  <c r="S100" i="52"/>
  <c r="T100" i="52"/>
  <c r="N105" i="52"/>
  <c r="O105" i="52"/>
  <c r="P105" i="52"/>
  <c r="Q105" i="52"/>
  <c r="R105" i="52"/>
  <c r="S105" i="52"/>
  <c r="T105" i="52"/>
  <c r="N110" i="52"/>
  <c r="O110" i="52"/>
  <c r="P110" i="52"/>
  <c r="Q110" i="52"/>
  <c r="R110" i="52"/>
  <c r="S110" i="52"/>
  <c r="T110" i="52"/>
  <c r="N115" i="52"/>
  <c r="O115" i="52"/>
  <c r="P115" i="52"/>
  <c r="Q115" i="52"/>
  <c r="R115" i="52"/>
  <c r="S115" i="52"/>
  <c r="T115" i="52"/>
  <c r="N120" i="52"/>
  <c r="O120" i="52"/>
  <c r="P120" i="52"/>
  <c r="Q120" i="52"/>
  <c r="R120" i="52"/>
  <c r="S120" i="52"/>
  <c r="T120" i="52"/>
  <c r="N125" i="52"/>
  <c r="O125" i="52"/>
  <c r="P125" i="52"/>
  <c r="Q125" i="52"/>
  <c r="R125" i="52"/>
  <c r="S125" i="52"/>
  <c r="T125" i="52"/>
  <c r="N130" i="52"/>
  <c r="O130" i="52"/>
  <c r="P130" i="52"/>
  <c r="Q130" i="52"/>
  <c r="R130" i="52"/>
  <c r="S130" i="52"/>
  <c r="T130" i="52"/>
  <c r="N135" i="52"/>
  <c r="O135" i="52"/>
  <c r="P135" i="52"/>
  <c r="Q135" i="52"/>
  <c r="R135" i="52"/>
  <c r="S135" i="52"/>
  <c r="T135" i="52"/>
  <c r="N140" i="52"/>
  <c r="O140" i="52"/>
  <c r="P140" i="52"/>
  <c r="Q140" i="52"/>
  <c r="R140" i="52"/>
  <c r="S140" i="52"/>
  <c r="T140" i="52"/>
  <c r="N145" i="52"/>
  <c r="O145" i="52"/>
  <c r="P145" i="52"/>
  <c r="Q145" i="52"/>
  <c r="R145" i="52"/>
  <c r="S145" i="52"/>
  <c r="T145" i="52"/>
  <c r="I149" i="52"/>
  <c r="N150" i="52"/>
  <c r="O150" i="52"/>
  <c r="P150" i="52"/>
  <c r="Q150" i="52"/>
  <c r="R150" i="52"/>
  <c r="S150" i="52"/>
  <c r="T150" i="52"/>
  <c r="N155" i="52"/>
  <c r="O155" i="52"/>
  <c r="P155" i="52"/>
  <c r="Q155" i="52"/>
  <c r="R155" i="52"/>
  <c r="S155" i="52"/>
  <c r="T155" i="52"/>
  <c r="I159" i="52"/>
  <c r="N160" i="52" s="1"/>
  <c r="O161" i="52"/>
  <c r="P161" i="52"/>
  <c r="Q161" i="52"/>
  <c r="R161" i="52"/>
  <c r="S161" i="52"/>
  <c r="T161" i="52"/>
  <c r="H163" i="52"/>
  <c r="N165" i="52"/>
  <c r="O165" i="52"/>
  <c r="P165" i="52"/>
  <c r="Q165" i="52"/>
  <c r="R165" i="52"/>
  <c r="S165" i="52"/>
  <c r="T165" i="52"/>
  <c r="N170" i="52"/>
  <c r="O170" i="52"/>
  <c r="P170" i="52"/>
  <c r="Q170" i="52"/>
  <c r="R170" i="52"/>
  <c r="S170" i="52"/>
  <c r="T170" i="52"/>
  <c r="N175" i="52"/>
  <c r="O175" i="52"/>
  <c r="P175" i="52"/>
  <c r="Q175" i="52"/>
  <c r="R175" i="52"/>
  <c r="S175" i="52"/>
  <c r="T175" i="52"/>
  <c r="N180" i="52"/>
  <c r="O180" i="52"/>
  <c r="P180" i="52"/>
  <c r="Q180" i="52"/>
  <c r="R180" i="52"/>
  <c r="S180" i="52"/>
  <c r="T180" i="52"/>
  <c r="G183" i="52"/>
  <c r="N185" i="52"/>
  <c r="O185" i="52"/>
  <c r="P185" i="52"/>
  <c r="Q185" i="52"/>
  <c r="R185" i="52"/>
  <c r="S185" i="52"/>
  <c r="T185" i="52"/>
  <c r="N190" i="52"/>
  <c r="O190" i="52"/>
  <c r="P190" i="52"/>
  <c r="Q190" i="52"/>
  <c r="R190" i="52"/>
  <c r="S190" i="52"/>
  <c r="T190" i="52"/>
  <c r="I195" i="52"/>
  <c r="N195" i="52"/>
  <c r="O195" i="52"/>
  <c r="P195" i="52"/>
  <c r="Q195" i="52"/>
  <c r="R195" i="52"/>
  <c r="S195" i="52"/>
  <c r="T195" i="52"/>
  <c r="N200" i="52"/>
  <c r="O200" i="52"/>
  <c r="P200" i="52"/>
  <c r="Q200" i="52"/>
  <c r="R200" i="52"/>
  <c r="S200" i="52"/>
  <c r="T200" i="52"/>
  <c r="F204" i="52"/>
  <c r="N205" i="52" s="1"/>
  <c r="O205" i="52"/>
  <c r="P205" i="52"/>
  <c r="Q205" i="52"/>
  <c r="R205" i="52"/>
  <c r="S205" i="52"/>
  <c r="T205" i="52"/>
  <c r="N210" i="52"/>
  <c r="O210" i="52"/>
  <c r="P210" i="52"/>
  <c r="Q210" i="52"/>
  <c r="R210" i="52"/>
  <c r="S210" i="52"/>
  <c r="T210" i="52"/>
  <c r="N215" i="52"/>
  <c r="O215" i="52"/>
  <c r="P215" i="52"/>
  <c r="Q215" i="52"/>
  <c r="R215" i="52"/>
  <c r="S215" i="52"/>
  <c r="T215" i="52"/>
  <c r="N220" i="52"/>
  <c r="O220" i="52"/>
  <c r="P220" i="52"/>
  <c r="Q220" i="52"/>
  <c r="R220" i="52"/>
  <c r="S220" i="52"/>
  <c r="T220" i="52"/>
  <c r="N225" i="52"/>
  <c r="O225" i="52"/>
  <c r="P225" i="52"/>
  <c r="Q225" i="52"/>
  <c r="R225" i="52"/>
  <c r="S225" i="52"/>
  <c r="T225" i="52"/>
  <c r="B19" i="51"/>
  <c r="E19" i="51"/>
  <c r="C19" i="51" s="1"/>
  <c r="C20" i="51"/>
  <c r="C21" i="51"/>
  <c r="B23" i="51"/>
  <c r="B30" i="51" s="1"/>
  <c r="E23" i="51"/>
  <c r="B24" i="51"/>
  <c r="B27" i="51"/>
  <c r="M32" i="51"/>
  <c r="G68" i="51" s="1"/>
  <c r="I68" i="51" s="1"/>
  <c r="B33" i="51"/>
  <c r="B48" i="51" s="1"/>
  <c r="E33" i="51"/>
  <c r="M33" i="51"/>
  <c r="F67" i="51" s="1"/>
  <c r="I67" i="51" s="1"/>
  <c r="I66" i="51" s="1"/>
  <c r="J66" i="51" s="1"/>
  <c r="B34" i="51"/>
  <c r="G40" i="51"/>
  <c r="M41" i="51"/>
  <c r="B43" i="51"/>
  <c r="F45" i="51"/>
  <c r="G45" i="51"/>
  <c r="H45" i="51"/>
  <c r="I45" i="51"/>
  <c r="M45" i="51"/>
  <c r="H46" i="51"/>
  <c r="B51" i="51"/>
  <c r="B52" i="51" s="1"/>
  <c r="E51" i="51"/>
  <c r="F53" i="51"/>
  <c r="G53" i="51"/>
  <c r="H53" i="51"/>
  <c r="I53" i="51"/>
  <c r="I52" i="51" s="1"/>
  <c r="J52" i="51" s="1"/>
  <c r="F54" i="51"/>
  <c r="G54" i="51"/>
  <c r="H54" i="51"/>
  <c r="I54" i="51"/>
  <c r="I57" i="51"/>
  <c r="I56" i="51" s="1"/>
  <c r="J56" i="51" s="1"/>
  <c r="I58" i="51"/>
  <c r="F61" i="51"/>
  <c r="H61" i="51"/>
  <c r="I61" i="51"/>
  <c r="I60" i="51" s="1"/>
  <c r="J60" i="51" s="1"/>
  <c r="G62" i="51"/>
  <c r="H62" i="51"/>
  <c r="I62" i="51"/>
  <c r="F63" i="51"/>
  <c r="H63" i="51"/>
  <c r="I63" i="51"/>
  <c r="G64" i="51"/>
  <c r="H64" i="51"/>
  <c r="I64" i="51"/>
  <c r="B66" i="51"/>
  <c r="H67" i="51"/>
  <c r="H68" i="51"/>
  <c r="F69" i="51"/>
  <c r="H69" i="51"/>
  <c r="I69" i="51"/>
  <c r="G70" i="51"/>
  <c r="H70" i="51"/>
  <c r="I70" i="51"/>
  <c r="B75" i="51"/>
  <c r="E75" i="51"/>
  <c r="B76" i="51"/>
  <c r="F77" i="51"/>
  <c r="H77" i="51"/>
  <c r="I77" i="51"/>
  <c r="I76" i="51" s="1"/>
  <c r="J76" i="51" s="1"/>
  <c r="G78" i="51"/>
  <c r="H78" i="51"/>
  <c r="I78" i="51"/>
  <c r="F79" i="51"/>
  <c r="H79" i="51"/>
  <c r="I79" i="51" s="1"/>
  <c r="G80" i="51"/>
  <c r="H80" i="51"/>
  <c r="I80" i="51"/>
  <c r="B82" i="51"/>
  <c r="E82" i="51"/>
  <c r="B83" i="51"/>
  <c r="F84" i="51"/>
  <c r="G84" i="51"/>
  <c r="H84" i="51"/>
  <c r="I84" i="51"/>
  <c r="I83" i="51" s="1"/>
  <c r="J83" i="51" s="1"/>
  <c r="B86" i="51"/>
  <c r="B87" i="51" s="1"/>
  <c r="E86" i="51"/>
  <c r="C87" i="51"/>
  <c r="E87" i="51"/>
  <c r="I87" i="51"/>
  <c r="J87" i="51"/>
  <c r="C88" i="51"/>
  <c r="E88" i="51"/>
  <c r="C89" i="51"/>
  <c r="E89" i="51"/>
  <c r="C90" i="51"/>
  <c r="E90" i="51"/>
  <c r="C91" i="51"/>
  <c r="E91" i="51"/>
  <c r="C92" i="51"/>
  <c r="C93" i="51"/>
  <c r="C94" i="51"/>
  <c r="E94" i="51"/>
  <c r="C96" i="51"/>
  <c r="E96" i="51"/>
  <c r="I96" i="51"/>
  <c r="J96" i="51"/>
  <c r="C97" i="51"/>
  <c r="E97" i="51"/>
  <c r="C98" i="51"/>
  <c r="E98" i="51"/>
  <c r="C99" i="51"/>
  <c r="E99" i="51"/>
  <c r="C100" i="51"/>
  <c r="E100" i="51"/>
  <c r="C101" i="51"/>
  <c r="E101" i="51"/>
  <c r="C102" i="51"/>
  <c r="E102" i="51"/>
  <c r="C103" i="51"/>
  <c r="E103" i="51"/>
  <c r="B105" i="51"/>
  <c r="E105" i="51"/>
  <c r="B106" i="51"/>
  <c r="I106" i="51"/>
  <c r="J106" i="51"/>
  <c r="H113" i="51"/>
  <c r="G113" i="51" s="1"/>
  <c r="I113" i="51"/>
  <c r="G114" i="51"/>
  <c r="H115" i="51"/>
  <c r="G115" i="51" s="1"/>
  <c r="I115" i="51"/>
  <c r="G116" i="51"/>
  <c r="G117" i="51"/>
  <c r="H117" i="51"/>
  <c r="I117" i="51"/>
  <c r="H118" i="51"/>
  <c r="G118" i="51" s="1"/>
  <c r="I118" i="51"/>
  <c r="H119" i="51"/>
  <c r="G119" i="51" s="1"/>
  <c r="I119" i="51"/>
  <c r="G120" i="51"/>
  <c r="I120" i="51"/>
  <c r="H121" i="51"/>
  <c r="G121" i="51" s="1"/>
  <c r="I121" i="51"/>
  <c r="S228" i="52" l="1"/>
  <c r="S230" i="52" s="1"/>
  <c r="P228" i="52"/>
  <c r="P230" i="52" s="1"/>
  <c r="O228" i="52"/>
  <c r="O230" i="52" s="1"/>
  <c r="Q228" i="52"/>
  <c r="Q230" i="52" s="1"/>
  <c r="O231" i="52"/>
  <c r="I73" i="51" s="1"/>
  <c r="I72" i="51" s="1"/>
  <c r="J72" i="51" s="1"/>
  <c r="B56" i="51"/>
  <c r="F46" i="51"/>
  <c r="B72" i="51"/>
  <c r="G46" i="51"/>
  <c r="M38" i="51"/>
  <c r="B96" i="51"/>
  <c r="M39" i="51"/>
  <c r="B60" i="51"/>
  <c r="M43" i="51" l="1"/>
  <c r="G39" i="51"/>
  <c r="G38" i="51"/>
  <c r="M42" i="51"/>
  <c r="I46" i="51"/>
  <c r="G36" i="51" l="1"/>
  <c r="G25" i="51"/>
  <c r="G37" i="51"/>
  <c r="F25" i="51"/>
  <c r="A333" i="29"/>
  <c r="A318" i="29"/>
  <c r="A314" i="29"/>
  <c r="A305" i="29"/>
  <c r="A296" i="29"/>
  <c r="A283" i="29"/>
  <c r="A277" i="29"/>
  <c r="F28" i="51" l="1"/>
  <c r="F31" i="51"/>
  <c r="I25" i="51"/>
  <c r="I24" i="51" s="1"/>
  <c r="J24" i="51" s="1"/>
  <c r="G28" i="51"/>
  <c r="G31" i="51"/>
  <c r="H35" i="51"/>
  <c r="B5" i="50"/>
  <c r="E8" i="50"/>
  <c r="N14" i="50"/>
  <c r="O14" i="50"/>
  <c r="P14" i="50"/>
  <c r="Q14" i="50"/>
  <c r="R14" i="50"/>
  <c r="R42" i="50" s="1"/>
  <c r="R44" i="50" s="1"/>
  <c r="S14" i="50"/>
  <c r="S42" i="50" s="1"/>
  <c r="S44" i="50" s="1"/>
  <c r="T14" i="50"/>
  <c r="T42" i="50" s="1"/>
  <c r="T44" i="50" s="1"/>
  <c r="N19" i="50"/>
  <c r="O19" i="50"/>
  <c r="O42" i="50" s="1"/>
  <c r="O44" i="50" s="1"/>
  <c r="P19" i="50"/>
  <c r="Q19" i="50"/>
  <c r="R19" i="50"/>
  <c r="S19" i="50"/>
  <c r="T19" i="50"/>
  <c r="N24" i="50"/>
  <c r="O24" i="50"/>
  <c r="P24" i="50"/>
  <c r="Q24" i="50"/>
  <c r="R24" i="50"/>
  <c r="S24" i="50"/>
  <c r="T24" i="50"/>
  <c r="N29" i="50"/>
  <c r="O29" i="50"/>
  <c r="P29" i="50"/>
  <c r="Q29" i="50"/>
  <c r="R29" i="50"/>
  <c r="S29" i="50"/>
  <c r="T29" i="50"/>
  <c r="N34" i="50"/>
  <c r="O34" i="50"/>
  <c r="P34" i="50"/>
  <c r="Q34" i="50"/>
  <c r="R34" i="50"/>
  <c r="S34" i="50"/>
  <c r="T34" i="50"/>
  <c r="N39" i="50"/>
  <c r="O39" i="50"/>
  <c r="P39" i="50"/>
  <c r="Q39" i="50"/>
  <c r="R39" i="50"/>
  <c r="S39" i="50"/>
  <c r="T39" i="50"/>
  <c r="P42" i="50"/>
  <c r="P44" i="50" s="1"/>
  <c r="Q42" i="50"/>
  <c r="Q44" i="50" s="1"/>
  <c r="A20" i="48"/>
  <c r="A22" i="48" s="1"/>
  <c r="B20" i="48"/>
  <c r="D22" i="48"/>
  <c r="H24" i="48"/>
  <c r="E25" i="48"/>
  <c r="E39" i="48" s="1"/>
  <c r="F25" i="48"/>
  <c r="F39" i="48" s="1"/>
  <c r="H25" i="48"/>
  <c r="H26" i="48"/>
  <c r="H27" i="48"/>
  <c r="H28" i="48"/>
  <c r="E31" i="48"/>
  <c r="F31" i="48"/>
  <c r="E33" i="48"/>
  <c r="F33" i="48"/>
  <c r="H33" i="48"/>
  <c r="E34" i="48"/>
  <c r="E47" i="48" s="1"/>
  <c r="F34" i="48"/>
  <c r="H34" i="48"/>
  <c r="E35" i="48"/>
  <c r="F35" i="48"/>
  <c r="H35" i="48"/>
  <c r="E38" i="48"/>
  <c r="F38" i="48"/>
  <c r="H38" i="48"/>
  <c r="E40" i="48"/>
  <c r="F40" i="48"/>
  <c r="E41" i="48"/>
  <c r="F41" i="48"/>
  <c r="E42" i="48"/>
  <c r="F42" i="48"/>
  <c r="D44" i="48"/>
  <c r="H46" i="48"/>
  <c r="D47" i="48"/>
  <c r="H48" i="48"/>
  <c r="H51" i="48"/>
  <c r="H52" i="48"/>
  <c r="A57" i="48"/>
  <c r="A58" i="48" s="1"/>
  <c r="D57" i="48"/>
  <c r="E59" i="48"/>
  <c r="F59" i="48"/>
  <c r="H59" i="48" s="1"/>
  <c r="H58" i="48" s="1"/>
  <c r="I58" i="48" s="1"/>
  <c r="H62" i="48"/>
  <c r="H63" i="48"/>
  <c r="H64" i="48"/>
  <c r="H65" i="48"/>
  <c r="H66" i="48"/>
  <c r="H67" i="48"/>
  <c r="H70" i="48"/>
  <c r="H69" i="48" s="1"/>
  <c r="H73" i="48"/>
  <c r="H74" i="48"/>
  <c r="H75" i="48"/>
  <c r="H76" i="48"/>
  <c r="H77" i="48"/>
  <c r="D79" i="48"/>
  <c r="H81" i="48"/>
  <c r="H82" i="48"/>
  <c r="H83" i="48"/>
  <c r="H86" i="48"/>
  <c r="H85" i="48" s="1"/>
  <c r="I85" i="48" s="1"/>
  <c r="H90" i="48"/>
  <c r="H91" i="48"/>
  <c r="H92" i="48"/>
  <c r="H93" i="48"/>
  <c r="H97" i="48"/>
  <c r="H95" i="48" s="1"/>
  <c r="D102" i="48"/>
  <c r="H105" i="48"/>
  <c r="H106" i="48"/>
  <c r="H107" i="48"/>
  <c r="H108" i="48"/>
  <c r="H111" i="48"/>
  <c r="H112" i="48"/>
  <c r="H113" i="48"/>
  <c r="H114" i="48"/>
  <c r="H115" i="48"/>
  <c r="H116" i="48"/>
  <c r="H120" i="48"/>
  <c r="H121" i="48"/>
  <c r="H122" i="48"/>
  <c r="H123" i="48"/>
  <c r="H124" i="48"/>
  <c r="H125" i="48"/>
  <c r="H126" i="48"/>
  <c r="H127" i="48"/>
  <c r="H128" i="48"/>
  <c r="H129" i="48"/>
  <c r="H131" i="48"/>
  <c r="H132" i="48"/>
  <c r="H133" i="48"/>
  <c r="H134" i="48"/>
  <c r="H135" i="48"/>
  <c r="D137" i="48"/>
  <c r="B138" i="48"/>
  <c r="H138" i="48"/>
  <c r="I138" i="48"/>
  <c r="G176" i="48"/>
  <c r="F176" i="48" s="1"/>
  <c r="H176" i="48"/>
  <c r="F177" i="48"/>
  <c r="G178" i="48"/>
  <c r="F178" i="48" s="1"/>
  <c r="H178" i="48"/>
  <c r="F179" i="48"/>
  <c r="G180" i="48"/>
  <c r="F180" i="48" s="1"/>
  <c r="H180" i="48"/>
  <c r="G181" i="48"/>
  <c r="F181" i="48" s="1"/>
  <c r="H181" i="48"/>
  <c r="G182" i="48"/>
  <c r="F182" i="48" s="1"/>
  <c r="F183" i="48"/>
  <c r="H183" i="48"/>
  <c r="G184" i="48"/>
  <c r="F184" i="48" s="1"/>
  <c r="H184" i="48"/>
  <c r="H118" i="48" l="1"/>
  <c r="I118" i="48" s="1"/>
  <c r="H72" i="48"/>
  <c r="I72" i="48" s="1"/>
  <c r="H31" i="48"/>
  <c r="H41" i="48"/>
  <c r="H61" i="48"/>
  <c r="I61" i="48" s="1"/>
  <c r="H88" i="48"/>
  <c r="I88" i="48" s="1"/>
  <c r="A69" i="48"/>
  <c r="H23" i="48"/>
  <c r="I23" i="48" s="1"/>
  <c r="H47" i="48"/>
  <c r="H40" i="48"/>
  <c r="A79" i="48"/>
  <c r="I95" i="48"/>
  <c r="H42" i="48"/>
  <c r="A72" i="48"/>
  <c r="I69" i="48"/>
  <c r="H50" i="48"/>
  <c r="I50" i="48" s="1"/>
  <c r="H39" i="48"/>
  <c r="A102" i="48"/>
  <c r="A103" i="48" s="1"/>
  <c r="A44" i="48"/>
  <c r="H182" i="48"/>
  <c r="A137" i="48"/>
  <c r="A138" i="48" s="1"/>
  <c r="H103" i="48"/>
  <c r="I103" i="48" s="1"/>
  <c r="H80" i="48"/>
  <c r="I80" i="48" s="1"/>
  <c r="A61" i="48"/>
  <c r="I35" i="51"/>
  <c r="I34" i="51" s="1"/>
  <c r="H44" i="51"/>
  <c r="I44" i="51" s="1"/>
  <c r="I43" i="51" s="1"/>
  <c r="J43" i="51" s="1"/>
  <c r="I31" i="51"/>
  <c r="I30" i="51" s="1"/>
  <c r="J30" i="51" s="1"/>
  <c r="I28" i="51"/>
  <c r="I27" i="51" s="1"/>
  <c r="J27" i="51" s="1"/>
  <c r="O45" i="50"/>
  <c r="H100" i="48" s="1"/>
  <c r="H99" i="48" s="1"/>
  <c r="I99" i="48" s="1"/>
  <c r="H45" i="48"/>
  <c r="A37" i="48"/>
  <c r="A23" i="48"/>
  <c r="A30" i="48"/>
  <c r="F32" i="48"/>
  <c r="E32" i="48"/>
  <c r="H32" i="48" s="1"/>
  <c r="H30" i="48" s="1"/>
  <c r="I30" i="48" s="1"/>
  <c r="A118" i="48" l="1"/>
  <c r="H37" i="48"/>
  <c r="I37" i="48" s="1"/>
  <c r="A95" i="48"/>
  <c r="A80" i="48"/>
  <c r="A85" i="48"/>
  <c r="A88" i="48"/>
  <c r="A99" i="48"/>
  <c r="B8" i="50" s="1"/>
  <c r="A50" i="48"/>
  <c r="A45" i="48"/>
  <c r="A54" i="48"/>
  <c r="I49" i="51"/>
  <c r="I48" i="51" s="1"/>
  <c r="J48" i="51" s="1"/>
  <c r="J34" i="51"/>
  <c r="I45" i="48"/>
  <c r="G55" i="48"/>
  <c r="H55" i="48" s="1"/>
  <c r="H54" i="48" s="1"/>
  <c r="I54" i="48" s="1"/>
  <c r="B7" i="47" l="1"/>
  <c r="B9" i="47"/>
  <c r="E9" i="47"/>
  <c r="K15" i="47"/>
  <c r="N15" i="47"/>
  <c r="O15" i="47"/>
  <c r="P15" i="47"/>
  <c r="Q15" i="47"/>
  <c r="R15" i="47"/>
  <c r="S15" i="47"/>
  <c r="T15" i="47"/>
  <c r="K20" i="47"/>
  <c r="R20" i="47" s="1"/>
  <c r="R38" i="47" s="1"/>
  <c r="R40" i="47" s="1"/>
  <c r="N20" i="47"/>
  <c r="P20" i="47"/>
  <c r="P38" i="47" s="1"/>
  <c r="P40" i="47" s="1"/>
  <c r="Q20" i="47"/>
  <c r="Q38" i="47" s="1"/>
  <c r="Q40" i="47" s="1"/>
  <c r="K25" i="47"/>
  <c r="N25" i="47"/>
  <c r="O25" i="47"/>
  <c r="P25" i="47"/>
  <c r="Q25" i="47"/>
  <c r="R25" i="47"/>
  <c r="S25" i="47"/>
  <c r="T25" i="47"/>
  <c r="K30" i="47"/>
  <c r="R30" i="47" s="1"/>
  <c r="N30" i="47"/>
  <c r="O30" i="47"/>
  <c r="P30" i="47"/>
  <c r="Q30" i="47"/>
  <c r="K35" i="47"/>
  <c r="N35" i="47"/>
  <c r="O35" i="47"/>
  <c r="P35" i="47"/>
  <c r="Q35" i="47"/>
  <c r="R35" i="47"/>
  <c r="S35" i="47"/>
  <c r="T35" i="47"/>
  <c r="A20" i="45"/>
  <c r="B20" i="45"/>
  <c r="A22" i="45"/>
  <c r="D22" i="45"/>
  <c r="A23" i="45"/>
  <c r="H24" i="45"/>
  <c r="I23" i="45" s="1"/>
  <c r="E25" i="45"/>
  <c r="E33" i="45" s="1"/>
  <c r="F25" i="45"/>
  <c r="F33" i="45" s="1"/>
  <c r="H25" i="45"/>
  <c r="H26" i="45"/>
  <c r="H27" i="45"/>
  <c r="H28" i="45"/>
  <c r="A31" i="45"/>
  <c r="E32" i="45"/>
  <c r="H32" i="45" s="1"/>
  <c r="F32" i="45"/>
  <c r="E34" i="45"/>
  <c r="F34" i="45"/>
  <c r="H34" i="45"/>
  <c r="E35" i="45"/>
  <c r="E48" i="45" s="1"/>
  <c r="F35" i="45"/>
  <c r="F48" i="45" s="1"/>
  <c r="H35" i="45"/>
  <c r="E36" i="45"/>
  <c r="F36" i="45"/>
  <c r="H36" i="45"/>
  <c r="A38" i="45"/>
  <c r="E39" i="45"/>
  <c r="F39" i="45"/>
  <c r="H39" i="45"/>
  <c r="E41" i="45"/>
  <c r="F41" i="45"/>
  <c r="H41" i="45"/>
  <c r="E42" i="45"/>
  <c r="H42" i="45" s="1"/>
  <c r="F42" i="45"/>
  <c r="E43" i="45"/>
  <c r="F43" i="45"/>
  <c r="H43" i="45"/>
  <c r="A45" i="45"/>
  <c r="A46" i="45" s="1"/>
  <c r="H47" i="45"/>
  <c r="D49" i="45"/>
  <c r="F49" i="45"/>
  <c r="H49" i="45"/>
  <c r="F52" i="45"/>
  <c r="H52" i="45"/>
  <c r="I51" i="45" s="1"/>
  <c r="H53" i="45"/>
  <c r="A58" i="45"/>
  <c r="A59" i="45" s="1"/>
  <c r="F60" i="45"/>
  <c r="H60" i="45"/>
  <c r="I59" i="45" s="1"/>
  <c r="A62" i="45"/>
  <c r="A71" i="45" s="1"/>
  <c r="A63" i="45"/>
  <c r="H64" i="45"/>
  <c r="I63" i="45" s="1"/>
  <c r="H65" i="45"/>
  <c r="H66" i="45"/>
  <c r="A68" i="45"/>
  <c r="H69" i="45"/>
  <c r="I68" i="45" s="1"/>
  <c r="H72" i="45"/>
  <c r="I71" i="45" s="1"/>
  <c r="H73" i="45"/>
  <c r="H74" i="45"/>
  <c r="H75" i="45"/>
  <c r="H76" i="45"/>
  <c r="H77" i="45"/>
  <c r="H78" i="45"/>
  <c r="A80" i="45"/>
  <c r="A83" i="45"/>
  <c r="A91" i="45" s="1"/>
  <c r="D83" i="45"/>
  <c r="A84" i="45"/>
  <c r="I84" i="45"/>
  <c r="H85" i="45"/>
  <c r="H86" i="45"/>
  <c r="H87" i="45"/>
  <c r="H88" i="45"/>
  <c r="H89" i="45"/>
  <c r="H92" i="45"/>
  <c r="I91" i="45" s="1"/>
  <c r="H93" i="45"/>
  <c r="H94" i="45"/>
  <c r="H95" i="45"/>
  <c r="H96" i="45"/>
  <c r="H97" i="45"/>
  <c r="H98" i="45"/>
  <c r="A100" i="45"/>
  <c r="A101" i="45" s="1"/>
  <c r="D100" i="45"/>
  <c r="I101" i="45" s="1"/>
  <c r="H101" i="45"/>
  <c r="L107" i="45"/>
  <c r="G130" i="45"/>
  <c r="F130" i="45" s="1"/>
  <c r="H130" i="45"/>
  <c r="F131" i="45"/>
  <c r="G132" i="45"/>
  <c r="F132" i="45" s="1"/>
  <c r="H132" i="45"/>
  <c r="F133" i="45"/>
  <c r="G134" i="45"/>
  <c r="F134" i="45" s="1"/>
  <c r="H134" i="45"/>
  <c r="F135" i="45"/>
  <c r="G135" i="45"/>
  <c r="H135" i="45"/>
  <c r="G136" i="45"/>
  <c r="F136" i="45" s="1"/>
  <c r="H136" i="45"/>
  <c r="F137" i="45"/>
  <c r="H137" i="45"/>
  <c r="G138" i="45"/>
  <c r="F138" i="45" s="1"/>
  <c r="H138" i="45"/>
  <c r="O20" i="47" l="1"/>
  <c r="O38" i="47" s="1"/>
  <c r="O40" i="47" s="1"/>
  <c r="T30" i="47"/>
  <c r="T20" i="47"/>
  <c r="T38" i="47" s="1"/>
  <c r="T40" i="47" s="1"/>
  <c r="S30" i="47"/>
  <c r="S20" i="47"/>
  <c r="S38" i="47" s="1"/>
  <c r="S40" i="47" s="1"/>
  <c r="H33" i="45"/>
  <c r="I31" i="45" s="1"/>
  <c r="H48" i="45"/>
  <c r="I46" i="45" s="1"/>
  <c r="G56" i="45" s="1"/>
  <c r="H56" i="45" s="1"/>
  <c r="I55" i="45" s="1"/>
  <c r="F40" i="45"/>
  <c r="E40" i="45"/>
  <c r="H40" i="45" s="1"/>
  <c r="I38" i="45" s="1"/>
  <c r="A55" i="45"/>
  <c r="A51" i="45"/>
  <c r="O41" i="47" l="1"/>
  <c r="H81" i="45" s="1"/>
  <c r="I80" i="45" s="1"/>
  <c r="E9" i="44" l="1"/>
  <c r="N15" i="44"/>
  <c r="O15" i="44"/>
  <c r="P15" i="44"/>
  <c r="Q15" i="44"/>
  <c r="R15" i="44"/>
  <c r="S15" i="44"/>
  <c r="T15" i="44"/>
  <c r="O20" i="44"/>
  <c r="P20" i="44"/>
  <c r="Q20" i="44"/>
  <c r="R20" i="44"/>
  <c r="R240" i="44" s="1"/>
  <c r="R242" i="44" s="1"/>
  <c r="S20" i="44"/>
  <c r="S240" i="44" s="1"/>
  <c r="S242" i="44" s="1"/>
  <c r="T20" i="44"/>
  <c r="T240" i="44" s="1"/>
  <c r="T242" i="44" s="1"/>
  <c r="N25" i="44"/>
  <c r="O25" i="44" s="1"/>
  <c r="P25" i="44"/>
  <c r="Q25" i="44"/>
  <c r="R25" i="44"/>
  <c r="S25" i="44"/>
  <c r="T25" i="44"/>
  <c r="N30" i="44"/>
  <c r="O30" i="44"/>
  <c r="P30" i="44"/>
  <c r="Q30" i="44"/>
  <c r="R30" i="44"/>
  <c r="S30" i="44"/>
  <c r="T30" i="44"/>
  <c r="N35" i="44"/>
  <c r="O35" i="44"/>
  <c r="P35" i="44"/>
  <c r="Q35" i="44"/>
  <c r="R35" i="44"/>
  <c r="S35" i="44"/>
  <c r="T35" i="44"/>
  <c r="O40" i="44"/>
  <c r="P40" i="44"/>
  <c r="Q40" i="44"/>
  <c r="R40" i="44"/>
  <c r="S40" i="44"/>
  <c r="T40" i="44"/>
  <c r="N45" i="44"/>
  <c r="O45" i="44" s="1"/>
  <c r="P45" i="44"/>
  <c r="Q45" i="44"/>
  <c r="R45" i="44"/>
  <c r="S45" i="44"/>
  <c r="T45" i="44"/>
  <c r="N50" i="44"/>
  <c r="O50" i="44"/>
  <c r="P50" i="44"/>
  <c r="Q50" i="44"/>
  <c r="R50" i="44"/>
  <c r="S50" i="44"/>
  <c r="T50" i="44"/>
  <c r="N56" i="44"/>
  <c r="Q56" i="44" s="1"/>
  <c r="O56" i="44"/>
  <c r="P56" i="44"/>
  <c r="R56" i="44"/>
  <c r="S56" i="44"/>
  <c r="T56" i="44"/>
  <c r="N62" i="44"/>
  <c r="P62" i="44" s="1"/>
  <c r="O62" i="44"/>
  <c r="Q62" i="44"/>
  <c r="R62" i="44"/>
  <c r="S62" i="44"/>
  <c r="T62" i="44"/>
  <c r="O67" i="44"/>
  <c r="P67" i="44"/>
  <c r="R67" i="44"/>
  <c r="S67" i="44"/>
  <c r="T67" i="44"/>
  <c r="G68" i="44"/>
  <c r="N67" i="44" s="1"/>
  <c r="Q67" i="44" s="1"/>
  <c r="M72" i="44"/>
  <c r="Q72" i="44" s="1"/>
  <c r="N72" i="44"/>
  <c r="O72" i="44"/>
  <c r="P72" i="44"/>
  <c r="R72" i="44"/>
  <c r="S72" i="44"/>
  <c r="T72" i="44"/>
  <c r="N77" i="44"/>
  <c r="Q77" i="44" s="1"/>
  <c r="O77" i="44"/>
  <c r="P77" i="44"/>
  <c r="R77" i="44"/>
  <c r="S77" i="44"/>
  <c r="T77" i="44"/>
  <c r="N82" i="44"/>
  <c r="Q82" i="44" s="1"/>
  <c r="O82" i="44"/>
  <c r="P82" i="44"/>
  <c r="R82" i="44"/>
  <c r="S82" i="44"/>
  <c r="T82" i="44"/>
  <c r="G87" i="44"/>
  <c r="N87" i="44"/>
  <c r="O87" i="44"/>
  <c r="P87" i="44"/>
  <c r="Q87" i="44"/>
  <c r="R87" i="44"/>
  <c r="S87" i="44"/>
  <c r="T87" i="44"/>
  <c r="N92" i="44"/>
  <c r="O92" i="44"/>
  <c r="P92" i="44"/>
  <c r="Q92" i="44"/>
  <c r="R92" i="44"/>
  <c r="S92" i="44"/>
  <c r="T92" i="44"/>
  <c r="N97" i="44"/>
  <c r="O97" i="44"/>
  <c r="P97" i="44"/>
  <c r="Q97" i="44"/>
  <c r="R97" i="44"/>
  <c r="S97" i="44"/>
  <c r="T97" i="44"/>
  <c r="N102" i="44"/>
  <c r="O102" i="44"/>
  <c r="P102" i="44"/>
  <c r="Q102" i="44"/>
  <c r="R102" i="44"/>
  <c r="S102" i="44"/>
  <c r="T102" i="44"/>
  <c r="N107" i="44"/>
  <c r="O107" i="44"/>
  <c r="P107" i="44"/>
  <c r="Q107" i="44"/>
  <c r="R107" i="44"/>
  <c r="S107" i="44"/>
  <c r="T107" i="44"/>
  <c r="N112" i="44"/>
  <c r="O112" i="44"/>
  <c r="P112" i="44"/>
  <c r="Q112" i="44"/>
  <c r="R112" i="44"/>
  <c r="S112" i="44"/>
  <c r="T112" i="44"/>
  <c r="N117" i="44"/>
  <c r="P117" i="44" s="1"/>
  <c r="O117" i="44"/>
  <c r="Q117" i="44"/>
  <c r="R117" i="44"/>
  <c r="S117" i="44"/>
  <c r="T117" i="44"/>
  <c r="N122" i="44"/>
  <c r="O122" i="44"/>
  <c r="P122" i="44"/>
  <c r="Q122" i="44"/>
  <c r="R122" i="44"/>
  <c r="S122" i="44"/>
  <c r="T122" i="44"/>
  <c r="N127" i="44"/>
  <c r="O127" i="44"/>
  <c r="P127" i="44"/>
  <c r="Q127" i="44"/>
  <c r="R127" i="44"/>
  <c r="S127" i="44"/>
  <c r="T127" i="44"/>
  <c r="N132" i="44"/>
  <c r="O132" i="44"/>
  <c r="P132" i="44"/>
  <c r="Q132" i="44"/>
  <c r="R132" i="44"/>
  <c r="S132" i="44"/>
  <c r="T132" i="44"/>
  <c r="N137" i="44"/>
  <c r="O137" i="44"/>
  <c r="P137" i="44"/>
  <c r="Q137" i="44"/>
  <c r="R137" i="44"/>
  <c r="S137" i="44"/>
  <c r="T137" i="44"/>
  <c r="N142" i="44"/>
  <c r="O142" i="44"/>
  <c r="P142" i="44"/>
  <c r="Q142" i="44"/>
  <c r="R142" i="44"/>
  <c r="S142" i="44"/>
  <c r="T142" i="44"/>
  <c r="N147" i="44"/>
  <c r="O147" i="44"/>
  <c r="P147" i="44"/>
  <c r="Q147" i="44"/>
  <c r="R147" i="44"/>
  <c r="S147" i="44"/>
  <c r="T147" i="44"/>
  <c r="N152" i="44"/>
  <c r="O152" i="44"/>
  <c r="P152" i="44"/>
  <c r="Q152" i="44"/>
  <c r="R152" i="44"/>
  <c r="S152" i="44"/>
  <c r="T152" i="44"/>
  <c r="N157" i="44"/>
  <c r="O157" i="44"/>
  <c r="P157" i="44"/>
  <c r="Q157" i="44"/>
  <c r="R157" i="44"/>
  <c r="S157" i="44"/>
  <c r="T157" i="44"/>
  <c r="I161" i="44"/>
  <c r="N162" i="44"/>
  <c r="P162" i="44" s="1"/>
  <c r="O162" i="44"/>
  <c r="Q162" i="44"/>
  <c r="R162" i="44"/>
  <c r="S162" i="44"/>
  <c r="T162" i="44"/>
  <c r="N167" i="44"/>
  <c r="O167" i="44"/>
  <c r="P167" i="44"/>
  <c r="Q167" i="44"/>
  <c r="R167" i="44"/>
  <c r="S167" i="44"/>
  <c r="T167" i="44"/>
  <c r="I171" i="44"/>
  <c r="N172" i="44"/>
  <c r="P172" i="44" s="1"/>
  <c r="O172" i="44"/>
  <c r="Q172" i="44"/>
  <c r="R172" i="44"/>
  <c r="S172" i="44"/>
  <c r="T172" i="44"/>
  <c r="H175" i="44"/>
  <c r="N177" i="44"/>
  <c r="O177" i="44"/>
  <c r="P177" i="44"/>
  <c r="Q177" i="44"/>
  <c r="R177" i="44"/>
  <c r="S177" i="44"/>
  <c r="T177" i="44"/>
  <c r="N182" i="44"/>
  <c r="O182" i="44"/>
  <c r="P182" i="44"/>
  <c r="Q182" i="44"/>
  <c r="R182" i="44"/>
  <c r="S182" i="44"/>
  <c r="T182" i="44"/>
  <c r="N187" i="44"/>
  <c r="O187" i="44"/>
  <c r="P187" i="44"/>
  <c r="Q187" i="44"/>
  <c r="R187" i="44"/>
  <c r="S187" i="44"/>
  <c r="T187" i="44"/>
  <c r="N192" i="44"/>
  <c r="O192" i="44"/>
  <c r="P192" i="44"/>
  <c r="Q192" i="44"/>
  <c r="R192" i="44"/>
  <c r="S192" i="44"/>
  <c r="T192" i="44"/>
  <c r="G195" i="44"/>
  <c r="N197" i="44"/>
  <c r="O197" i="44"/>
  <c r="P197" i="44"/>
  <c r="Q197" i="44"/>
  <c r="R197" i="44"/>
  <c r="S197" i="44"/>
  <c r="T197" i="44"/>
  <c r="N202" i="44"/>
  <c r="O202" i="44" s="1"/>
  <c r="P202" i="44"/>
  <c r="Q202" i="44"/>
  <c r="R202" i="44"/>
  <c r="S202" i="44"/>
  <c r="T202" i="44"/>
  <c r="N207" i="44"/>
  <c r="O207" i="44" s="1"/>
  <c r="P207" i="44"/>
  <c r="Q207" i="44"/>
  <c r="R207" i="44"/>
  <c r="S207" i="44"/>
  <c r="T207" i="44"/>
  <c r="N212" i="44"/>
  <c r="O212" i="44" s="1"/>
  <c r="P212" i="44"/>
  <c r="Q212" i="44"/>
  <c r="R212" i="44"/>
  <c r="S212" i="44"/>
  <c r="T212" i="44"/>
  <c r="F217" i="44"/>
  <c r="N217" i="44" s="1"/>
  <c r="O217" i="44" s="1"/>
  <c r="P217" i="44"/>
  <c r="Q217" i="44"/>
  <c r="R217" i="44"/>
  <c r="S217" i="44"/>
  <c r="T217" i="44"/>
  <c r="N222" i="44"/>
  <c r="P222" i="44" s="1"/>
  <c r="O222" i="44"/>
  <c r="Q222" i="44"/>
  <c r="R222" i="44"/>
  <c r="S222" i="44"/>
  <c r="T222" i="44"/>
  <c r="N227" i="44"/>
  <c r="P227" i="44" s="1"/>
  <c r="O227" i="44"/>
  <c r="Q227" i="44"/>
  <c r="R227" i="44"/>
  <c r="S227" i="44"/>
  <c r="T227" i="44"/>
  <c r="N232" i="44"/>
  <c r="O232" i="44"/>
  <c r="P232" i="44"/>
  <c r="Q232" i="44"/>
  <c r="R232" i="44"/>
  <c r="S232" i="44"/>
  <c r="T232" i="44"/>
  <c r="N237" i="44"/>
  <c r="O237" i="44"/>
  <c r="P237" i="44"/>
  <c r="Q237" i="44"/>
  <c r="R237" i="44"/>
  <c r="S237" i="44"/>
  <c r="T237" i="44"/>
  <c r="A22" i="42"/>
  <c r="A23" i="42" s="1"/>
  <c r="D22" i="42"/>
  <c r="B22" i="42" s="1"/>
  <c r="H27" i="42"/>
  <c r="H24" i="42" s="1"/>
  <c r="I24" i="42" s="1"/>
  <c r="E32" i="42"/>
  <c r="E37" i="42" s="1"/>
  <c r="F32" i="42"/>
  <c r="F37" i="42" s="1"/>
  <c r="H32" i="42"/>
  <c r="H29" i="42" s="1"/>
  <c r="I29" i="42" s="1"/>
  <c r="D39" i="42"/>
  <c r="H41" i="42"/>
  <c r="H42" i="42"/>
  <c r="H43" i="42"/>
  <c r="H44" i="42"/>
  <c r="D47" i="42"/>
  <c r="H47" i="42"/>
  <c r="D48" i="42"/>
  <c r="H48" i="42"/>
  <c r="E49" i="42"/>
  <c r="H49" i="42" s="1"/>
  <c r="F49" i="42"/>
  <c r="G49" i="42"/>
  <c r="D55" i="42"/>
  <c r="E57" i="42"/>
  <c r="G57" i="42"/>
  <c r="D59" i="42"/>
  <c r="H61" i="42"/>
  <c r="H62" i="42"/>
  <c r="H63" i="42"/>
  <c r="H64" i="42"/>
  <c r="H65" i="42"/>
  <c r="E66" i="42"/>
  <c r="H66" i="42" s="1"/>
  <c r="H69" i="42"/>
  <c r="H68" i="42" s="1"/>
  <c r="H70" i="42"/>
  <c r="G73" i="42"/>
  <c r="H73" i="42" s="1"/>
  <c r="G74" i="42"/>
  <c r="H74" i="42"/>
  <c r="G75" i="42"/>
  <c r="H76" i="42"/>
  <c r="H77" i="42"/>
  <c r="H78" i="42"/>
  <c r="H81" i="42"/>
  <c r="H82" i="42"/>
  <c r="H83" i="42"/>
  <c r="H84" i="42"/>
  <c r="D90" i="42"/>
  <c r="H92" i="42"/>
  <c r="H93" i="42"/>
  <c r="D95" i="42"/>
  <c r="H97" i="42"/>
  <c r="H98" i="42"/>
  <c r="H99" i="42"/>
  <c r="H100" i="42"/>
  <c r="D101" i="42"/>
  <c r="H101" i="42"/>
  <c r="H102" i="42"/>
  <c r="H105" i="42"/>
  <c r="H106" i="42"/>
  <c r="H107" i="42"/>
  <c r="H108" i="42"/>
  <c r="H109" i="42"/>
  <c r="H110" i="42"/>
  <c r="H111" i="42"/>
  <c r="D113" i="42"/>
  <c r="H114" i="42"/>
  <c r="I114" i="42" s="1"/>
  <c r="G138" i="42"/>
  <c r="F138" i="42" s="1"/>
  <c r="F139" i="42"/>
  <c r="G140" i="42"/>
  <c r="F140" i="42" s="1"/>
  <c r="H140" i="42"/>
  <c r="F141" i="42"/>
  <c r="G142" i="42"/>
  <c r="H142" i="42" s="1"/>
  <c r="G143" i="42"/>
  <c r="F143" i="42" s="1"/>
  <c r="H143" i="42"/>
  <c r="G144" i="42"/>
  <c r="F144" i="42" s="1"/>
  <c r="F145" i="42"/>
  <c r="H145" i="42"/>
  <c r="G146" i="42"/>
  <c r="F146" i="42" s="1"/>
  <c r="H146" i="42"/>
  <c r="A90" i="42" l="1"/>
  <c r="A91" i="42" s="1"/>
  <c r="H60" i="42"/>
  <c r="I60" i="42" s="1"/>
  <c r="H57" i="42"/>
  <c r="H56" i="42" s="1"/>
  <c r="I56" i="42" s="1"/>
  <c r="A39" i="42"/>
  <c r="A55" i="42"/>
  <c r="A56" i="42" s="1"/>
  <c r="A113" i="42"/>
  <c r="A114" i="42" s="1"/>
  <c r="A95" i="42"/>
  <c r="A104" i="42" s="1"/>
  <c r="H96" i="42"/>
  <c r="I96" i="42" s="1"/>
  <c r="I68" i="42"/>
  <c r="H46" i="42"/>
  <c r="H144" i="42"/>
  <c r="A24" i="42"/>
  <c r="A29" i="42"/>
  <c r="A34" i="42"/>
  <c r="G53" i="42"/>
  <c r="H53" i="42" s="1"/>
  <c r="I46" i="42"/>
  <c r="H40" i="42"/>
  <c r="G52" i="42" s="1"/>
  <c r="H52" i="42" s="1"/>
  <c r="H138" i="42"/>
  <c r="H104" i="42"/>
  <c r="I104" i="42" s="1"/>
  <c r="H80" i="42"/>
  <c r="I80" i="42" s="1"/>
  <c r="A59" i="42"/>
  <c r="H91" i="42"/>
  <c r="I91" i="42" s="1"/>
  <c r="B9" i="44"/>
  <c r="O240" i="44"/>
  <c r="O242" i="44" s="1"/>
  <c r="Q240" i="44"/>
  <c r="Q242" i="44" s="1"/>
  <c r="P240" i="44"/>
  <c r="P242" i="44" s="1"/>
  <c r="H37" i="42"/>
  <c r="H34" i="42" s="1"/>
  <c r="I34" i="42" s="1"/>
  <c r="F142" i="42"/>
  <c r="E75" i="42"/>
  <c r="H75" i="42" s="1"/>
  <c r="H72" i="42" s="1"/>
  <c r="I72" i="42" s="1"/>
  <c r="A96" i="42" l="1"/>
  <c r="A46" i="42"/>
  <c r="A51" i="42"/>
  <c r="A40" i="42"/>
  <c r="H51" i="42"/>
  <c r="A87" i="42"/>
  <c r="A72" i="42"/>
  <c r="A60" i="42"/>
  <c r="A68" i="42"/>
  <c r="A80" i="42"/>
  <c r="I40" i="42"/>
  <c r="O243" i="44"/>
  <c r="H88" i="42" s="1"/>
  <c r="H87" i="42" s="1"/>
  <c r="I87" i="42" s="1"/>
  <c r="I51" i="42"/>
  <c r="B19" i="41" l="1"/>
  <c r="B27" i="41" s="1"/>
  <c r="C19" i="41"/>
  <c r="L19" i="41"/>
  <c r="F20" i="41" s="1"/>
  <c r="E22" i="41"/>
  <c r="E27" i="41"/>
  <c r="F31" i="41"/>
  <c r="G31" i="41"/>
  <c r="H31" i="41"/>
  <c r="I31" i="41"/>
  <c r="F33" i="41"/>
  <c r="G33" i="41"/>
  <c r="H33" i="41"/>
  <c r="F34" i="41"/>
  <c r="G34" i="41"/>
  <c r="H34" i="41"/>
  <c r="F35" i="41"/>
  <c r="I35" i="41" s="1"/>
  <c r="G35" i="41"/>
  <c r="H35" i="41"/>
  <c r="I46" i="41"/>
  <c r="J46" i="41" s="1"/>
  <c r="I49" i="41"/>
  <c r="I50" i="41"/>
  <c r="I51" i="41"/>
  <c r="I52" i="41" s="1"/>
  <c r="H52" i="41"/>
  <c r="B54" i="41"/>
  <c r="B55" i="41" s="1"/>
  <c r="E54" i="41"/>
  <c r="I56" i="41"/>
  <c r="I55" i="41" s="1"/>
  <c r="J55" i="41" s="1"/>
  <c r="I57" i="41"/>
  <c r="B59" i="41"/>
  <c r="F60" i="41"/>
  <c r="G60" i="41"/>
  <c r="H60" i="41"/>
  <c r="F61" i="41"/>
  <c r="G61" i="41"/>
  <c r="H61" i="41"/>
  <c r="I61" i="41"/>
  <c r="F64" i="41"/>
  <c r="H64" i="41"/>
  <c r="I64" i="41"/>
  <c r="I63" i="41" s="1"/>
  <c r="B66" i="41"/>
  <c r="B67" i="41" s="1"/>
  <c r="E66" i="41"/>
  <c r="I67" i="41"/>
  <c r="J67" i="41" s="1"/>
  <c r="I80" i="41"/>
  <c r="J80" i="41" s="1"/>
  <c r="B94" i="41"/>
  <c r="E94" i="41"/>
  <c r="B95" i="41"/>
  <c r="B96" i="41"/>
  <c r="I34" i="41" l="1"/>
  <c r="I33" i="41"/>
  <c r="J63" i="41"/>
  <c r="I60" i="41"/>
  <c r="I59" i="41" s="1"/>
  <c r="J59" i="41" s="1"/>
  <c r="I48" i="41"/>
  <c r="J48" i="41" s="1"/>
  <c r="F24" i="41"/>
  <c r="I24" i="41" s="1"/>
  <c r="J24" i="41" s="1"/>
  <c r="F42" i="41"/>
  <c r="I42" i="41" s="1"/>
  <c r="J42" i="41" s="1"/>
  <c r="F40" i="41"/>
  <c r="I40" i="41" s="1"/>
  <c r="J40" i="41" s="1"/>
  <c r="F25" i="41"/>
  <c r="I25" i="41" s="1"/>
  <c r="J25" i="41" s="1"/>
  <c r="F44" i="41"/>
  <c r="I44" i="41" s="1"/>
  <c r="J44" i="41" s="1"/>
  <c r="F95" i="41"/>
  <c r="I95" i="41" s="1"/>
  <c r="J95" i="41" s="1"/>
  <c r="F23" i="41"/>
  <c r="I23" i="41" s="1"/>
  <c r="J23" i="41" s="1"/>
  <c r="F29" i="41"/>
  <c r="I29" i="41" s="1"/>
  <c r="I28" i="41" s="1"/>
  <c r="J28" i="41" s="1"/>
  <c r="F37" i="41"/>
  <c r="I37" i="41" s="1"/>
  <c r="J37" i="41" s="1"/>
  <c r="F96" i="41"/>
  <c r="I96" i="41" s="1"/>
  <c r="J96" i="41" s="1"/>
  <c r="B48" i="41"/>
  <c r="B40" i="41"/>
  <c r="B42" i="41"/>
  <c r="B46" i="41"/>
  <c r="B28" i="41"/>
  <c r="B44" i="41"/>
  <c r="B37" i="41"/>
  <c r="B63" i="41"/>
  <c r="B22" i="41"/>
  <c r="A11" i="40"/>
  <c r="A12" i="40" s="1"/>
  <c r="H13" i="40"/>
  <c r="I12" i="40" s="1"/>
  <c r="F16" i="40"/>
  <c r="H16" i="40"/>
  <c r="I15" i="40" s="1"/>
  <c r="A18" i="40"/>
  <c r="E19" i="40"/>
  <c r="F19" i="40"/>
  <c r="H19" i="40"/>
  <c r="I18" i="40" s="1"/>
  <c r="A21" i="40"/>
  <c r="A22" i="40"/>
  <c r="M22" i="40"/>
  <c r="H23" i="40"/>
  <c r="I22" i="40" s="1"/>
  <c r="A25" i="40"/>
  <c r="H26" i="40"/>
  <c r="I25" i="40" s="1"/>
  <c r="H27" i="40"/>
  <c r="A29" i="40"/>
  <c r="I29" i="40"/>
  <c r="H30" i="40"/>
  <c r="H31" i="40"/>
  <c r="H32" i="40"/>
  <c r="B24" i="41" l="1"/>
  <c r="B23" i="41"/>
  <c r="A15" i="40"/>
  <c r="A10" i="39"/>
  <c r="A11" i="39"/>
  <c r="A12" i="39" s="1"/>
  <c r="H13" i="39"/>
  <c r="I12" i="39" s="1"/>
  <c r="F16" i="39"/>
  <c r="H16" i="39"/>
  <c r="I15" i="39" s="1"/>
  <c r="A18" i="39"/>
  <c r="E19" i="39"/>
  <c r="F19" i="39"/>
  <c r="H19" i="39"/>
  <c r="I18" i="39" s="1"/>
  <c r="A21" i="39"/>
  <c r="A25" i="39" s="1"/>
  <c r="H23" i="39"/>
  <c r="I22" i="39" s="1"/>
  <c r="H26" i="39"/>
  <c r="I25" i="39" s="1"/>
  <c r="H29" i="39"/>
  <c r="I28" i="39" s="1"/>
  <c r="A34" i="39"/>
  <c r="A35" i="39"/>
  <c r="E36" i="39"/>
  <c r="H36" i="39" s="1"/>
  <c r="I35" i="39" s="1"/>
  <c r="F36" i="39"/>
  <c r="G36" i="39"/>
  <c r="A38" i="39"/>
  <c r="H40" i="39"/>
  <c r="I38" i="39" s="1"/>
  <c r="H41" i="39"/>
  <c r="A43" i="39"/>
  <c r="A44" i="39"/>
  <c r="H45" i="39"/>
  <c r="I44" i="39" s="1"/>
  <c r="A48" i="39"/>
  <c r="I48" i="39"/>
  <c r="H49" i="39"/>
  <c r="H50" i="39"/>
  <c r="H51" i="39"/>
  <c r="H32" i="39" l="1"/>
  <c r="I31" i="39" s="1"/>
  <c r="A28" i="39"/>
  <c r="A15" i="39"/>
  <c r="A22" i="39"/>
  <c r="A31" i="39"/>
  <c r="A10" i="38"/>
  <c r="A11" i="38" s="1"/>
  <c r="H13" i="38"/>
  <c r="I12" i="38" s="1"/>
  <c r="E16" i="38"/>
  <c r="F16" i="38"/>
  <c r="H16" i="38"/>
  <c r="I15" i="38" s="1"/>
  <c r="E19" i="38"/>
  <c r="E23" i="38" s="1"/>
  <c r="F19" i="38"/>
  <c r="H19" i="38"/>
  <c r="I18" i="38" s="1"/>
  <c r="A21" i="38"/>
  <c r="A22" i="38"/>
  <c r="A25" i="38"/>
  <c r="F26" i="38"/>
  <c r="A28" i="38"/>
  <c r="H29" i="38"/>
  <c r="I28" i="38" s="1"/>
  <c r="A31" i="38"/>
  <c r="A34" i="38"/>
  <c r="A35" i="38"/>
  <c r="H36" i="38"/>
  <c r="I35" i="38" s="1"/>
  <c r="A37" i="38"/>
  <c r="H38" i="38"/>
  <c r="I37" i="38" s="1"/>
  <c r="A40" i="38"/>
  <c r="H41" i="38"/>
  <c r="H42" i="38"/>
  <c r="H43" i="38"/>
  <c r="H44" i="38"/>
  <c r="A46" i="38"/>
  <c r="H48" i="38"/>
  <c r="H49" i="38"/>
  <c r="A51" i="38"/>
  <c r="H54" i="38"/>
  <c r="I52" i="38" s="1"/>
  <c r="A57" i="38"/>
  <c r="H59" i="38"/>
  <c r="I57" i="38" s="1"/>
  <c r="I46" i="38" l="1"/>
  <c r="I40" i="38"/>
  <c r="H23" i="38"/>
  <c r="I22" i="38" s="1"/>
  <c r="H32" i="38" s="1"/>
  <c r="I31" i="38" s="1"/>
  <c r="E26" i="38"/>
  <c r="H26" i="38" s="1"/>
  <c r="I25" i="38" s="1"/>
  <c r="A18" i="38"/>
  <c r="A12" i="38"/>
  <c r="A15" i="38"/>
  <c r="A52" i="38"/>
  <c r="A6" i="37"/>
  <c r="D6" i="37"/>
  <c r="M12" i="37"/>
  <c r="N12" i="37"/>
  <c r="O12" i="37"/>
  <c r="P12" i="37"/>
  <c r="Q12" i="37"/>
  <c r="R12" i="37"/>
  <c r="S12" i="37"/>
  <c r="M17" i="37"/>
  <c r="O17" i="37" s="1"/>
  <c r="N17" i="37"/>
  <c r="P17" i="37"/>
  <c r="Q17" i="37"/>
  <c r="R17" i="37"/>
  <c r="S17" i="37"/>
  <c r="S225" i="37" s="1"/>
  <c r="S227" i="37" s="1"/>
  <c r="M22" i="37"/>
  <c r="N22" i="37"/>
  <c r="O22" i="37"/>
  <c r="P22" i="37"/>
  <c r="Q22" i="37"/>
  <c r="R22" i="37"/>
  <c r="S22" i="37"/>
  <c r="M27" i="37"/>
  <c r="O27" i="37" s="1"/>
  <c r="N27" i="37"/>
  <c r="P27" i="37"/>
  <c r="Q27" i="37"/>
  <c r="R27" i="37"/>
  <c r="S27" i="37"/>
  <c r="M32" i="37"/>
  <c r="O32" i="37" s="1"/>
  <c r="N32" i="37"/>
  <c r="P32" i="37"/>
  <c r="Q32" i="37"/>
  <c r="R32" i="37"/>
  <c r="S32" i="37"/>
  <c r="M37" i="37"/>
  <c r="N37" i="37"/>
  <c r="O37" i="37"/>
  <c r="P37" i="37"/>
  <c r="Q37" i="37"/>
  <c r="R37" i="37"/>
  <c r="S37" i="37"/>
  <c r="M42" i="37"/>
  <c r="N42" i="37"/>
  <c r="O42" i="37"/>
  <c r="P42" i="37"/>
  <c r="Q42" i="37"/>
  <c r="R42" i="37"/>
  <c r="S42" i="37"/>
  <c r="M47" i="37"/>
  <c r="N47" i="37"/>
  <c r="O47" i="37"/>
  <c r="P47" i="37"/>
  <c r="Q47" i="37"/>
  <c r="R47" i="37"/>
  <c r="S47" i="37"/>
  <c r="N52" i="37"/>
  <c r="O52" i="37"/>
  <c r="Q52" i="37"/>
  <c r="R52" i="37"/>
  <c r="S52" i="37"/>
  <c r="F53" i="37"/>
  <c r="M52" i="37" s="1"/>
  <c r="P52" i="37" s="1"/>
  <c r="L57" i="37"/>
  <c r="M57" i="37"/>
  <c r="N57" i="37"/>
  <c r="O57" i="37"/>
  <c r="P57" i="37"/>
  <c r="Q57" i="37"/>
  <c r="R57" i="37"/>
  <c r="S57" i="37"/>
  <c r="M62" i="37"/>
  <c r="N62" i="37"/>
  <c r="O62" i="37"/>
  <c r="P62" i="37"/>
  <c r="Q62" i="37"/>
  <c r="R62" i="37"/>
  <c r="S62" i="37"/>
  <c r="M67" i="37"/>
  <c r="P67" i="37" s="1"/>
  <c r="N67" i="37"/>
  <c r="O67" i="37"/>
  <c r="Q67" i="37"/>
  <c r="R67" i="37"/>
  <c r="S67" i="37"/>
  <c r="F72" i="37"/>
  <c r="M72" i="37" s="1"/>
  <c r="P72" i="37" s="1"/>
  <c r="N72" i="37"/>
  <c r="O72" i="37"/>
  <c r="Q72" i="37"/>
  <c r="R72" i="37"/>
  <c r="S72" i="37"/>
  <c r="M77" i="37"/>
  <c r="N77" i="37"/>
  <c r="O77" i="37"/>
  <c r="P77" i="37"/>
  <c r="Q77" i="37"/>
  <c r="R77" i="37"/>
  <c r="S77" i="37"/>
  <c r="M82" i="37"/>
  <c r="P82" i="37" s="1"/>
  <c r="N82" i="37"/>
  <c r="O82" i="37"/>
  <c r="Q82" i="37"/>
  <c r="R82" i="37"/>
  <c r="S82" i="37"/>
  <c r="M87" i="37"/>
  <c r="O87" i="37" s="1"/>
  <c r="N87" i="37"/>
  <c r="P87" i="37"/>
  <c r="Q87" i="37"/>
  <c r="R87" i="37"/>
  <c r="S87" i="37"/>
  <c r="M92" i="37"/>
  <c r="O92" i="37" s="1"/>
  <c r="N92" i="37"/>
  <c r="P92" i="37"/>
  <c r="Q92" i="37"/>
  <c r="R92" i="37"/>
  <c r="S92" i="37"/>
  <c r="M97" i="37"/>
  <c r="N97" i="37"/>
  <c r="O97" i="37"/>
  <c r="P97" i="37"/>
  <c r="Q97" i="37"/>
  <c r="R97" i="37"/>
  <c r="S97" i="37"/>
  <c r="M102" i="37"/>
  <c r="N102" i="37"/>
  <c r="O102" i="37"/>
  <c r="P102" i="37"/>
  <c r="Q102" i="37"/>
  <c r="R102" i="37"/>
  <c r="S102" i="37"/>
  <c r="M107" i="37"/>
  <c r="N107" i="37"/>
  <c r="O107" i="37"/>
  <c r="P107" i="37"/>
  <c r="Q107" i="37"/>
  <c r="R107" i="37"/>
  <c r="S107" i="37"/>
  <c r="M112" i="37"/>
  <c r="N112" i="37"/>
  <c r="O112" i="37"/>
  <c r="P112" i="37"/>
  <c r="Q112" i="37"/>
  <c r="R112" i="37"/>
  <c r="S112" i="37"/>
  <c r="M117" i="37"/>
  <c r="O117" i="37" s="1"/>
  <c r="N117" i="37"/>
  <c r="P117" i="37"/>
  <c r="Q117" i="37"/>
  <c r="R117" i="37"/>
  <c r="S117" i="37"/>
  <c r="M122" i="37"/>
  <c r="P122" i="37" s="1"/>
  <c r="N122" i="37"/>
  <c r="O122" i="37"/>
  <c r="Q122" i="37"/>
  <c r="R122" i="37"/>
  <c r="S122" i="37"/>
  <c r="M127" i="37"/>
  <c r="O127" i="37" s="1"/>
  <c r="N127" i="37"/>
  <c r="P127" i="37"/>
  <c r="Q127" i="37"/>
  <c r="R127" i="37"/>
  <c r="S127" i="37"/>
  <c r="M132" i="37"/>
  <c r="N132" i="37"/>
  <c r="O132" i="37"/>
  <c r="P132" i="37"/>
  <c r="Q132" i="37"/>
  <c r="R132" i="37"/>
  <c r="S132" i="37"/>
  <c r="M137" i="37"/>
  <c r="N137" i="37"/>
  <c r="O137" i="37"/>
  <c r="P137" i="37"/>
  <c r="Q137" i="37"/>
  <c r="R137" i="37"/>
  <c r="S137" i="37"/>
  <c r="M142" i="37"/>
  <c r="N142" i="37"/>
  <c r="O142" i="37"/>
  <c r="P142" i="37"/>
  <c r="Q142" i="37"/>
  <c r="R142" i="37"/>
  <c r="S142" i="37"/>
  <c r="H146" i="37"/>
  <c r="M147" i="37" s="1"/>
  <c r="O147" i="37" s="1"/>
  <c r="N147" i="37"/>
  <c r="P147" i="37"/>
  <c r="Q147" i="37"/>
  <c r="R147" i="37"/>
  <c r="S147" i="37"/>
  <c r="M152" i="37"/>
  <c r="O152" i="37" s="1"/>
  <c r="N152" i="37"/>
  <c r="P152" i="37"/>
  <c r="Q152" i="37"/>
  <c r="R152" i="37"/>
  <c r="S152" i="37"/>
  <c r="H156" i="37"/>
  <c r="M157" i="37" s="1"/>
  <c r="N158" i="37"/>
  <c r="O158" i="37"/>
  <c r="P158" i="37"/>
  <c r="Q158" i="37"/>
  <c r="R158" i="37"/>
  <c r="S158" i="37"/>
  <c r="G160" i="37"/>
  <c r="M162" i="37"/>
  <c r="N162" i="37"/>
  <c r="O162" i="37"/>
  <c r="P162" i="37"/>
  <c r="Q162" i="37"/>
  <c r="R162" i="37"/>
  <c r="S162" i="37"/>
  <c r="M167" i="37"/>
  <c r="N167" i="37"/>
  <c r="O167" i="37"/>
  <c r="P167" i="37"/>
  <c r="Q167" i="37"/>
  <c r="R167" i="37"/>
  <c r="S167" i="37"/>
  <c r="M172" i="37"/>
  <c r="O172" i="37" s="1"/>
  <c r="N172" i="37"/>
  <c r="P172" i="37"/>
  <c r="Q172" i="37"/>
  <c r="R172" i="37"/>
  <c r="S172" i="37"/>
  <c r="M177" i="37"/>
  <c r="O177" i="37" s="1"/>
  <c r="N177" i="37"/>
  <c r="P177" i="37"/>
  <c r="Q177" i="37"/>
  <c r="R177" i="37"/>
  <c r="S177" i="37"/>
  <c r="F180" i="37"/>
  <c r="M182" i="37"/>
  <c r="O182" i="37" s="1"/>
  <c r="N182" i="37"/>
  <c r="P182" i="37"/>
  <c r="Q182" i="37"/>
  <c r="R182" i="37"/>
  <c r="S182" i="37"/>
  <c r="M187" i="37"/>
  <c r="O187" i="37" s="1"/>
  <c r="N187" i="37"/>
  <c r="P187" i="37"/>
  <c r="Q187" i="37"/>
  <c r="R187" i="37"/>
  <c r="S187" i="37"/>
  <c r="H192" i="37"/>
  <c r="M192" i="37"/>
  <c r="N192" i="37"/>
  <c r="O192" i="37"/>
  <c r="P192" i="37"/>
  <c r="Q192" i="37"/>
  <c r="R192" i="37"/>
  <c r="S192" i="37"/>
  <c r="M197" i="37"/>
  <c r="N197" i="37"/>
  <c r="O197" i="37"/>
  <c r="P197" i="37"/>
  <c r="Q197" i="37"/>
  <c r="R197" i="37"/>
  <c r="S197" i="37"/>
  <c r="E201" i="37"/>
  <c r="M202" i="37"/>
  <c r="N202" i="37"/>
  <c r="O202" i="37"/>
  <c r="P202" i="37"/>
  <c r="Q202" i="37"/>
  <c r="R202" i="37"/>
  <c r="S202" i="37"/>
  <c r="M207" i="37"/>
  <c r="O207" i="37" s="1"/>
  <c r="N207" i="37"/>
  <c r="P207" i="37"/>
  <c r="Q207" i="37"/>
  <c r="R207" i="37"/>
  <c r="S207" i="37"/>
  <c r="M212" i="37"/>
  <c r="N212" i="37"/>
  <c r="O212" i="37"/>
  <c r="P212" i="37"/>
  <c r="Q212" i="37"/>
  <c r="R212" i="37"/>
  <c r="S212" i="37"/>
  <c r="M217" i="37"/>
  <c r="N217" i="37"/>
  <c r="O217" i="37"/>
  <c r="P217" i="37"/>
  <c r="Q217" i="37"/>
  <c r="R217" i="37"/>
  <c r="S217" i="37"/>
  <c r="M222" i="37"/>
  <c r="N222" i="37"/>
  <c r="O222" i="37"/>
  <c r="P222" i="37"/>
  <c r="Q222" i="37"/>
  <c r="R222" i="37"/>
  <c r="S222" i="37"/>
  <c r="B19" i="36"/>
  <c r="E19" i="36"/>
  <c r="C19" i="36" s="1"/>
  <c r="C20" i="36"/>
  <c r="B22" i="36"/>
  <c r="E22" i="36"/>
  <c r="B23" i="36"/>
  <c r="I25" i="36"/>
  <c r="B27" i="36"/>
  <c r="F29" i="36"/>
  <c r="G29" i="36"/>
  <c r="G44" i="36" s="1"/>
  <c r="I44" i="36" s="1"/>
  <c r="I29" i="36"/>
  <c r="B31" i="36"/>
  <c r="F33" i="36"/>
  <c r="G33" i="36"/>
  <c r="I33" i="36"/>
  <c r="M34" i="36"/>
  <c r="G65" i="36" s="1"/>
  <c r="B35" i="36"/>
  <c r="E35" i="36"/>
  <c r="M35" i="36"/>
  <c r="B36" i="36"/>
  <c r="M41" i="36"/>
  <c r="M45" i="36" s="1"/>
  <c r="G42" i="36"/>
  <c r="M43" i="36"/>
  <c r="F44" i="36"/>
  <c r="B46" i="36"/>
  <c r="F48" i="36"/>
  <c r="G48" i="36"/>
  <c r="H48" i="36"/>
  <c r="I48" i="36"/>
  <c r="F49" i="36"/>
  <c r="H49" i="36"/>
  <c r="B51" i="36"/>
  <c r="F53" i="36"/>
  <c r="B55" i="36"/>
  <c r="E55" i="36"/>
  <c r="B56" i="36"/>
  <c r="I57" i="36"/>
  <c r="I56" i="36" s="1"/>
  <c r="J56" i="36" s="1"/>
  <c r="B59" i="36"/>
  <c r="B60" i="36"/>
  <c r="F61" i="36"/>
  <c r="G61" i="36"/>
  <c r="H61" i="36"/>
  <c r="I61" i="36"/>
  <c r="I60" i="36" s="1"/>
  <c r="J60" i="36" s="1"/>
  <c r="F62" i="36"/>
  <c r="G62" i="36"/>
  <c r="H62" i="36"/>
  <c r="I62" i="36"/>
  <c r="B64" i="36"/>
  <c r="F65" i="36"/>
  <c r="H65" i="36"/>
  <c r="F66" i="36"/>
  <c r="G66" i="36"/>
  <c r="H66" i="36"/>
  <c r="I66" i="36"/>
  <c r="B68" i="36"/>
  <c r="I69" i="36"/>
  <c r="I68" i="36" s="1"/>
  <c r="J68" i="36" s="1"/>
  <c r="I70" i="36"/>
  <c r="B72" i="36"/>
  <c r="F73" i="36"/>
  <c r="I73" i="36" s="1"/>
  <c r="I72" i="36" s="1"/>
  <c r="J72" i="36" s="1"/>
  <c r="H73" i="36"/>
  <c r="G74" i="36"/>
  <c r="H74" i="36"/>
  <c r="I74" i="36"/>
  <c r="F75" i="36"/>
  <c r="H75" i="36"/>
  <c r="I75" i="36"/>
  <c r="G76" i="36"/>
  <c r="H76" i="36"/>
  <c r="I76" i="36"/>
  <c r="B78" i="36"/>
  <c r="F79" i="36"/>
  <c r="I79" i="36" s="1"/>
  <c r="H79" i="36"/>
  <c r="H80" i="36"/>
  <c r="F81" i="36"/>
  <c r="H81" i="36"/>
  <c r="I81" i="36"/>
  <c r="G82" i="36"/>
  <c r="H82" i="36"/>
  <c r="I82" i="36"/>
  <c r="B84" i="36"/>
  <c r="B87" i="36"/>
  <c r="B88" i="36" s="1"/>
  <c r="E87" i="36"/>
  <c r="F89" i="36"/>
  <c r="H89" i="36"/>
  <c r="I89" i="36"/>
  <c r="I88" i="36" s="1"/>
  <c r="J88" i="36" s="1"/>
  <c r="G90" i="36"/>
  <c r="H90" i="36"/>
  <c r="I90" i="36"/>
  <c r="F91" i="36"/>
  <c r="H91" i="36"/>
  <c r="I91" i="36"/>
  <c r="G92" i="36"/>
  <c r="H92" i="36"/>
  <c r="I92" i="36"/>
  <c r="B94" i="36"/>
  <c r="B95" i="36" s="1"/>
  <c r="E94" i="36"/>
  <c r="I96" i="36"/>
  <c r="I95" i="36" s="1"/>
  <c r="J95" i="36" s="1"/>
  <c r="B98" i="36"/>
  <c r="E98" i="36"/>
  <c r="E103" i="36" s="1"/>
  <c r="I103" i="36" s="1"/>
  <c r="J103" i="36" s="1"/>
  <c r="B99" i="36"/>
  <c r="F100" i="36"/>
  <c r="G100" i="36"/>
  <c r="H100" i="36"/>
  <c r="I100" i="36"/>
  <c r="I99" i="36" s="1"/>
  <c r="J99" i="36" s="1"/>
  <c r="B102" i="36"/>
  <c r="B103" i="36"/>
  <c r="B117" i="36"/>
  <c r="E117" i="36"/>
  <c r="B118" i="36"/>
  <c r="I118" i="36"/>
  <c r="J118" i="36"/>
  <c r="N225" i="37" l="1"/>
  <c r="N227" i="37" s="1"/>
  <c r="R225" i="37"/>
  <c r="R227" i="37" s="1"/>
  <c r="Q225" i="37"/>
  <c r="Q227" i="37" s="1"/>
  <c r="P225" i="37"/>
  <c r="P227" i="37" s="1"/>
  <c r="O225" i="37"/>
  <c r="O227" i="37" s="1"/>
  <c r="N228" i="37" s="1"/>
  <c r="I85" i="36" s="1"/>
  <c r="I84" i="36" s="1"/>
  <c r="J84" i="36" s="1"/>
  <c r="G39" i="36"/>
  <c r="F24" i="36"/>
  <c r="I65" i="36"/>
  <c r="I64" i="36" s="1"/>
  <c r="J64" i="36" s="1"/>
  <c r="G41" i="36"/>
  <c r="G80" i="36"/>
  <c r="I80" i="36" s="1"/>
  <c r="I78" i="36" s="1"/>
  <c r="J78" i="36" s="1"/>
  <c r="G49" i="36"/>
  <c r="I49" i="36" s="1"/>
  <c r="M40" i="36"/>
  <c r="M44" i="36" l="1"/>
  <c r="G40" i="36"/>
  <c r="F28" i="36"/>
  <c r="F32" i="36" l="1"/>
  <c r="G38" i="36"/>
  <c r="H37" i="36" s="1"/>
  <c r="G24" i="36"/>
  <c r="G28" i="36" l="1"/>
  <c r="I24" i="36"/>
  <c r="I23" i="36" s="1"/>
  <c r="J23" i="36" s="1"/>
  <c r="I37" i="36"/>
  <c r="I36" i="36" s="1"/>
  <c r="H47" i="36"/>
  <c r="I47" i="36" s="1"/>
  <c r="I46" i="36" s="1"/>
  <c r="A6" i="35"/>
  <c r="D6" i="35"/>
  <c r="M12" i="35"/>
  <c r="N12" i="35"/>
  <c r="O12" i="35"/>
  <c r="P12" i="35"/>
  <c r="Q12" i="35"/>
  <c r="R12" i="35"/>
  <c r="S12" i="35"/>
  <c r="M17" i="35"/>
  <c r="N17" i="35"/>
  <c r="O17" i="35"/>
  <c r="P17" i="35"/>
  <c r="Q17" i="35"/>
  <c r="R17" i="35"/>
  <c r="S17" i="35"/>
  <c r="M22" i="35"/>
  <c r="N22" i="35"/>
  <c r="O22" i="35"/>
  <c r="P22" i="35"/>
  <c r="Q22" i="35"/>
  <c r="R22" i="35"/>
  <c r="S22" i="35"/>
  <c r="M27" i="35"/>
  <c r="O27" i="35" s="1"/>
  <c r="N27" i="35"/>
  <c r="P27" i="35"/>
  <c r="Q27" i="35"/>
  <c r="R27" i="35"/>
  <c r="S27" i="35"/>
  <c r="M32" i="35"/>
  <c r="N32" i="35"/>
  <c r="O32" i="35"/>
  <c r="P32" i="35"/>
  <c r="Q32" i="35"/>
  <c r="R32" i="35"/>
  <c r="S32" i="35"/>
  <c r="M37" i="35"/>
  <c r="N37" i="35"/>
  <c r="O37" i="35"/>
  <c r="P37" i="35"/>
  <c r="Q37" i="35"/>
  <c r="R37" i="35"/>
  <c r="S37" i="35"/>
  <c r="M42" i="35"/>
  <c r="P42" i="35" s="1"/>
  <c r="N42" i="35"/>
  <c r="O42" i="35"/>
  <c r="Q42" i="35"/>
  <c r="R42" i="35"/>
  <c r="S42" i="35"/>
  <c r="M47" i="35"/>
  <c r="N47" i="35"/>
  <c r="O47" i="35"/>
  <c r="P47" i="35"/>
  <c r="Q47" i="35"/>
  <c r="R47" i="35"/>
  <c r="S47" i="35"/>
  <c r="N52" i="35"/>
  <c r="O52" i="35"/>
  <c r="Q52" i="35"/>
  <c r="R52" i="35"/>
  <c r="S52" i="35"/>
  <c r="F53" i="35"/>
  <c r="M52" i="35" s="1"/>
  <c r="P52" i="35" s="1"/>
  <c r="L57" i="35"/>
  <c r="P57" i="35" s="1"/>
  <c r="M57" i="35"/>
  <c r="N57" i="35"/>
  <c r="O57" i="35"/>
  <c r="Q57" i="35"/>
  <c r="R57" i="35"/>
  <c r="S57" i="35"/>
  <c r="M62" i="35"/>
  <c r="P62" i="35" s="1"/>
  <c r="N62" i="35"/>
  <c r="O62" i="35"/>
  <c r="Q62" i="35"/>
  <c r="R62" i="35"/>
  <c r="S62" i="35"/>
  <c r="M67" i="35"/>
  <c r="N67" i="35"/>
  <c r="O67" i="35"/>
  <c r="P67" i="35"/>
  <c r="Q67" i="35"/>
  <c r="R67" i="35"/>
  <c r="S67" i="35"/>
  <c r="F72" i="35"/>
  <c r="M72" i="35" s="1"/>
  <c r="P72" i="35" s="1"/>
  <c r="N72" i="35"/>
  <c r="O72" i="35"/>
  <c r="Q72" i="35"/>
  <c r="R72" i="35"/>
  <c r="S72" i="35"/>
  <c r="M77" i="35"/>
  <c r="N77" i="35"/>
  <c r="O77" i="35"/>
  <c r="P77" i="35"/>
  <c r="Q77" i="35"/>
  <c r="R77" i="35"/>
  <c r="S77" i="35"/>
  <c r="M82" i="35"/>
  <c r="P82" i="35" s="1"/>
  <c r="N82" i="35"/>
  <c r="O82" i="35"/>
  <c r="Q82" i="35"/>
  <c r="R82" i="35"/>
  <c r="S82" i="35"/>
  <c r="M87" i="35"/>
  <c r="N87" i="35"/>
  <c r="O87" i="35"/>
  <c r="P87" i="35"/>
  <c r="Q87" i="35"/>
  <c r="R87" i="35"/>
  <c r="S87" i="35"/>
  <c r="M92" i="35"/>
  <c r="N92" i="35"/>
  <c r="O92" i="35"/>
  <c r="P92" i="35"/>
  <c r="Q92" i="35"/>
  <c r="R92" i="35"/>
  <c r="S92" i="35"/>
  <c r="M97" i="35"/>
  <c r="O97" i="35" s="1"/>
  <c r="N97" i="35"/>
  <c r="P97" i="35"/>
  <c r="Q97" i="35"/>
  <c r="R97" i="35"/>
  <c r="S97" i="35"/>
  <c r="M102" i="35"/>
  <c r="N102" i="35"/>
  <c r="O102" i="35"/>
  <c r="P102" i="35"/>
  <c r="Q102" i="35"/>
  <c r="R102" i="35"/>
  <c r="S102" i="35"/>
  <c r="M107" i="35"/>
  <c r="N107" i="35"/>
  <c r="O107" i="35"/>
  <c r="P107" i="35"/>
  <c r="Q107" i="35"/>
  <c r="R107" i="35"/>
  <c r="S107" i="35"/>
  <c r="M112" i="35"/>
  <c r="O112" i="35" s="1"/>
  <c r="N112" i="35"/>
  <c r="P112" i="35"/>
  <c r="Q112" i="35"/>
  <c r="R112" i="35"/>
  <c r="S112" i="35"/>
  <c r="M117" i="35"/>
  <c r="O117" i="35" s="1"/>
  <c r="N117" i="35"/>
  <c r="P117" i="35"/>
  <c r="Q117" i="35"/>
  <c r="R117" i="35"/>
  <c r="S117" i="35"/>
  <c r="M122" i="35"/>
  <c r="P122" i="35" s="1"/>
  <c r="N122" i="35"/>
  <c r="O122" i="35"/>
  <c r="Q122" i="35"/>
  <c r="R122" i="35"/>
  <c r="S122" i="35"/>
  <c r="M127" i="35"/>
  <c r="N127" i="35"/>
  <c r="O127" i="35"/>
  <c r="P127" i="35"/>
  <c r="Q127" i="35"/>
  <c r="R127" i="35"/>
  <c r="S127" i="35"/>
  <c r="M132" i="35"/>
  <c r="N132" i="35"/>
  <c r="O132" i="35"/>
  <c r="P132" i="35"/>
  <c r="Q132" i="35"/>
  <c r="R132" i="35"/>
  <c r="S132" i="35"/>
  <c r="M137" i="35"/>
  <c r="N137" i="35"/>
  <c r="O137" i="35"/>
  <c r="P137" i="35"/>
  <c r="Q137" i="35"/>
  <c r="R137" i="35"/>
  <c r="S137" i="35"/>
  <c r="M142" i="35"/>
  <c r="P142" i="35" s="1"/>
  <c r="N142" i="35"/>
  <c r="O142" i="35"/>
  <c r="Q142" i="35"/>
  <c r="R142" i="35"/>
  <c r="S142" i="35"/>
  <c r="H146" i="35"/>
  <c r="M147" i="35"/>
  <c r="N147" i="35"/>
  <c r="O147" i="35"/>
  <c r="P147" i="35"/>
  <c r="Q147" i="35"/>
  <c r="R147" i="35"/>
  <c r="S147" i="35"/>
  <c r="M152" i="35"/>
  <c r="N152" i="35"/>
  <c r="O152" i="35"/>
  <c r="P152" i="35"/>
  <c r="Q152" i="35"/>
  <c r="R152" i="35"/>
  <c r="S152" i="35"/>
  <c r="H156" i="35"/>
  <c r="M157" i="35" s="1"/>
  <c r="N158" i="35"/>
  <c r="O158" i="35"/>
  <c r="P158" i="35"/>
  <c r="Q158" i="35"/>
  <c r="R158" i="35"/>
  <c r="S158" i="35"/>
  <c r="G160" i="35"/>
  <c r="M162" i="35"/>
  <c r="N162" i="35"/>
  <c r="O162" i="35"/>
  <c r="P162" i="35"/>
  <c r="Q162" i="35"/>
  <c r="R162" i="35"/>
  <c r="S162" i="35"/>
  <c r="M167" i="35"/>
  <c r="N167" i="35"/>
  <c r="O167" i="35"/>
  <c r="P167" i="35"/>
  <c r="Q167" i="35"/>
  <c r="R167" i="35"/>
  <c r="S167" i="35"/>
  <c r="M172" i="35"/>
  <c r="O172" i="35" s="1"/>
  <c r="N172" i="35"/>
  <c r="P172" i="35"/>
  <c r="Q172" i="35"/>
  <c r="R172" i="35"/>
  <c r="S172" i="35"/>
  <c r="M177" i="35"/>
  <c r="N177" i="35"/>
  <c r="O177" i="35"/>
  <c r="P177" i="35"/>
  <c r="Q177" i="35"/>
  <c r="R177" i="35"/>
  <c r="S177" i="35"/>
  <c r="F180" i="35"/>
  <c r="M182" i="35"/>
  <c r="O182" i="35" s="1"/>
  <c r="N182" i="35"/>
  <c r="P182" i="35"/>
  <c r="Q182" i="35"/>
  <c r="R182" i="35"/>
  <c r="S182" i="35"/>
  <c r="M187" i="35"/>
  <c r="O187" i="35" s="1"/>
  <c r="N187" i="35"/>
  <c r="P187" i="35"/>
  <c r="Q187" i="35"/>
  <c r="R187" i="35"/>
  <c r="S187" i="35"/>
  <c r="H192" i="35"/>
  <c r="M192" i="35"/>
  <c r="N192" i="35"/>
  <c r="O192" i="35"/>
  <c r="P192" i="35"/>
  <c r="Q192" i="35"/>
  <c r="R192" i="35"/>
  <c r="S192" i="35"/>
  <c r="M197" i="35"/>
  <c r="N197" i="35"/>
  <c r="O197" i="35"/>
  <c r="P197" i="35"/>
  <c r="Q197" i="35"/>
  <c r="R197" i="35"/>
  <c r="S197" i="35"/>
  <c r="E201" i="35"/>
  <c r="M202" i="35" s="1"/>
  <c r="O202" i="35" s="1"/>
  <c r="N202" i="35"/>
  <c r="P202" i="35"/>
  <c r="Q202" i="35"/>
  <c r="R202" i="35"/>
  <c r="S202" i="35"/>
  <c r="M207" i="35"/>
  <c r="O207" i="35" s="1"/>
  <c r="N207" i="35"/>
  <c r="P207" i="35"/>
  <c r="Q207" i="35"/>
  <c r="R207" i="35"/>
  <c r="S207" i="35"/>
  <c r="M212" i="35"/>
  <c r="N212" i="35"/>
  <c r="O212" i="35"/>
  <c r="P212" i="35"/>
  <c r="Q212" i="35"/>
  <c r="R212" i="35"/>
  <c r="S212" i="35"/>
  <c r="M217" i="35"/>
  <c r="N217" i="35"/>
  <c r="O217" i="35"/>
  <c r="P217" i="35"/>
  <c r="Q217" i="35"/>
  <c r="R217" i="35"/>
  <c r="S217" i="35"/>
  <c r="M222" i="35"/>
  <c r="N222" i="35"/>
  <c r="O222" i="35"/>
  <c r="P222" i="35"/>
  <c r="Q222" i="35"/>
  <c r="R222" i="35"/>
  <c r="S222" i="35"/>
  <c r="B19" i="34"/>
  <c r="B21" i="34" s="1"/>
  <c r="E19" i="34"/>
  <c r="E22" i="34" s="1"/>
  <c r="C20" i="34"/>
  <c r="B22" i="34"/>
  <c r="B23" i="34"/>
  <c r="I25" i="34"/>
  <c r="B27" i="34"/>
  <c r="F29" i="34"/>
  <c r="G29" i="34"/>
  <c r="G44" i="34" s="1"/>
  <c r="I44" i="34" s="1"/>
  <c r="B31" i="34"/>
  <c r="F33" i="34"/>
  <c r="G33" i="34"/>
  <c r="I33" i="34"/>
  <c r="M34" i="34"/>
  <c r="G65" i="34" s="1"/>
  <c r="B35" i="34"/>
  <c r="B36" i="34" s="1"/>
  <c r="E35" i="34"/>
  <c r="M35" i="34"/>
  <c r="M41" i="34"/>
  <c r="G41" i="34" s="1"/>
  <c r="G42" i="34"/>
  <c r="M43" i="34"/>
  <c r="F44" i="34"/>
  <c r="B46" i="34"/>
  <c r="F48" i="34"/>
  <c r="G48" i="34"/>
  <c r="H48" i="34"/>
  <c r="I48" i="34"/>
  <c r="F49" i="34"/>
  <c r="H49" i="34"/>
  <c r="B51" i="34"/>
  <c r="F53" i="34"/>
  <c r="B55" i="34"/>
  <c r="E55" i="34"/>
  <c r="B56" i="34"/>
  <c r="I57" i="34"/>
  <c r="I56" i="34" s="1"/>
  <c r="J56" i="34" s="1"/>
  <c r="B59" i="34"/>
  <c r="B60" i="34"/>
  <c r="F61" i="34"/>
  <c r="G61" i="34"/>
  <c r="H61" i="34"/>
  <c r="I61" i="34"/>
  <c r="F62" i="34"/>
  <c r="I62" i="34" s="1"/>
  <c r="G62" i="34"/>
  <c r="H62" i="34"/>
  <c r="B64" i="34"/>
  <c r="F65" i="34"/>
  <c r="H65" i="34"/>
  <c r="F66" i="34"/>
  <c r="G66" i="34"/>
  <c r="H66" i="34"/>
  <c r="I66" i="34"/>
  <c r="B68" i="34"/>
  <c r="I69" i="34"/>
  <c r="I68" i="34" s="1"/>
  <c r="J68" i="34" s="1"/>
  <c r="I70" i="34"/>
  <c r="B72" i="34"/>
  <c r="F73" i="34"/>
  <c r="I73" i="34" s="1"/>
  <c r="I72" i="34" s="1"/>
  <c r="J72" i="34" s="1"/>
  <c r="H73" i="34"/>
  <c r="G74" i="34"/>
  <c r="H74" i="34"/>
  <c r="I74" i="34"/>
  <c r="F75" i="34"/>
  <c r="H75" i="34"/>
  <c r="I75" i="34"/>
  <c r="G76" i="34"/>
  <c r="H76" i="34"/>
  <c r="I76" i="34"/>
  <c r="B78" i="34"/>
  <c r="F79" i="34"/>
  <c r="I79" i="34" s="1"/>
  <c r="H79" i="34"/>
  <c r="H80" i="34"/>
  <c r="F81" i="34"/>
  <c r="H81" i="34"/>
  <c r="I81" i="34"/>
  <c r="G82" i="34"/>
  <c r="H82" i="34"/>
  <c r="I82" i="34"/>
  <c r="B84" i="34"/>
  <c r="B87" i="34"/>
  <c r="B88" i="34" s="1"/>
  <c r="E87" i="34"/>
  <c r="F89" i="34"/>
  <c r="H89" i="34"/>
  <c r="I89" i="34"/>
  <c r="I88" i="34" s="1"/>
  <c r="J88" i="34" s="1"/>
  <c r="G90" i="34"/>
  <c r="H90" i="34"/>
  <c r="I90" i="34"/>
  <c r="F91" i="34"/>
  <c r="H91" i="34"/>
  <c r="I91" i="34"/>
  <c r="G92" i="34"/>
  <c r="H92" i="34"/>
  <c r="I92" i="34"/>
  <c r="B94" i="34"/>
  <c r="B95" i="34" s="1"/>
  <c r="E94" i="34"/>
  <c r="I96" i="34"/>
  <c r="I95" i="34" s="1"/>
  <c r="J95" i="34" s="1"/>
  <c r="B98" i="34"/>
  <c r="E98" i="34"/>
  <c r="B99" i="34"/>
  <c r="F100" i="34"/>
  <c r="G100" i="34"/>
  <c r="H100" i="34"/>
  <c r="I100" i="34"/>
  <c r="I99" i="34" s="1"/>
  <c r="J99" i="34" s="1"/>
  <c r="B102" i="34"/>
  <c r="B104" i="34"/>
  <c r="C104" i="34"/>
  <c r="E104" i="34"/>
  <c r="I104" i="34" s="1"/>
  <c r="J104" i="34" s="1"/>
  <c r="C105" i="34"/>
  <c r="E105" i="34"/>
  <c r="C106" i="34"/>
  <c r="E106" i="34"/>
  <c r="C107" i="34"/>
  <c r="E107" i="34"/>
  <c r="C108" i="34"/>
  <c r="E108" i="34"/>
  <c r="C109" i="34"/>
  <c r="E109" i="34"/>
  <c r="C110" i="34"/>
  <c r="E110" i="34"/>
  <c r="C111" i="34"/>
  <c r="E111" i="34"/>
  <c r="C112" i="34"/>
  <c r="E112" i="34"/>
  <c r="C113" i="34"/>
  <c r="E113" i="34"/>
  <c r="C114" i="34"/>
  <c r="E114" i="34"/>
  <c r="C115" i="34"/>
  <c r="E115" i="34"/>
  <c r="B118" i="34"/>
  <c r="E118" i="34"/>
  <c r="B119" i="34"/>
  <c r="I119" i="34"/>
  <c r="J119" i="34"/>
  <c r="H53" i="36" l="1"/>
  <c r="I53" i="36" s="1"/>
  <c r="J46" i="36"/>
  <c r="H52" i="36"/>
  <c r="I52" i="36" s="1"/>
  <c r="I51" i="36" s="1"/>
  <c r="J51" i="36" s="1"/>
  <c r="J36" i="36"/>
  <c r="G32" i="36"/>
  <c r="I32" i="36" s="1"/>
  <c r="I31" i="36" s="1"/>
  <c r="J31" i="36" s="1"/>
  <c r="I28" i="36"/>
  <c r="I27" i="36" s="1"/>
  <c r="J27" i="36" s="1"/>
  <c r="S225" i="35"/>
  <c r="S227" i="35" s="1"/>
  <c r="Q225" i="35"/>
  <c r="Q227" i="35" s="1"/>
  <c r="R225" i="35"/>
  <c r="R227" i="35" s="1"/>
  <c r="N225" i="35"/>
  <c r="N227" i="35" s="1"/>
  <c r="O225" i="35"/>
  <c r="O227" i="35" s="1"/>
  <c r="P225" i="35"/>
  <c r="P227" i="35" s="1"/>
  <c r="N228" i="35" s="1"/>
  <c r="I85" i="34" s="1"/>
  <c r="I84" i="34" s="1"/>
  <c r="J84" i="34" s="1"/>
  <c r="I60" i="34"/>
  <c r="J60" i="34" s="1"/>
  <c r="I65" i="34"/>
  <c r="I64" i="34" s="1"/>
  <c r="J64" i="34" s="1"/>
  <c r="M40" i="34"/>
  <c r="I29" i="34"/>
  <c r="M45" i="34"/>
  <c r="G49" i="34"/>
  <c r="I49" i="34" s="1"/>
  <c r="G80" i="34"/>
  <c r="I80" i="34" s="1"/>
  <c r="I78" i="34" s="1"/>
  <c r="J78" i="34" s="1"/>
  <c r="G40" i="34" l="1"/>
  <c r="M44" i="34"/>
  <c r="F24" i="34"/>
  <c r="G39" i="34"/>
  <c r="F28" i="34" l="1"/>
  <c r="G38" i="34"/>
  <c r="H37" i="34" s="1"/>
  <c r="G24" i="34"/>
  <c r="G28" i="34" s="1"/>
  <c r="G32" i="34" s="1"/>
  <c r="I37" i="34" l="1"/>
  <c r="I36" i="34" s="1"/>
  <c r="H47" i="34"/>
  <c r="I47" i="34" s="1"/>
  <c r="I46" i="34" s="1"/>
  <c r="I24" i="34"/>
  <c r="I23" i="34" s="1"/>
  <c r="J23" i="34" s="1"/>
  <c r="F32" i="34"/>
  <c r="I32" i="34" s="1"/>
  <c r="I31" i="34" s="1"/>
  <c r="J31" i="34" s="1"/>
  <c r="I28" i="34"/>
  <c r="I27" i="34" s="1"/>
  <c r="J27" i="34" s="1"/>
  <c r="L18" i="33"/>
  <c r="C20" i="33" s="1"/>
  <c r="B19" i="33"/>
  <c r="B22" i="33" s="1"/>
  <c r="E19" i="33"/>
  <c r="C19" i="33" s="1"/>
  <c r="E22" i="33"/>
  <c r="B32" i="33"/>
  <c r="B44" i="33" s="1"/>
  <c r="E32" i="33"/>
  <c r="B33" i="33"/>
  <c r="M33" i="33"/>
  <c r="G47" i="33" s="1"/>
  <c r="M34" i="33"/>
  <c r="F47" i="33" s="1"/>
  <c r="G39" i="33"/>
  <c r="F41" i="33"/>
  <c r="I41" i="33" s="1"/>
  <c r="G41" i="33"/>
  <c r="H41" i="33"/>
  <c r="H42" i="33"/>
  <c r="F46" i="33"/>
  <c r="G46" i="33"/>
  <c r="H46" i="33"/>
  <c r="I46" i="33"/>
  <c r="H47" i="33"/>
  <c r="B49" i="33"/>
  <c r="M49" i="33"/>
  <c r="F51" i="33"/>
  <c r="B53" i="33"/>
  <c r="B57" i="33" s="1"/>
  <c r="E53" i="33"/>
  <c r="I58" i="33"/>
  <c r="I57" i="33" s="1"/>
  <c r="J57" i="33" s="1"/>
  <c r="B60" i="33"/>
  <c r="B66" i="33" s="1"/>
  <c r="E60" i="33"/>
  <c r="B61" i="33"/>
  <c r="F62" i="33"/>
  <c r="G62" i="33"/>
  <c r="H62" i="33"/>
  <c r="I62" i="33"/>
  <c r="F63" i="33"/>
  <c r="G63" i="33"/>
  <c r="H63" i="33"/>
  <c r="F64" i="33"/>
  <c r="I64" i="33" s="1"/>
  <c r="G64" i="33"/>
  <c r="H64" i="33"/>
  <c r="H67" i="33"/>
  <c r="F70" i="33"/>
  <c r="H70" i="33"/>
  <c r="I70" i="33"/>
  <c r="G71" i="33"/>
  <c r="H71" i="33"/>
  <c r="I71" i="33"/>
  <c r="F72" i="33"/>
  <c r="I72" i="33" s="1"/>
  <c r="H72" i="33"/>
  <c r="G73" i="33"/>
  <c r="I73" i="33" s="1"/>
  <c r="H73" i="33"/>
  <c r="H76" i="33"/>
  <c r="H77" i="33"/>
  <c r="B79" i="33"/>
  <c r="H81" i="33"/>
  <c r="I81" i="33" s="1"/>
  <c r="H82" i="33"/>
  <c r="I82" i="33" s="1"/>
  <c r="I83" i="33"/>
  <c r="H84" i="33"/>
  <c r="I84" i="33" s="1"/>
  <c r="H85" i="33"/>
  <c r="I85" i="33" s="1"/>
  <c r="B87" i="33"/>
  <c r="B88" i="33" s="1"/>
  <c r="E87" i="33"/>
  <c r="F89" i="33"/>
  <c r="I89" i="33" s="1"/>
  <c r="I88" i="33" s="1"/>
  <c r="J88" i="33" s="1"/>
  <c r="H89" i="33"/>
  <c r="G90" i="33"/>
  <c r="H90" i="33"/>
  <c r="I90" i="33"/>
  <c r="F91" i="33"/>
  <c r="G91" i="33"/>
  <c r="I91" i="33"/>
  <c r="B93" i="33"/>
  <c r="B94" i="33" s="1"/>
  <c r="E93" i="33"/>
  <c r="I94" i="33"/>
  <c r="J94" i="33"/>
  <c r="E95" i="33"/>
  <c r="E96" i="33"/>
  <c r="E97" i="33"/>
  <c r="E98" i="33"/>
  <c r="E99" i="33"/>
  <c r="E100" i="33"/>
  <c r="B107" i="33"/>
  <c r="E107" i="33"/>
  <c r="B108" i="33"/>
  <c r="I108" i="33"/>
  <c r="J108" i="33" s="1"/>
  <c r="H116" i="33"/>
  <c r="G116" i="33" s="1"/>
  <c r="I116" i="33"/>
  <c r="G117" i="33"/>
  <c r="H118" i="33"/>
  <c r="G118" i="33" s="1"/>
  <c r="I118" i="33"/>
  <c r="G119" i="33"/>
  <c r="H120" i="33"/>
  <c r="G120" i="33" s="1"/>
  <c r="H121" i="33"/>
  <c r="G121" i="33" s="1"/>
  <c r="I121" i="33"/>
  <c r="H122" i="33"/>
  <c r="G122" i="33" s="1"/>
  <c r="I122" i="33"/>
  <c r="G123" i="33"/>
  <c r="I123" i="33"/>
  <c r="H124" i="33"/>
  <c r="G124" i="33" s="1"/>
  <c r="I124" i="33"/>
  <c r="H53" i="34" l="1"/>
  <c r="I53" i="34" s="1"/>
  <c r="J46" i="34"/>
  <c r="J36" i="34"/>
  <c r="H52" i="34"/>
  <c r="I52" i="34" s="1"/>
  <c r="I51" i="34" s="1"/>
  <c r="J51" i="34" s="1"/>
  <c r="I69" i="33"/>
  <c r="J69" i="33" s="1"/>
  <c r="B29" i="33"/>
  <c r="B26" i="33"/>
  <c r="B23" i="33"/>
  <c r="I47" i="33"/>
  <c r="I63" i="33"/>
  <c r="I61" i="33" s="1"/>
  <c r="J61" i="33" s="1"/>
  <c r="M47" i="33"/>
  <c r="M51" i="33" s="1"/>
  <c r="G36" i="33" s="1"/>
  <c r="B69" i="33"/>
  <c r="B75" i="33"/>
  <c r="F67" i="33"/>
  <c r="G55" i="33"/>
  <c r="F76" i="33"/>
  <c r="I76" i="33" s="1"/>
  <c r="I120" i="33"/>
  <c r="F55" i="33"/>
  <c r="I55" i="33" s="1"/>
  <c r="I54" i="33" s="1"/>
  <c r="J54" i="33" s="1"/>
  <c r="F42" i="33"/>
  <c r="B54" i="33"/>
  <c r="I79" i="33"/>
  <c r="J79" i="33" s="1"/>
  <c r="G67" i="33"/>
  <c r="M46" i="33"/>
  <c r="G38" i="33"/>
  <c r="F77" i="33"/>
  <c r="I77" i="33" s="1"/>
  <c r="G42" i="33"/>
  <c r="D6" i="32"/>
  <c r="D13" i="32"/>
  <c r="B22" i="32"/>
  <c r="B76" i="32" s="1"/>
  <c r="F93" i="32"/>
  <c r="I93" i="32" s="1"/>
  <c r="J93" i="32" s="1"/>
  <c r="F59" i="32"/>
  <c r="F62" i="32" s="1"/>
  <c r="I62" i="32" s="1"/>
  <c r="J62" i="32" s="1"/>
  <c r="F60" i="32"/>
  <c r="F70" i="32" s="1"/>
  <c r="I70" i="32" s="1"/>
  <c r="J70" i="32" s="1"/>
  <c r="F61" i="32"/>
  <c r="I66" i="32" s="1"/>
  <c r="J66" i="32" s="1"/>
  <c r="I61" i="32"/>
  <c r="E74" i="32"/>
  <c r="E75" i="32"/>
  <c r="I77" i="32"/>
  <c r="J77" i="32" s="1"/>
  <c r="I78" i="32"/>
  <c r="J78" i="32" s="1"/>
  <c r="I80" i="32"/>
  <c r="J80" i="32" s="1"/>
  <c r="I81" i="32"/>
  <c r="J81" i="32" s="1"/>
  <c r="I82" i="32"/>
  <c r="J82" i="32" s="1"/>
  <c r="I83" i="32"/>
  <c r="J83" i="32" s="1"/>
  <c r="I84" i="32"/>
  <c r="J84" i="32" s="1"/>
  <c r="I85" i="32"/>
  <c r="J85" i="32" s="1"/>
  <c r="I86" i="32"/>
  <c r="J86" i="32" s="1"/>
  <c r="I87" i="32"/>
  <c r="J87" i="32" s="1"/>
  <c r="I88" i="32"/>
  <c r="J88" i="32" s="1"/>
  <c r="I89" i="32"/>
  <c r="J89" i="32" s="1"/>
  <c r="I90" i="32"/>
  <c r="J90" i="32" s="1"/>
  <c r="I91" i="32"/>
  <c r="J91" i="32" s="1"/>
  <c r="B53" i="32" l="1"/>
  <c r="B55" i="32" s="1"/>
  <c r="I60" i="32"/>
  <c r="J60" i="32" s="1"/>
  <c r="F69" i="32"/>
  <c r="I69" i="32" s="1"/>
  <c r="J69" i="32" s="1"/>
  <c r="F65" i="32"/>
  <c r="I65" i="32" s="1"/>
  <c r="J65" i="32" s="1"/>
  <c r="I59" i="32"/>
  <c r="J59" i="32" s="1"/>
  <c r="B78" i="32"/>
  <c r="B77" i="32"/>
  <c r="J61" i="32"/>
  <c r="B54" i="32"/>
  <c r="B58" i="32"/>
  <c r="B72" i="32" s="1"/>
  <c r="B92" i="32"/>
  <c r="B93" i="32" s="1"/>
  <c r="B79" i="32"/>
  <c r="B85" i="32" s="1"/>
  <c r="B56" i="32"/>
  <c r="I42" i="33"/>
  <c r="I67" i="33"/>
  <c r="I66" i="33" s="1"/>
  <c r="J66" i="33" s="1"/>
  <c r="I75" i="33"/>
  <c r="J75" i="33" s="1"/>
  <c r="F24" i="33"/>
  <c r="G37" i="33"/>
  <c r="M50" i="33"/>
  <c r="F27" i="33"/>
  <c r="F63" i="32"/>
  <c r="I63" i="32" s="1"/>
  <c r="J63" i="32" s="1"/>
  <c r="F67" i="32"/>
  <c r="I67" i="32" s="1"/>
  <c r="F64" i="32"/>
  <c r="I64" i="32" s="1"/>
  <c r="J64" i="32" s="1"/>
  <c r="F71" i="32"/>
  <c r="I71" i="32" s="1"/>
  <c r="J71" i="32" s="1"/>
  <c r="F68" i="32"/>
  <c r="I68" i="32" s="1"/>
  <c r="J68" i="32" s="1"/>
  <c r="C6" i="31"/>
  <c r="C10" i="31"/>
  <c r="A13" i="31"/>
  <c r="A21" i="31" s="1"/>
  <c r="E13" i="31"/>
  <c r="A16" i="31"/>
  <c r="A17" i="31"/>
  <c r="E17" i="31"/>
  <c r="B13" i="31" s="1"/>
  <c r="H17" i="31"/>
  <c r="I17" i="31" s="1"/>
  <c r="A18" i="31"/>
  <c r="E18" i="31"/>
  <c r="H18" i="31"/>
  <c r="I18" i="31" s="1"/>
  <c r="A19" i="31"/>
  <c r="E19" i="31"/>
  <c r="H19" i="31" s="1"/>
  <c r="I19" i="31" s="1"/>
  <c r="E22" i="31"/>
  <c r="H22" i="31"/>
  <c r="I22" i="31" s="1"/>
  <c r="E26" i="31"/>
  <c r="H26" i="31"/>
  <c r="I26" i="31" s="1"/>
  <c r="A28" i="31"/>
  <c r="A29" i="31" s="1"/>
  <c r="A30" i="31" s="1"/>
  <c r="H29" i="31"/>
  <c r="I29" i="31" s="1"/>
  <c r="H30" i="31"/>
  <c r="I30" i="31" s="1"/>
  <c r="A32" i="31"/>
  <c r="A33" i="31" s="1"/>
  <c r="E33" i="31"/>
  <c r="H33" i="31" s="1"/>
  <c r="I33" i="31" s="1"/>
  <c r="B90" i="32" l="1"/>
  <c r="B66" i="32"/>
  <c r="B61" i="32"/>
  <c r="B86" i="32"/>
  <c r="B71" i="32"/>
  <c r="B84" i="32"/>
  <c r="B82" i="32"/>
  <c r="B60" i="32"/>
  <c r="B83" i="32"/>
  <c r="B62" i="32"/>
  <c r="B67" i="32"/>
  <c r="B68" i="32"/>
  <c r="B69" i="32"/>
  <c r="B63" i="32"/>
  <c r="F73" i="32"/>
  <c r="I73" i="32" s="1"/>
  <c r="B88" i="32"/>
  <c r="B65" i="32"/>
  <c r="B70" i="32"/>
  <c r="B64" i="32"/>
  <c r="B87" i="32"/>
  <c r="B80" i="32"/>
  <c r="B91" i="32"/>
  <c r="B81" i="32"/>
  <c r="B89" i="32"/>
  <c r="B59" i="32"/>
  <c r="A25" i="31"/>
  <c r="A26" i="31" s="1"/>
  <c r="G35" i="33"/>
  <c r="H34" i="33" s="1"/>
  <c r="G24" i="33"/>
  <c r="F30" i="33"/>
  <c r="C22" i="32"/>
  <c r="F55" i="32"/>
  <c r="I55" i="32" s="1"/>
  <c r="J55" i="32" s="1"/>
  <c r="I54" i="32"/>
  <c r="J54" i="32" s="1"/>
  <c r="F56" i="32"/>
  <c r="I56" i="32" s="1"/>
  <c r="J56" i="32" s="1"/>
  <c r="F74" i="32"/>
  <c r="I74" i="32" s="1"/>
  <c r="J67" i="32"/>
  <c r="F75" i="32"/>
  <c r="I75" i="32" s="1"/>
  <c r="H24" i="31"/>
  <c r="I24" i="31" s="1"/>
  <c r="E23" i="31"/>
  <c r="H23" i="31" s="1"/>
  <c r="I23" i="31" s="1"/>
  <c r="A22" i="31"/>
  <c r="A23" i="31"/>
  <c r="A24" i="31"/>
  <c r="K10" i="30"/>
  <c r="N10" i="30"/>
  <c r="O10" i="30"/>
  <c r="P10" i="30"/>
  <c r="Q10" i="30"/>
  <c r="R10" i="30"/>
  <c r="K14" i="30"/>
  <c r="N14" i="30"/>
  <c r="O14" i="30"/>
  <c r="P14" i="30"/>
  <c r="Q14" i="30"/>
  <c r="Q57" i="30" s="1"/>
  <c r="Q59" i="30" s="1"/>
  <c r="R14" i="30"/>
  <c r="R57" i="30" s="1"/>
  <c r="R59" i="30" s="1"/>
  <c r="K22" i="30"/>
  <c r="N22" i="30"/>
  <c r="O22" i="30"/>
  <c r="P22" i="30"/>
  <c r="Q22" i="30"/>
  <c r="R22" i="30"/>
  <c r="K27" i="30"/>
  <c r="N27" i="30"/>
  <c r="O27" i="30"/>
  <c r="P27" i="30"/>
  <c r="Q27" i="30"/>
  <c r="R27" i="30"/>
  <c r="K33" i="30"/>
  <c r="N33" i="30"/>
  <c r="O33" i="30"/>
  <c r="P33" i="30"/>
  <c r="Q33" i="30"/>
  <c r="R33" i="30"/>
  <c r="K39" i="30"/>
  <c r="O39" i="30" s="1"/>
  <c r="N39" i="30"/>
  <c r="P39" i="30"/>
  <c r="Q39" i="30"/>
  <c r="R39" i="30"/>
  <c r="K45" i="30"/>
  <c r="N45" i="30"/>
  <c r="O45" i="30"/>
  <c r="P45" i="30"/>
  <c r="Q45" i="30"/>
  <c r="R45" i="30"/>
  <c r="K49" i="30"/>
  <c r="N49" i="30"/>
  <c r="O49" i="30"/>
  <c r="P49" i="30"/>
  <c r="Q49" i="30"/>
  <c r="R49" i="30"/>
  <c r="K54" i="30"/>
  <c r="O54" i="30" s="1"/>
  <c r="N54" i="30"/>
  <c r="P54" i="30"/>
  <c r="Q54" i="30"/>
  <c r="R54" i="30"/>
  <c r="K72" i="30"/>
  <c r="N72" i="30"/>
  <c r="O72" i="30"/>
  <c r="P72" i="30"/>
  <c r="Q72" i="30"/>
  <c r="R72" i="30"/>
  <c r="K76" i="30"/>
  <c r="N76" i="30"/>
  <c r="N102" i="30" s="1"/>
  <c r="N104" i="30" s="1"/>
  <c r="O76" i="30"/>
  <c r="P76" i="30"/>
  <c r="P102" i="30" s="1"/>
  <c r="P104" i="30" s="1"/>
  <c r="Q76" i="30"/>
  <c r="Q102" i="30" s="1"/>
  <c r="Q104" i="30" s="1"/>
  <c r="R76" i="30"/>
  <c r="K81" i="30"/>
  <c r="N81" i="30"/>
  <c r="O81" i="30"/>
  <c r="P81" i="30"/>
  <c r="Q81" i="30"/>
  <c r="R81" i="30"/>
  <c r="K86" i="30"/>
  <c r="N86" i="30"/>
  <c r="O86" i="30"/>
  <c r="P86" i="30"/>
  <c r="Q86" i="30"/>
  <c r="R86" i="30"/>
  <c r="K93" i="30"/>
  <c r="N93" i="30"/>
  <c r="O93" i="30"/>
  <c r="P93" i="30"/>
  <c r="Q93" i="30"/>
  <c r="R93" i="30"/>
  <c r="K99" i="30"/>
  <c r="O99" i="30" s="1"/>
  <c r="N99" i="30"/>
  <c r="P99" i="30"/>
  <c r="Q99" i="30"/>
  <c r="R99" i="30"/>
  <c r="K117" i="30"/>
  <c r="N117" i="30"/>
  <c r="N144" i="30" s="1"/>
  <c r="N146" i="30" s="1"/>
  <c r="O117" i="30"/>
  <c r="P117" i="30"/>
  <c r="Q117" i="30"/>
  <c r="R117" i="30"/>
  <c r="K122" i="30"/>
  <c r="O122" i="30" s="1"/>
  <c r="N122" i="30"/>
  <c r="P122" i="30"/>
  <c r="Q122" i="30"/>
  <c r="R122" i="30"/>
  <c r="K128" i="30"/>
  <c r="N128" i="30"/>
  <c r="O128" i="30"/>
  <c r="P128" i="30"/>
  <c r="Q128" i="30"/>
  <c r="R128" i="30"/>
  <c r="K134" i="30"/>
  <c r="N134" i="30"/>
  <c r="O134" i="30"/>
  <c r="P134" i="30"/>
  <c r="Q134" i="30"/>
  <c r="R134" i="30"/>
  <c r="K141" i="30"/>
  <c r="O141" i="30" s="1"/>
  <c r="N141" i="30"/>
  <c r="P141" i="30"/>
  <c r="Q141" i="30"/>
  <c r="R141" i="30"/>
  <c r="B26" i="29"/>
  <c r="A27" i="29"/>
  <c r="A41" i="29" s="1"/>
  <c r="A28" i="29"/>
  <c r="A30" i="29"/>
  <c r="H31" i="29"/>
  <c r="I30" i="29" s="1"/>
  <c r="A33" i="29"/>
  <c r="E34" i="29"/>
  <c r="F34" i="29"/>
  <c r="H34" i="29"/>
  <c r="I33" i="29" s="1"/>
  <c r="A36" i="29"/>
  <c r="H37" i="29"/>
  <c r="I36" i="29" s="1"/>
  <c r="H38" i="29"/>
  <c r="H39" i="29"/>
  <c r="I43" i="29"/>
  <c r="H47" i="29"/>
  <c r="I46" i="29" s="1"/>
  <c r="H48" i="29"/>
  <c r="H49" i="29"/>
  <c r="I51" i="29"/>
  <c r="G55" i="29"/>
  <c r="H55" i="29"/>
  <c r="I54" i="29" s="1"/>
  <c r="G56" i="29"/>
  <c r="H56" i="29"/>
  <c r="A58" i="29"/>
  <c r="A59" i="29" s="1"/>
  <c r="H61" i="29"/>
  <c r="I60" i="29" s="1"/>
  <c r="A63" i="29"/>
  <c r="A106" i="29" s="1"/>
  <c r="A64" i="29"/>
  <c r="H65" i="29"/>
  <c r="I64" i="29" s="1"/>
  <c r="H71" i="29"/>
  <c r="H75" i="29"/>
  <c r="A81" i="29"/>
  <c r="H82" i="29"/>
  <c r="I81" i="29" s="1"/>
  <c r="H83" i="29"/>
  <c r="A85" i="29"/>
  <c r="H86" i="29"/>
  <c r="I85" i="29" s="1"/>
  <c r="H87" i="29"/>
  <c r="H88" i="29"/>
  <c r="H91" i="29"/>
  <c r="I90" i="29" s="1"/>
  <c r="A93" i="29"/>
  <c r="H94" i="29"/>
  <c r="I93" i="29" s="1"/>
  <c r="H95" i="29"/>
  <c r="A97" i="29"/>
  <c r="H98" i="29"/>
  <c r="I97" i="29" s="1"/>
  <c r="H99" i="29"/>
  <c r="H100" i="29"/>
  <c r="H101" i="29"/>
  <c r="H102" i="29"/>
  <c r="H103" i="29"/>
  <c r="H104" i="29"/>
  <c r="I106" i="29"/>
  <c r="A109" i="29"/>
  <c r="A110" i="29"/>
  <c r="H111" i="29"/>
  <c r="I110" i="29" s="1"/>
  <c r="H112" i="29"/>
  <c r="H113" i="29"/>
  <c r="H114" i="29"/>
  <c r="H115" i="29"/>
  <c r="A117" i="29"/>
  <c r="I117" i="29"/>
  <c r="H118" i="29"/>
  <c r="H119" i="29"/>
  <c r="H120" i="29"/>
  <c r="H121" i="29"/>
  <c r="H122" i="29"/>
  <c r="H123" i="29"/>
  <c r="H124" i="29"/>
  <c r="H125" i="29"/>
  <c r="H126" i="29"/>
  <c r="A128" i="29"/>
  <c r="H129" i="29"/>
  <c r="I128" i="29" s="1"/>
  <c r="A131" i="29"/>
  <c r="A132" i="29"/>
  <c r="H133" i="29"/>
  <c r="I132" i="29" s="1"/>
  <c r="H134" i="29"/>
  <c r="H135" i="29"/>
  <c r="H136" i="29"/>
  <c r="H137" i="29"/>
  <c r="H138" i="29"/>
  <c r="H139" i="29"/>
  <c r="H140" i="29"/>
  <c r="A142" i="29"/>
  <c r="A152" i="29" s="1"/>
  <c r="A143" i="29"/>
  <c r="H144" i="29"/>
  <c r="I143" i="29" s="1"/>
  <c r="A146" i="29"/>
  <c r="I146" i="29"/>
  <c r="A149" i="29"/>
  <c r="H150" i="29"/>
  <c r="I149" i="29" s="1"/>
  <c r="I152" i="29"/>
  <c r="A155" i="29"/>
  <c r="A156" i="29"/>
  <c r="H157" i="29"/>
  <c r="I156" i="29" s="1"/>
  <c r="E160" i="29" s="1"/>
  <c r="H160" i="29" s="1"/>
  <c r="I159" i="29" s="1"/>
  <c r="A159" i="29"/>
  <c r="A162" i="29"/>
  <c r="H163" i="29"/>
  <c r="I162" i="29" s="1"/>
  <c r="A165" i="29"/>
  <c r="A232" i="29" s="1"/>
  <c r="A233" i="29" s="1"/>
  <c r="A166" i="29"/>
  <c r="A167" i="29"/>
  <c r="H168" i="29"/>
  <c r="I167" i="29" s="1"/>
  <c r="H172" i="29"/>
  <c r="I171" i="29" s="1"/>
  <c r="H175" i="29"/>
  <c r="I174" i="29" s="1"/>
  <c r="H176" i="29"/>
  <c r="H179" i="29"/>
  <c r="I178" i="29" s="1"/>
  <c r="H180" i="29"/>
  <c r="H181" i="29"/>
  <c r="H182" i="29"/>
  <c r="H185" i="29"/>
  <c r="I184" i="29" s="1"/>
  <c r="H188" i="29"/>
  <c r="I187" i="29" s="1"/>
  <c r="H189" i="29"/>
  <c r="H190" i="29"/>
  <c r="H193" i="29"/>
  <c r="I192" i="29" s="1"/>
  <c r="H194" i="29"/>
  <c r="H195" i="29"/>
  <c r="H196" i="29"/>
  <c r="H197" i="29"/>
  <c r="H198" i="29"/>
  <c r="H205" i="29"/>
  <c r="I204" i="29" s="1"/>
  <c r="H206" i="29"/>
  <c r="H207" i="29"/>
  <c r="H208" i="29"/>
  <c r="H209" i="29"/>
  <c r="H210" i="29"/>
  <c r="H211" i="29"/>
  <c r="H212" i="29"/>
  <c r="H213" i="29"/>
  <c r="H214" i="29"/>
  <c r="H215" i="29"/>
  <c r="H216" i="29"/>
  <c r="H217" i="29"/>
  <c r="H218" i="29"/>
  <c r="H222" i="29"/>
  <c r="I221" i="29" s="1"/>
  <c r="H223" i="29"/>
  <c r="H224" i="29"/>
  <c r="H225" i="29"/>
  <c r="H226" i="29"/>
  <c r="H227" i="29"/>
  <c r="H228" i="29"/>
  <c r="H229" i="29"/>
  <c r="H230" i="29"/>
  <c r="H234" i="29"/>
  <c r="I233" i="29" s="1"/>
  <c r="H237" i="29"/>
  <c r="I236" i="29" s="1"/>
  <c r="A274" i="29"/>
  <c r="A334" i="29" s="1"/>
  <c r="A275" i="29"/>
  <c r="A276" i="29"/>
  <c r="H278" i="29"/>
  <c r="I277" i="29" s="1"/>
  <c r="H280" i="29"/>
  <c r="H279" i="29" s="1"/>
  <c r="H281" i="29"/>
  <c r="H284" i="29"/>
  <c r="I283" i="29" s="1"/>
  <c r="H288" i="29" s="1"/>
  <c r="H285" i="29"/>
  <c r="H289" i="29"/>
  <c r="H290" i="29"/>
  <c r="H291" i="29"/>
  <c r="H293" i="29"/>
  <c r="H294" i="29"/>
  <c r="H298" i="29"/>
  <c r="H296" i="29" s="1"/>
  <c r="I296" i="29" s="1"/>
  <c r="H299" i="29"/>
  <c r="H300" i="29"/>
  <c r="H302" i="29"/>
  <c r="H303" i="29"/>
  <c r="H307" i="29"/>
  <c r="I305" i="29" s="1"/>
  <c r="H308" i="29"/>
  <c r="H309" i="29"/>
  <c r="H310" i="29"/>
  <c r="H311" i="29"/>
  <c r="B315" i="29"/>
  <c r="H315" i="29"/>
  <c r="I314" i="29" s="1"/>
  <c r="B316" i="29"/>
  <c r="H316" i="29"/>
  <c r="H325" i="29"/>
  <c r="I324" i="29" s="1"/>
  <c r="H327" i="29"/>
  <c r="I326" i="29" s="1"/>
  <c r="H328" i="29"/>
  <c r="H330" i="29"/>
  <c r="I329" i="29" s="1"/>
  <c r="H331" i="29"/>
  <c r="D337" i="29"/>
  <c r="A353" i="29"/>
  <c r="A418" i="29" s="1"/>
  <c r="A354" i="29"/>
  <c r="A355" i="29"/>
  <c r="H356" i="29"/>
  <c r="I355" i="29" s="1"/>
  <c r="H365" i="29"/>
  <c r="H374" i="29"/>
  <c r="H383" i="29"/>
  <c r="A393" i="29"/>
  <c r="H394" i="29"/>
  <c r="I393" i="29" s="1"/>
  <c r="H400" i="29"/>
  <c r="H406" i="29"/>
  <c r="H412" i="29"/>
  <c r="H420" i="29"/>
  <c r="I419" i="29" s="1"/>
  <c r="H423" i="29"/>
  <c r="I422" i="29" s="1"/>
  <c r="H426" i="29"/>
  <c r="I425" i="29" s="1"/>
  <c r="A428" i="29"/>
  <c r="A503" i="29" s="1"/>
  <c r="A504" i="29" s="1"/>
  <c r="A429" i="29"/>
  <c r="A433" i="29" s="1"/>
  <c r="A430" i="29"/>
  <c r="H431" i="29"/>
  <c r="I430" i="29" s="1"/>
  <c r="H434" i="29"/>
  <c r="I433" i="29" s="1"/>
  <c r="H437" i="29"/>
  <c r="I436" i="29" s="1"/>
  <c r="H441" i="29"/>
  <c r="I440" i="29" s="1"/>
  <c r="G444" i="29" s="1"/>
  <c r="H444" i="29" s="1"/>
  <c r="I443" i="29" s="1"/>
  <c r="A446" i="29"/>
  <c r="A447" i="29"/>
  <c r="H448" i="29"/>
  <c r="I447" i="29" s="1"/>
  <c r="H452" i="29"/>
  <c r="I451" i="29" s="1"/>
  <c r="D505" i="29" s="1"/>
  <c r="H505" i="29" s="1"/>
  <c r="H455" i="29"/>
  <c r="I454" i="29" s="1"/>
  <c r="D506" i="29" s="1"/>
  <c r="H506" i="29" s="1"/>
  <c r="H456" i="29"/>
  <c r="H457" i="29"/>
  <c r="H458" i="29"/>
  <c r="A460" i="29"/>
  <c r="A461" i="29"/>
  <c r="H463" i="29"/>
  <c r="G507" i="29" s="1"/>
  <c r="H507" i="29" s="1"/>
  <c r="H464" i="29"/>
  <c r="H465" i="29"/>
  <c r="H466" i="29"/>
  <c r="H468" i="29"/>
  <c r="H469" i="29"/>
  <c r="H470" i="29"/>
  <c r="H472" i="29"/>
  <c r="H473" i="29"/>
  <c r="H474" i="29"/>
  <c r="H475" i="29"/>
  <c r="H476" i="29"/>
  <c r="H477" i="29"/>
  <c r="H479" i="29"/>
  <c r="H480" i="29"/>
  <c r="A482" i="29"/>
  <c r="A483" i="29"/>
  <c r="H485" i="29"/>
  <c r="I483" i="29" s="1"/>
  <c r="G511" i="29" s="1"/>
  <c r="H511" i="29" s="1"/>
  <c r="H486" i="29"/>
  <c r="H487" i="29"/>
  <c r="H489" i="29"/>
  <c r="H490" i="29"/>
  <c r="H491" i="29"/>
  <c r="H493" i="29"/>
  <c r="H494" i="29"/>
  <c r="H495" i="29"/>
  <c r="H497" i="29"/>
  <c r="H498" i="29"/>
  <c r="A500" i="29"/>
  <c r="A501" i="29"/>
  <c r="H501" i="29"/>
  <c r="I501" i="29"/>
  <c r="G508" i="29"/>
  <c r="H508" i="29"/>
  <c r="G509" i="29"/>
  <c r="H509" i="29"/>
  <c r="G510" i="29"/>
  <c r="H510" i="29"/>
  <c r="G27" i="33" l="1"/>
  <c r="I24" i="33"/>
  <c r="I23" i="33" s="1"/>
  <c r="J23" i="33" s="1"/>
  <c r="I34" i="33"/>
  <c r="I33" i="33" s="1"/>
  <c r="H45" i="33"/>
  <c r="I45" i="33" s="1"/>
  <c r="I44" i="33" s="1"/>
  <c r="I72" i="32"/>
  <c r="J72" i="32" s="1"/>
  <c r="O144" i="30"/>
  <c r="O146" i="30" s="1"/>
  <c r="Q144" i="30"/>
  <c r="Q146" i="30" s="1"/>
  <c r="P144" i="30"/>
  <c r="P146" i="30" s="1"/>
  <c r="P57" i="30"/>
  <c r="P59" i="30" s="1"/>
  <c r="R144" i="30"/>
  <c r="R146" i="30" s="1"/>
  <c r="N57" i="30"/>
  <c r="N59" i="30" s="1"/>
  <c r="O102" i="30"/>
  <c r="O104" i="30" s="1"/>
  <c r="R102" i="30"/>
  <c r="R104" i="30" s="1"/>
  <c r="O57" i="30"/>
  <c r="O59" i="30" s="1"/>
  <c r="M106" i="30"/>
  <c r="H201" i="29" s="1"/>
  <c r="I200" i="29" s="1"/>
  <c r="M148" i="30"/>
  <c r="M61" i="30"/>
  <c r="I504" i="29"/>
  <c r="A43" i="29"/>
  <c r="A46" i="29"/>
  <c r="A51" i="29"/>
  <c r="A54" i="29"/>
  <c r="H313" i="29"/>
  <c r="H312" i="29"/>
  <c r="A419" i="29"/>
  <c r="A425" i="29"/>
  <c r="A422" i="29"/>
  <c r="A60" i="29"/>
  <c r="I461" i="29"/>
  <c r="A239" i="29"/>
  <c r="A439" i="29"/>
  <c r="A235" i="29"/>
  <c r="A236" i="29" s="1"/>
  <c r="A90" i="29"/>
  <c r="A170" i="29"/>
  <c r="A220" i="29"/>
  <c r="A221" i="29" s="1"/>
  <c r="A436" i="29"/>
  <c r="A203" i="29"/>
  <c r="A204" i="29" s="1"/>
  <c r="A450" i="29"/>
  <c r="J44" i="33" l="1"/>
  <c r="H51" i="33"/>
  <c r="I51" i="33" s="1"/>
  <c r="G30" i="33"/>
  <c r="I30" i="33" s="1"/>
  <c r="I29" i="33" s="1"/>
  <c r="J29" i="33" s="1"/>
  <c r="I27" i="33"/>
  <c r="I26" i="33" s="1"/>
  <c r="J26" i="33" s="1"/>
  <c r="H50" i="33"/>
  <c r="I50" i="33" s="1"/>
  <c r="I49" i="33" s="1"/>
  <c r="J49" i="33" s="1"/>
  <c r="J33" i="33"/>
  <c r="A451" i="29"/>
  <c r="A454" i="29"/>
  <c r="A440" i="29"/>
  <c r="A443" i="29"/>
  <c r="A184" i="29"/>
  <c r="A200" i="29"/>
  <c r="A171" i="29"/>
  <c r="A187" i="29"/>
  <c r="A174" i="29"/>
  <c r="A192" i="29"/>
  <c r="A178" i="29"/>
  <c r="A256" i="29"/>
  <c r="A240" i="29"/>
  <c r="A248" i="29"/>
  <c r="A265" i="29"/>
  <c r="C6" i="28" l="1"/>
  <c r="C10" i="28"/>
  <c r="A13" i="28"/>
  <c r="A16" i="28" s="1"/>
  <c r="E13" i="28"/>
  <c r="E25" i="28" s="1"/>
  <c r="H25" i="28" s="1"/>
  <c r="E22" i="28"/>
  <c r="H22" i="28" s="1"/>
  <c r="I22" i="28" s="1"/>
  <c r="E26" i="28" s="1"/>
  <c r="H26" i="28" s="1"/>
  <c r="D26" i="28"/>
  <c r="F26" i="28"/>
  <c r="G26" i="28"/>
  <c r="E29" i="28"/>
  <c r="H29" i="28"/>
  <c r="I29" i="28" s="1"/>
  <c r="H32" i="28"/>
  <c r="I32" i="28" s="1"/>
  <c r="E35" i="28"/>
  <c r="H35" i="28" s="1"/>
  <c r="I35" i="28" s="1"/>
  <c r="A17" i="28" l="1"/>
  <c r="A18" i="28"/>
  <c r="A19" i="28"/>
  <c r="A34" i="28"/>
  <c r="A35" i="28" s="1"/>
  <c r="E19" i="28"/>
  <c r="H19" i="28" s="1"/>
  <c r="I19" i="28" s="1"/>
  <c r="A31" i="28"/>
  <c r="A32" i="28" s="1"/>
  <c r="E18" i="28"/>
  <c r="H18" i="28" s="1"/>
  <c r="I18" i="28" s="1"/>
  <c r="E17" i="28"/>
  <c r="A21" i="28"/>
  <c r="A28" i="28"/>
  <c r="A29" i="28" s="1"/>
  <c r="E23" i="28"/>
  <c r="H23" i="28" s="1"/>
  <c r="I23" i="28" s="1"/>
  <c r="H24" i="28"/>
  <c r="I24" i="28" s="1"/>
  <c r="K12" i="27"/>
  <c r="N12" i="27"/>
  <c r="O12" i="27"/>
  <c r="P12" i="27"/>
  <c r="Q12" i="27"/>
  <c r="R12" i="27"/>
  <c r="K16" i="27"/>
  <c r="N16" i="27"/>
  <c r="O16" i="27"/>
  <c r="P16" i="27"/>
  <c r="Q16" i="27"/>
  <c r="R16" i="27"/>
  <c r="K21" i="27"/>
  <c r="N21" i="27"/>
  <c r="O21" i="27"/>
  <c r="P21" i="27"/>
  <c r="Q21" i="27"/>
  <c r="R21" i="27"/>
  <c r="K27" i="27"/>
  <c r="O27" i="27" s="1"/>
  <c r="N27" i="27"/>
  <c r="P27" i="27"/>
  <c r="Q27" i="27"/>
  <c r="R27" i="27"/>
  <c r="K33" i="27"/>
  <c r="N33" i="27"/>
  <c r="O33" i="27"/>
  <c r="P33" i="27"/>
  <c r="Q33" i="27"/>
  <c r="R33" i="27"/>
  <c r="K53" i="27"/>
  <c r="N53" i="27"/>
  <c r="N143" i="27" s="1"/>
  <c r="N145" i="27" s="1"/>
  <c r="O53" i="27"/>
  <c r="P53" i="27"/>
  <c r="Q53" i="27"/>
  <c r="R53" i="27"/>
  <c r="K57" i="27"/>
  <c r="N57" i="27"/>
  <c r="O57" i="27"/>
  <c r="P57" i="27"/>
  <c r="Q57" i="27"/>
  <c r="R57" i="27"/>
  <c r="K62" i="27"/>
  <c r="N62" i="27"/>
  <c r="O62" i="27"/>
  <c r="P62" i="27"/>
  <c r="P143" i="27" s="1"/>
  <c r="P145" i="27" s="1"/>
  <c r="Q62" i="27"/>
  <c r="Q143" i="27" s="1"/>
  <c r="Q145" i="27" s="1"/>
  <c r="R62" i="27"/>
  <c r="K68" i="27"/>
  <c r="O68" i="27" s="1"/>
  <c r="N68" i="27"/>
  <c r="P68" i="27"/>
  <c r="Q68" i="27"/>
  <c r="R68" i="27"/>
  <c r="K74" i="27"/>
  <c r="O74" i="27" s="1"/>
  <c r="N74" i="27"/>
  <c r="P74" i="27"/>
  <c r="Q74" i="27"/>
  <c r="R74" i="27"/>
  <c r="K80" i="27"/>
  <c r="N80" i="27"/>
  <c r="O80" i="27"/>
  <c r="P80" i="27"/>
  <c r="Q80" i="27"/>
  <c r="R80" i="27"/>
  <c r="K86" i="27"/>
  <c r="O86" i="27" s="1"/>
  <c r="N86" i="27"/>
  <c r="P86" i="27"/>
  <c r="Q86" i="27"/>
  <c r="R86" i="27"/>
  <c r="K92" i="27"/>
  <c r="N92" i="27"/>
  <c r="O92" i="27"/>
  <c r="P92" i="27"/>
  <c r="Q92" i="27"/>
  <c r="R92" i="27"/>
  <c r="K98" i="27"/>
  <c r="N98" i="27"/>
  <c r="O98" i="27"/>
  <c r="P98" i="27"/>
  <c r="Q98" i="27"/>
  <c r="R98" i="27"/>
  <c r="K104" i="27"/>
  <c r="N104" i="27"/>
  <c r="O104" i="27"/>
  <c r="P104" i="27"/>
  <c r="Q104" i="27"/>
  <c r="R104" i="27"/>
  <c r="K110" i="27"/>
  <c r="N110" i="27"/>
  <c r="O110" i="27"/>
  <c r="P110" i="27"/>
  <c r="Q110" i="27"/>
  <c r="R110" i="27"/>
  <c r="K116" i="27"/>
  <c r="O116" i="27" s="1"/>
  <c r="N116" i="27"/>
  <c r="N193" i="27" s="1"/>
  <c r="N195" i="27" s="1"/>
  <c r="P116" i="27"/>
  <c r="P193" i="27" s="1"/>
  <c r="P195" i="27" s="1"/>
  <c r="Q116" i="27"/>
  <c r="R116" i="27"/>
  <c r="K122" i="27"/>
  <c r="O122" i="27" s="1"/>
  <c r="N122" i="27"/>
  <c r="P122" i="27"/>
  <c r="Q122" i="27"/>
  <c r="R122" i="27"/>
  <c r="K128" i="27"/>
  <c r="N128" i="27"/>
  <c r="O128" i="27"/>
  <c r="P128" i="27"/>
  <c r="Q128" i="27"/>
  <c r="R128" i="27"/>
  <c r="K134" i="27"/>
  <c r="N134" i="27"/>
  <c r="O134" i="27"/>
  <c r="P134" i="27"/>
  <c r="Q134" i="27"/>
  <c r="R134" i="27"/>
  <c r="K140" i="27"/>
  <c r="N140" i="27"/>
  <c r="O140" i="27"/>
  <c r="P140" i="27"/>
  <c r="Q140" i="27"/>
  <c r="R140" i="27"/>
  <c r="K160" i="27"/>
  <c r="N160" i="27"/>
  <c r="O160" i="27"/>
  <c r="P160" i="27"/>
  <c r="Q160" i="27"/>
  <c r="R160" i="27"/>
  <c r="K166" i="27"/>
  <c r="O166" i="27" s="1"/>
  <c r="N166" i="27"/>
  <c r="P166" i="27"/>
  <c r="Q166" i="27"/>
  <c r="R166" i="27"/>
  <c r="K172" i="27"/>
  <c r="N172" i="27"/>
  <c r="O172" i="27"/>
  <c r="P172" i="27"/>
  <c r="Q172" i="27"/>
  <c r="R172" i="27"/>
  <c r="K178" i="27"/>
  <c r="N178" i="27"/>
  <c r="O178" i="27"/>
  <c r="P178" i="27"/>
  <c r="Q178" i="27"/>
  <c r="R178" i="27"/>
  <c r="K184" i="27"/>
  <c r="O184" i="27" s="1"/>
  <c r="N184" i="27"/>
  <c r="P184" i="27"/>
  <c r="Q184" i="27"/>
  <c r="R184" i="27"/>
  <c r="K190" i="27"/>
  <c r="N190" i="27"/>
  <c r="O190" i="27"/>
  <c r="P190" i="27"/>
  <c r="Q190" i="27"/>
  <c r="R190" i="27"/>
  <c r="Q193" i="27"/>
  <c r="Q195" i="27" s="1"/>
  <c r="A25" i="26"/>
  <c r="A52" i="26" s="1"/>
  <c r="I27" i="26"/>
  <c r="H28" i="26"/>
  <c r="E30" i="26"/>
  <c r="F30" i="26"/>
  <c r="H30" i="26"/>
  <c r="I29" i="26" s="1"/>
  <c r="H32" i="26"/>
  <c r="I31" i="26" s="1"/>
  <c r="H33" i="26"/>
  <c r="H34" i="26"/>
  <c r="H38" i="26"/>
  <c r="I37" i="26" s="1"/>
  <c r="G50" i="26" s="1"/>
  <c r="H50" i="26" s="1"/>
  <c r="H42" i="26"/>
  <c r="H43" i="26"/>
  <c r="I41" i="26" s="1"/>
  <c r="H44" i="26"/>
  <c r="H47" i="26"/>
  <c r="I46" i="26" s="1"/>
  <c r="G51" i="26" s="1"/>
  <c r="H51" i="26" s="1"/>
  <c r="I53" i="26"/>
  <c r="H54" i="26"/>
  <c r="H55" i="26"/>
  <c r="H56" i="26"/>
  <c r="H57" i="26"/>
  <c r="H58" i="26"/>
  <c r="H59" i="26"/>
  <c r="H62" i="26"/>
  <c r="I61" i="26" s="1"/>
  <c r="H63" i="26"/>
  <c r="H66" i="26"/>
  <c r="I65" i="26" s="1"/>
  <c r="I69" i="26"/>
  <c r="H71" i="26"/>
  <c r="H73" i="26"/>
  <c r="H74" i="26"/>
  <c r="H76" i="26"/>
  <c r="H79" i="26"/>
  <c r="I77" i="26" s="1"/>
  <c r="H81" i="26"/>
  <c r="H82" i="26"/>
  <c r="H84" i="26"/>
  <c r="H85" i="26"/>
  <c r="H89" i="26"/>
  <c r="I87" i="26" s="1"/>
  <c r="H91" i="26"/>
  <c r="H94" i="26"/>
  <c r="H95" i="26"/>
  <c r="I92" i="26" s="1"/>
  <c r="H97" i="26"/>
  <c r="H98" i="26"/>
  <c r="H100" i="26"/>
  <c r="H101" i="26"/>
  <c r="H105" i="26"/>
  <c r="I103" i="26" s="1"/>
  <c r="H106" i="26"/>
  <c r="H108" i="26"/>
  <c r="H109" i="26"/>
  <c r="H110" i="26"/>
  <c r="H112" i="26"/>
  <c r="H113" i="26"/>
  <c r="H114" i="26"/>
  <c r="H118" i="26"/>
  <c r="I116" i="26" s="1"/>
  <c r="H119" i="26"/>
  <c r="H120" i="26"/>
  <c r="H121" i="26"/>
  <c r="H123" i="26"/>
  <c r="H124" i="26"/>
  <c r="H125" i="26"/>
  <c r="H126" i="26"/>
  <c r="H128" i="26"/>
  <c r="H129" i="26"/>
  <c r="H130" i="26"/>
  <c r="H131" i="26"/>
  <c r="H132" i="26"/>
  <c r="H133" i="26"/>
  <c r="H136" i="26"/>
  <c r="I135" i="26" s="1"/>
  <c r="H137" i="26"/>
  <c r="H138" i="26"/>
  <c r="A140" i="26"/>
  <c r="A204" i="26" s="1"/>
  <c r="A205" i="26" s="1"/>
  <c r="H144" i="26"/>
  <c r="I142" i="26" s="1"/>
  <c r="H145" i="26"/>
  <c r="H146" i="26"/>
  <c r="H147" i="26"/>
  <c r="H148" i="26"/>
  <c r="H149" i="26"/>
  <c r="H151" i="26"/>
  <c r="H152" i="26"/>
  <c r="H153" i="26"/>
  <c r="H154" i="26"/>
  <c r="H155" i="26"/>
  <c r="H156" i="26"/>
  <c r="H160" i="26"/>
  <c r="I158" i="26" s="1"/>
  <c r="H161" i="26"/>
  <c r="H162" i="26"/>
  <c r="H163" i="26"/>
  <c r="H164" i="26"/>
  <c r="H166" i="26"/>
  <c r="H167" i="26"/>
  <c r="H168" i="26"/>
  <c r="H169" i="26"/>
  <c r="H170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I185" i="26"/>
  <c r="H186" i="26"/>
  <c r="H190" i="26"/>
  <c r="I189" i="26" s="1"/>
  <c r="H193" i="26"/>
  <c r="I192" i="26" s="1"/>
  <c r="H196" i="26"/>
  <c r="I195" i="26" s="1"/>
  <c r="I199" i="26"/>
  <c r="I202" i="26"/>
  <c r="H207" i="26"/>
  <c r="I205" i="26" s="1"/>
  <c r="H208" i="26"/>
  <c r="H209" i="26"/>
  <c r="H210" i="26"/>
  <c r="H212" i="26"/>
  <c r="H213" i="26"/>
  <c r="H214" i="26"/>
  <c r="H215" i="26"/>
  <c r="H216" i="26"/>
  <c r="H218" i="26"/>
  <c r="H219" i="26"/>
  <c r="H220" i="26"/>
  <c r="H221" i="26"/>
  <c r="H222" i="26"/>
  <c r="H223" i="26"/>
  <c r="I251" i="26"/>
  <c r="H254" i="26"/>
  <c r="I253" i="26" s="1"/>
  <c r="H257" i="26"/>
  <c r="I259" i="26"/>
  <c r="I262" i="26"/>
  <c r="H263" i="26"/>
  <c r="A265" i="26"/>
  <c r="A297" i="26" s="1"/>
  <c r="A298" i="26" s="1"/>
  <c r="H268" i="26"/>
  <c r="I267" i="26" s="1"/>
  <c r="H271" i="26"/>
  <c r="I270" i="26" s="1"/>
  <c r="H274" i="26"/>
  <c r="I273" i="26" s="1"/>
  <c r="I277" i="26"/>
  <c r="G281" i="26" s="1"/>
  <c r="H281" i="26" s="1"/>
  <c r="I280" i="26" s="1"/>
  <c r="H278" i="26"/>
  <c r="H285" i="26"/>
  <c r="I284" i="26" s="1"/>
  <c r="I288" i="26"/>
  <c r="H292" i="26"/>
  <c r="I291" i="26" s="1"/>
  <c r="D346" i="26" s="1"/>
  <c r="H346" i="26" s="1"/>
  <c r="H293" i="26"/>
  <c r="H294" i="26"/>
  <c r="H295" i="26"/>
  <c r="H300" i="26"/>
  <c r="G347" i="26" s="1"/>
  <c r="H347" i="26" s="1"/>
  <c r="H301" i="26"/>
  <c r="H302" i="26"/>
  <c r="H303" i="26"/>
  <c r="H305" i="26"/>
  <c r="G348" i="26" s="1"/>
  <c r="H348" i="26" s="1"/>
  <c r="H306" i="26"/>
  <c r="H307" i="26"/>
  <c r="H309" i="26"/>
  <c r="G349" i="26" s="1"/>
  <c r="H349" i="26" s="1"/>
  <c r="H310" i="26"/>
  <c r="H311" i="26"/>
  <c r="H312" i="26"/>
  <c r="H313" i="26"/>
  <c r="H315" i="26"/>
  <c r="H316" i="26"/>
  <c r="H317" i="26"/>
  <c r="H318" i="26"/>
  <c r="H322" i="26"/>
  <c r="I320" i="26" s="1"/>
  <c r="G351" i="26" s="1"/>
  <c r="H351" i="26" s="1"/>
  <c r="H323" i="26"/>
  <c r="H324" i="26"/>
  <c r="H325" i="26"/>
  <c r="H327" i="26"/>
  <c r="H328" i="26"/>
  <c r="H330" i="26"/>
  <c r="H331" i="26"/>
  <c r="H332" i="26"/>
  <c r="H333" i="26"/>
  <c r="H334" i="26"/>
  <c r="H336" i="26"/>
  <c r="H337" i="26"/>
  <c r="H338" i="26"/>
  <c r="I341" i="26"/>
  <c r="D345" i="26"/>
  <c r="H345" i="26"/>
  <c r="G350" i="26"/>
  <c r="H350" i="26"/>
  <c r="A22" i="28" l="1"/>
  <c r="A24" i="28"/>
  <c r="A23" i="28"/>
  <c r="B13" i="28"/>
  <c r="H17" i="28"/>
  <c r="I17" i="28" s="1"/>
  <c r="P36" i="27"/>
  <c r="P38" i="27" s="1"/>
  <c r="R143" i="27"/>
  <c r="R145" i="27" s="1"/>
  <c r="R193" i="27"/>
  <c r="R195" i="27" s="1"/>
  <c r="R36" i="27"/>
  <c r="R38" i="27" s="1"/>
  <c r="Q36" i="27"/>
  <c r="Q38" i="27" s="1"/>
  <c r="N36" i="27"/>
  <c r="N38" i="27" s="1"/>
  <c r="O143" i="27"/>
  <c r="O145" i="27" s="1"/>
  <c r="M147" i="27" s="1"/>
  <c r="O36" i="27"/>
  <c r="O38" i="27" s="1"/>
  <c r="M40" i="27" s="1"/>
  <c r="O193" i="27"/>
  <c r="O195" i="27" s="1"/>
  <c r="M197" i="27" s="1"/>
  <c r="I344" i="26"/>
  <c r="I49" i="26"/>
  <c r="A65" i="26"/>
  <c r="A61" i="26"/>
  <c r="A53" i="26"/>
  <c r="A276" i="26"/>
  <c r="A68" i="26"/>
  <c r="A26" i="26"/>
  <c r="A36" i="26"/>
  <c r="A198" i="26"/>
  <c r="A343" i="26"/>
  <c r="A344" i="26" s="1"/>
  <c r="A287" i="26"/>
  <c r="A141" i="26"/>
  <c r="A340" i="26"/>
  <c r="A341" i="26" s="1"/>
  <c r="A283" i="26"/>
  <c r="A284" i="26" s="1"/>
  <c r="A250" i="26"/>
  <c r="A319" i="26"/>
  <c r="A320" i="26" s="1"/>
  <c r="I298" i="26"/>
  <c r="A266" i="26"/>
  <c r="A225" i="26"/>
  <c r="A188" i="26"/>
  <c r="A158" i="26" l="1"/>
  <c r="A142" i="26"/>
  <c r="A185" i="26"/>
  <c r="A288" i="26"/>
  <c r="A291" i="26"/>
  <c r="A202" i="26"/>
  <c r="A199" i="26"/>
  <c r="A27" i="26"/>
  <c r="A29" i="26"/>
  <c r="A31" i="26"/>
  <c r="A226" i="26"/>
  <c r="A240" i="26"/>
  <c r="A251" i="26"/>
  <c r="A259" i="26"/>
  <c r="A262" i="26"/>
  <c r="A253" i="26"/>
  <c r="A256" i="26"/>
  <c r="A46" i="26"/>
  <c r="A49" i="26"/>
  <c r="A37" i="26"/>
  <c r="A41" i="26"/>
  <c r="A116" i="26"/>
  <c r="A135" i="26"/>
  <c r="A77" i="26"/>
  <c r="A103" i="26"/>
  <c r="A87" i="26"/>
  <c r="A69" i="26"/>
  <c r="A92" i="26"/>
  <c r="A280" i="26"/>
  <c r="A277" i="26"/>
  <c r="A189" i="26"/>
  <c r="A192" i="26"/>
  <c r="A195" i="26"/>
  <c r="A267" i="26"/>
  <c r="A273" i="26"/>
  <c r="A270" i="26"/>
  <c r="E21" i="23" l="1"/>
  <c r="C4" i="23" l="1"/>
  <c r="C8" i="23" l="1"/>
  <c r="C17" i="23" l="1"/>
  <c r="I9" i="25" l="1"/>
  <c r="A7" i="25" l="1"/>
  <c r="A9" i="25"/>
  <c r="I7" i="25"/>
  <c r="C18" i="23" l="1"/>
  <c r="C6" i="2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H291" authorId="0" shapeId="0" xr:uid="{25A0EAE3-A24A-4C91-9B74-47D4C7E163E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=POTENCIA(N14+2*N38+2*N39+2*N40,2)*(P15/2+P26+0.1)</t>
        </r>
      </text>
    </comment>
    <comment ref="H300" authorId="0" shapeId="0" xr:uid="{71FBA678-7492-4E2B-9A94-EF2BE0D7459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=0.2525*(4*(N14+N38+N39+N40)+2*N28)</t>
        </r>
      </text>
    </comment>
  </commentList>
</comments>
</file>

<file path=xl/sharedStrings.xml><?xml version="1.0" encoding="utf-8"?>
<sst xmlns="http://schemas.openxmlformats.org/spreadsheetml/2006/main" count="3514" uniqueCount="1110">
  <si>
    <t>m</t>
  </si>
  <si>
    <t>PARTIDA</t>
  </si>
  <si>
    <t>DESCRIPCION</t>
  </si>
  <si>
    <t>VECES</t>
  </si>
  <si>
    <t>LONG.</t>
  </si>
  <si>
    <t>ANCHO</t>
  </si>
  <si>
    <t>ALTURA</t>
  </si>
  <si>
    <t>SUB-TOTAL</t>
  </si>
  <si>
    <t>TOTAL</t>
  </si>
  <si>
    <t>UNID.</t>
  </si>
  <si>
    <t>Descripcion</t>
  </si>
  <si>
    <t>Cantidad</t>
  </si>
  <si>
    <t>Unidad</t>
  </si>
  <si>
    <t>Trabajadores por obra</t>
  </si>
  <si>
    <t>Horas Hombres</t>
  </si>
  <si>
    <t>Meses de Ejecucion de Obras</t>
  </si>
  <si>
    <t>Mes</t>
  </si>
  <si>
    <t>Según programacion de obra</t>
  </si>
  <si>
    <t>Dias de Ejecucion de Obras</t>
  </si>
  <si>
    <t>dias</t>
  </si>
  <si>
    <t>horas de trabajo</t>
  </si>
  <si>
    <t>Hrs</t>
  </si>
  <si>
    <t>Hombres</t>
  </si>
  <si>
    <t>Largo</t>
  </si>
  <si>
    <t>Reservorio</t>
  </si>
  <si>
    <t>Estructuras</t>
  </si>
  <si>
    <t>ancho</t>
  </si>
  <si>
    <t>Area de señalizacion</t>
  </si>
  <si>
    <t>Se concidera trabajo de avance parcial cada 100m</t>
  </si>
  <si>
    <t>Lineas y redes de agua</t>
  </si>
  <si>
    <t>Redes de alcantarillado</t>
  </si>
  <si>
    <t>Según presupuestos de agua y saneamiento, de relacion de insumos del S10</t>
  </si>
  <si>
    <t>Descripción</t>
  </si>
  <si>
    <t>Franja de servidumbre</t>
  </si>
  <si>
    <t>Longitud total de las líneas y redes de tubería Agua</t>
  </si>
  <si>
    <t>Longitud total de las líneas y redes de tubería Alcantarillado</t>
  </si>
  <si>
    <t>PTAR</t>
  </si>
  <si>
    <t>Sedimentador</t>
  </si>
  <si>
    <t>Captacion</t>
  </si>
  <si>
    <t>Trabajadores</t>
  </si>
  <si>
    <t>PTAP</t>
  </si>
  <si>
    <t>GLB</t>
  </si>
  <si>
    <t>OBRAS PROVISIONALES</t>
  </si>
  <si>
    <t>UND</t>
  </si>
  <si>
    <t>MOVILIZACION Y DESMOVILIZACION DE EQUIPOS Y MAQUINARIA PARA LA OBRA</t>
  </si>
  <si>
    <t xml:space="preserve">METRADOS SISTEMA DE AGUA POTABLE </t>
  </si>
  <si>
    <t>CARTEL DE IDENTIFICACION DE OBRA DE 3.60m x 2.40m</t>
  </si>
  <si>
    <t>area</t>
  </si>
  <si>
    <t>En malla galvanizada</t>
  </si>
  <si>
    <t>En perfil metálico horizontal en VISTA 4</t>
  </si>
  <si>
    <t>En perfil metálico horizontal en VISTA 3</t>
  </si>
  <si>
    <t>En perfil metálico horizontal en VISTA 2</t>
  </si>
  <si>
    <t>En perfil metálico horizontal en VISTA 1</t>
  </si>
  <si>
    <t>En union de tubo con perfil</t>
  </si>
  <si>
    <t>En tubo de 3"</t>
  </si>
  <si>
    <t>m2</t>
  </si>
  <si>
    <t>PINTADO 1RA MANO C/PINTURA EPOXICA</t>
  </si>
  <si>
    <t>PINTURA EN CERCO PERIMETRICO</t>
  </si>
  <si>
    <t>und</t>
  </si>
  <si>
    <t>SUM. E INST. PUERTA MET. C/MALLA METALICA GALVANIZADA DE N°12 Y TUBO NEGRO 3"</t>
  </si>
  <si>
    <t>SUM. E INST. PUERTA MET. C/MALLA GALVANIZADA</t>
  </si>
  <si>
    <t>área</t>
  </si>
  <si>
    <t>Tramo 12-1</t>
  </si>
  <si>
    <t>Tramo 11-12</t>
  </si>
  <si>
    <t>Tramo 10-11</t>
  </si>
  <si>
    <t>Suministro e instalación de malla en VISTA 4</t>
  </si>
  <si>
    <t>Tramo 9-10</t>
  </si>
  <si>
    <t>Tramo 8-9</t>
  </si>
  <si>
    <t>Tramo 7-8</t>
  </si>
  <si>
    <t>Suministro e instalación de malla en VISTA 3</t>
  </si>
  <si>
    <t>Tramo 5-6</t>
  </si>
  <si>
    <t>Tramo 4-5</t>
  </si>
  <si>
    <t>Suministro e instalación de malla en VISTA 2</t>
  </si>
  <si>
    <t>Tramo 3-4</t>
  </si>
  <si>
    <t>Tramo 2-3</t>
  </si>
  <si>
    <t>Tramo 1-2</t>
  </si>
  <si>
    <t>Suministro e instalación de malla en VISTA 1</t>
  </si>
  <si>
    <t>SUMINISTRO E INSTALACIÓN DE MALLA METÁLICA GALVANIZADA N°12 COCADAS 2"X2"</t>
  </si>
  <si>
    <t>perimetro</t>
  </si>
  <si>
    <t>Suministro e instalación de perfil en VISTA 4</t>
  </si>
  <si>
    <t>Suministro e instalación de perfil en VISTA 3</t>
  </si>
  <si>
    <t>Suministro e instalación de perfil en VISTA 2</t>
  </si>
  <si>
    <t>Suministro e instalación de perfil en VISTA 1</t>
  </si>
  <si>
    <t>SUM. E INST. PERFIL EN L 1 1/2" X 1 1/2" X 3/16" PARA MALLAS</t>
  </si>
  <si>
    <t>SUM. E INST. PERFIL EN L 1 1/2" X 1 1/2" X 3/16"</t>
  </si>
  <si>
    <t>Vista 4</t>
  </si>
  <si>
    <t>Vista 3</t>
  </si>
  <si>
    <t>Vista 2</t>
  </si>
  <si>
    <t>Vista 1</t>
  </si>
  <si>
    <t>UNIÓN DE TUBO CON PERFIL DE 3"X2.5mm L=5cm</t>
  </si>
  <si>
    <t>SUM. E INST. TUBO NEGRO DE 3" e=2.50mm PARA POSTES H=2.50</t>
  </si>
  <si>
    <t>SUM. E INST. PARANTES VERTICALES</t>
  </si>
  <si>
    <t>Concreto f´c=175kg/cm2 para dado de postes</t>
  </si>
  <si>
    <t>m3</t>
  </si>
  <si>
    <t>CONCRETO f'c=175 kg/cm2 EN DADOS DE POSTES</t>
  </si>
  <si>
    <t>OBRAS DE CONCRETO SIMPLE</t>
  </si>
  <si>
    <t>volumen</t>
  </si>
  <si>
    <t>esponjamiento = 1.2</t>
  </si>
  <si>
    <t>ELIMINACION DE MATERIAL EXCEDENTE Dmax=30m</t>
  </si>
  <si>
    <t>Excavación a mano de terreno natural</t>
  </si>
  <si>
    <t>EXCAVACION EN TERRENO NORMAL</t>
  </si>
  <si>
    <t>MOVIMIENTO DE TIERRAS</t>
  </si>
  <si>
    <t>Trazo y replanteo en cerco perimetrico</t>
  </si>
  <si>
    <t>TRAZO Y REPLANTEO DURANTE EL PROCESO DE EJECUCION</t>
  </si>
  <si>
    <t>TRAZO Y REPLANTEO PRELIMINAR</t>
  </si>
  <si>
    <t>Limpieza</t>
  </si>
  <si>
    <t>LIMPIEZA DE TERRENO MANUAL</t>
  </si>
  <si>
    <t>TRABAJOS PRELIMINARES</t>
  </si>
  <si>
    <t/>
  </si>
  <si>
    <t>CERCO PERIMETRICO METALICO EN CAPTACION</t>
  </si>
  <si>
    <t>PRUEBA HIDRAULICA DE ESTANQUEIDAD EN ESTRUCTURA</t>
  </si>
  <si>
    <t xml:space="preserve"> JUNTA  WATER STOP NEOPRENO 6"</t>
  </si>
  <si>
    <t xml:space="preserve">PIEDRA CHANCADA DE 1/2" </t>
  </si>
  <si>
    <t>Area:</t>
  </si>
  <si>
    <t>Geomembrana HDPE 1"</t>
  </si>
  <si>
    <t xml:space="preserve">SUMINISTRO E INSTALACION DE GEOMEMBRANA HDPE 1" </t>
  </si>
  <si>
    <t>SUMINISTRO E INSTALACION DE JUNTA ELASTOMERICA</t>
  </si>
  <si>
    <t>VARIOS</t>
  </si>
  <si>
    <t xml:space="preserve">Tubería PVC SAL 2" </t>
  </si>
  <si>
    <t>Tapón perforado PVC SAL 2"</t>
  </si>
  <si>
    <t>Tapón Macho PVC SAL 2''</t>
  </si>
  <si>
    <t>Tee PVC SAL 2''</t>
  </si>
  <si>
    <t xml:space="preserve">Codo 90 PVC SAL 2" </t>
  </si>
  <si>
    <t>Unión PVC SAL 2"</t>
  </si>
  <si>
    <t xml:space="preserve">Cono de rebose PVC SAL 3" </t>
  </si>
  <si>
    <t>Línea de Rebose</t>
  </si>
  <si>
    <t>SUMINISTRO E INST. DE ACCESORIOS DE REBOSE EN CAPTACION TIPO LADERA</t>
  </si>
  <si>
    <t>Adaptador universal HDPE de 1 1/2"</t>
  </si>
  <si>
    <t>Reducción de PVC SP de 2" a 1 1/2"</t>
  </si>
  <si>
    <t>Brida Rompe agua 2"</t>
  </si>
  <si>
    <t>Tuberia PVC SP 2"</t>
  </si>
  <si>
    <t>Valvula de compuerta de bronce 2"</t>
  </si>
  <si>
    <t>Niple PVC SP 2"</t>
  </si>
  <si>
    <t>Union universal PVC SP 2"</t>
  </si>
  <si>
    <t>Adaptador PR PVC SP 2"</t>
  </si>
  <si>
    <t>Union Presión Rosca (Rosca Hembra) PVC 2"</t>
  </si>
  <si>
    <t>Tuberia de PVC SP con agujeros 2"</t>
  </si>
  <si>
    <t>Tapon PVC SP 2"</t>
  </si>
  <si>
    <t xml:space="preserve">Línea de Salida </t>
  </si>
  <si>
    <t>SUMINISTRO E INST. DE ACCESORIOS EN CAPTACION TIPO LADERA</t>
  </si>
  <si>
    <t>Exterior de muros</t>
  </si>
  <si>
    <t>Descuento de tapa</t>
  </si>
  <si>
    <t>Borde de losa superior</t>
  </si>
  <si>
    <t>Exterior de losa superior</t>
  </si>
  <si>
    <t>Cámara seca</t>
  </si>
  <si>
    <t>Cámara humeda</t>
  </si>
  <si>
    <t>Cámara de filtros</t>
  </si>
  <si>
    <t>PINTURA  C/ESMALTE 02 MANOS EN EXTERIORES</t>
  </si>
  <si>
    <t>PINTURA</t>
  </si>
  <si>
    <t>SUMINISTRO E INSTALACION DE TAPA METALICA DE 0.40X0.50m, E=1/8" INC. LLAVE MAESTRA</t>
  </si>
  <si>
    <t>SUMINISTRO E INSTALACION DE TAPA METALICA DE 0.60X0.60m, E=1/8" INC. LLAVE MAESTRA</t>
  </si>
  <si>
    <t>CARPINTERIA METALICA</t>
  </si>
  <si>
    <t xml:space="preserve">area </t>
  </si>
  <si>
    <t>FILTRO DE MATERIAL IMPERMEABLE (LECHADA DE CEMENTO), e= 0.15 m</t>
  </si>
  <si>
    <t>FILTRO DE GRAVA TAMAÑO MAXIMO 2", e= 0.20 m</t>
  </si>
  <si>
    <t>FILTRO DE GRAVA GRUESA TAMAÑO MAXIMO 3/4"-1", e= 0.15 m</t>
  </si>
  <si>
    <t>FILTROS</t>
  </si>
  <si>
    <t>Losa de fondo camara humeda</t>
  </si>
  <si>
    <t>MORTERO PARA PENDIENTE DE FONDO MEZCLA C:A 1:5</t>
  </si>
  <si>
    <t>Muro exterior frontal</t>
  </si>
  <si>
    <t>Muro exterior laterales</t>
  </si>
  <si>
    <t>Borde exterior de losa superior</t>
  </si>
  <si>
    <t>Borde de tapa</t>
  </si>
  <si>
    <t>Losa superior exterior de cámara seca</t>
  </si>
  <si>
    <t>Losa superior interior de cámara seca</t>
  </si>
  <si>
    <t>Muros interiores de cámara seca</t>
  </si>
  <si>
    <t>Descuento de drenaje</t>
  </si>
  <si>
    <t>Base de cámara seca</t>
  </si>
  <si>
    <t>Borde de losa superior exterior</t>
  </si>
  <si>
    <t>Losa superior  exterior cámara húmeda</t>
  </si>
  <si>
    <t xml:space="preserve">Frontal de cámara húmeda (muro) - frontal </t>
  </si>
  <si>
    <t xml:space="preserve">Exterior de cámara húmeda (muros) - lateral </t>
  </si>
  <si>
    <t>Losa superior exterior de cámara húmeda</t>
  </si>
  <si>
    <t>Exterior de cámara de filtros - laterales</t>
  </si>
  <si>
    <t>TARRAJEO EXTERIOR C:A 1:4, e=1.5 cm</t>
  </si>
  <si>
    <t>Bordes de tapa</t>
  </si>
  <si>
    <t xml:space="preserve">Losa superior interior de cámara húmeda </t>
  </si>
  <si>
    <t>Interior de cámara de filtros -  laterales</t>
  </si>
  <si>
    <t>Interior de cámara de filtros - frontal</t>
  </si>
  <si>
    <t>Piso de cámara húmeda</t>
  </si>
  <si>
    <t xml:space="preserve">Muros interiores de cámara húmeda </t>
  </si>
  <si>
    <t>TARRAJEO INTERIOR CON IMPERMEABILIZANTE C:A 1:2, e=1.5 cm</t>
  </si>
  <si>
    <t>REVOQUES Y ENLUCIDOS</t>
  </si>
  <si>
    <t>ARQUITECTURA</t>
  </si>
  <si>
    <t>Acero en cámara seca</t>
  </si>
  <si>
    <t>Acero en cámara húmeda</t>
  </si>
  <si>
    <t>Acero en cámara de filtros</t>
  </si>
  <si>
    <t>kg</t>
  </si>
  <si>
    <t>ACERO CORRUGADO f'y=4200 kg/cm2 G-60</t>
  </si>
  <si>
    <t>Lados del borde de tapa</t>
  </si>
  <si>
    <t>Lados laterales de losa superior de cámara seca</t>
  </si>
  <si>
    <t>Descuento tapa</t>
  </si>
  <si>
    <t>Losa superior cámara seca</t>
  </si>
  <si>
    <t>Lados laterales de losa superior de cámara húmeda</t>
  </si>
  <si>
    <t xml:space="preserve">Losa superior de cámara húmeda </t>
  </si>
  <si>
    <t>Lados laterales de la losa sanitaria superior para cámara de filtros</t>
  </si>
  <si>
    <t>Sello sanitario superior para cámara de filtros</t>
  </si>
  <si>
    <t>ENCOFRADO Y DESENCOFRADO EN LOSAS</t>
  </si>
  <si>
    <t>Muros externos de cámara seca</t>
  </si>
  <si>
    <t>Muros internos de cámara seca</t>
  </si>
  <si>
    <t xml:space="preserve">Muros externos de cámara húmeda </t>
  </si>
  <si>
    <t xml:space="preserve">Muros internos de cámara húmeda </t>
  </si>
  <si>
    <t xml:space="preserve">Muro frontal de ingreso a cámara húmeda </t>
  </si>
  <si>
    <t>Muros de aletas de protección exterior</t>
  </si>
  <si>
    <t>Muros de aletas de protección interior</t>
  </si>
  <si>
    <t>ENCOFRADO Y DESENCOFRADO EN MUROS</t>
  </si>
  <si>
    <t>Cámara seca losa superior</t>
  </si>
  <si>
    <t>Cámara húmeda losa superior</t>
  </si>
  <si>
    <t>Sello  sanitario superior (trapecio)</t>
  </si>
  <si>
    <t>CONCRETO F'C=210 KG/CM2 S/MEZCLADORA PARA LOSA SUPERIOR</t>
  </si>
  <si>
    <t>Cámara seca losa de fondo</t>
  </si>
  <si>
    <t>Cámara húmeda losa de fondo</t>
  </si>
  <si>
    <t>CONCRETO F'C=210 KG/CM2 S/MEZCLADORA PARA LOSA DE FONDO</t>
  </si>
  <si>
    <t>Muro de salida de cámara seca</t>
  </si>
  <si>
    <t>Muros laterales cámara seca</t>
  </si>
  <si>
    <t>Muros laterales</t>
  </si>
  <si>
    <t>Muro frontal de ingreso a cámara húmeda</t>
  </si>
  <si>
    <t>Muros de aletas de protección</t>
  </si>
  <si>
    <t>CONCRETO F'C=210 KG/CM2 S/MEZCLADORA PARA MUROS</t>
  </si>
  <si>
    <t>Cimentación de muro de salida a camará seca</t>
  </si>
  <si>
    <t>Cimentación de muros laterales</t>
  </si>
  <si>
    <t>Cimentación de muro frontal de ingreso a cámara humeda</t>
  </si>
  <si>
    <t>Cimentación de aletas de protección</t>
  </si>
  <si>
    <t>CONCRETO F'C=210 KG/CM2 S/MEZCLADORA PARA CIMENTACIÓN</t>
  </si>
  <si>
    <t xml:space="preserve">OBRAS DE CONCRETO ARMADO </t>
  </si>
  <si>
    <t>Dado móvil de tubería de rebose y limpia</t>
  </si>
  <si>
    <t>CONCRETO  f'c=140 kg/cm2, EN DADOS</t>
  </si>
  <si>
    <t>En la base de la zona de afloramiento</t>
  </si>
  <si>
    <t>Dado asentado 0.50x0.50m</t>
  </si>
  <si>
    <t>CONCRETO  f'c=140 kg/cm2 + 30 %PM.</t>
  </si>
  <si>
    <t>Cámara Seca</t>
  </si>
  <si>
    <t xml:space="preserve">Cimiento de la cámara Húmeda </t>
  </si>
  <si>
    <t xml:space="preserve">Piso de la cámara Húmeda </t>
  </si>
  <si>
    <t>Pantalla de captación</t>
  </si>
  <si>
    <t>Alas de protección</t>
  </si>
  <si>
    <t>CONCRETO SIMPLE F'C=100 KG/CM2, PARA SOLADO e=10cm</t>
  </si>
  <si>
    <t>Volumen</t>
  </si>
  <si>
    <t xml:space="preserve">Relleno - Compactacion </t>
  </si>
  <si>
    <t>Excavacion - Esponjamiento 20%</t>
  </si>
  <si>
    <t>ACARREO DE MAT. PARA RELLENO EN CAPTACIÓN</t>
  </si>
  <si>
    <t>RELLENO COMPACTADO CON MATERIAL PROPIO SELECCIONADO</t>
  </si>
  <si>
    <t>Cámara húmeda</t>
  </si>
  <si>
    <t>Aletas de protección</t>
  </si>
  <si>
    <t>NIVELACION INTERIOR Y APISONADO (MANUAL)</t>
  </si>
  <si>
    <t xml:space="preserve"> </t>
  </si>
  <si>
    <t>Area de perfil y seccion</t>
  </si>
  <si>
    <t>EXCAVACION MANUAL EN TERRENO NORMAL</t>
  </si>
  <si>
    <t>TRAZO Y REPLANTEO DURANTE EL PROCESO</t>
  </si>
  <si>
    <t>Captación</t>
  </si>
  <si>
    <t>LIMPIEZA DE TERRENO Y DESBROCE DE TERRENO MANUAL</t>
  </si>
  <si>
    <t>ESTRUCTURAS</t>
  </si>
  <si>
    <t>CAPTACION DE LADERA - "PROSPERO" CONSTRUCCION (01 UND)</t>
  </si>
  <si>
    <t>01.02</t>
  </si>
  <si>
    <t>LARGO</t>
  </si>
  <si>
    <t>CANT</t>
  </si>
  <si>
    <t>UNI</t>
  </si>
  <si>
    <t>CAPTACION TIPO LADERA "PROSPERO"</t>
  </si>
  <si>
    <t>PROYECTO:</t>
  </si>
  <si>
    <t>HOJA DE METRADOS DEL SISTEMA DE AGUA POTABLE</t>
  </si>
  <si>
    <t>PESO TOTAL (KG)</t>
  </si>
  <si>
    <t>N° DE UNIDADES</t>
  </si>
  <si>
    <t>SUB TOTAL</t>
  </si>
  <si>
    <t>PESO x M.L  (kg)</t>
  </si>
  <si>
    <t>LONGITUD TOTAL  (M)</t>
  </si>
  <si>
    <t>Acero losa superior - eje y-y</t>
  </si>
  <si>
    <t>Acero losa superior - eje x-x</t>
  </si>
  <si>
    <t>Acero muros de salida - horizontal</t>
  </si>
  <si>
    <t>Acero muro de salida- vertical</t>
  </si>
  <si>
    <t>Acero losa de fondo eje y-y</t>
  </si>
  <si>
    <t>Acero losa de fondo eje x-x</t>
  </si>
  <si>
    <t>ELEMENTO</t>
  </si>
  <si>
    <t>OBSERV.</t>
  </si>
  <si>
    <t>LARGO TOTAL</t>
  </si>
  <si>
    <t># ELEMEN.</t>
  </si>
  <si>
    <t># BARRAS</t>
  </si>
  <si>
    <t>LONG.  (m)</t>
  </si>
  <si>
    <t>Ø (Pulg)</t>
  </si>
  <si>
    <t>FORMA</t>
  </si>
  <si>
    <t>ITEM</t>
  </si>
  <si>
    <t>CÁMARA SECA</t>
  </si>
  <si>
    <t>CAPTACIÓN TIPO LADERA</t>
  </si>
  <si>
    <t>ESTRUCTURA :</t>
  </si>
  <si>
    <t>PROYECTO</t>
  </si>
  <si>
    <t>METRADO DE ACERO DE REFUERZO</t>
  </si>
  <si>
    <t>Acero de losa superior - eje y-y</t>
  </si>
  <si>
    <t>Acero de losa superior - eje x-x</t>
  </si>
  <si>
    <t>Acero de losa de fondo - eje y-y</t>
  </si>
  <si>
    <t>Acero de losa de fondo - eje x-x</t>
  </si>
  <si>
    <t>Acero de muro de salida - horizontales</t>
  </si>
  <si>
    <t>Acero de muros laterales - verticales</t>
  </si>
  <si>
    <t>Acero de muro de salida - verticakes</t>
  </si>
  <si>
    <t>Acero de muro de entrada - horizontales</t>
  </si>
  <si>
    <t>Acero de muro de entrada - verticales</t>
  </si>
  <si>
    <t>Acero cimiento de muros laterales - horizontales</t>
  </si>
  <si>
    <t>Acero cimiento de muros laterales - vertical</t>
  </si>
  <si>
    <t>Acero cimiento de muro de salida- horizontales</t>
  </si>
  <si>
    <t>Acero cimiento de muro de salida - vertical</t>
  </si>
  <si>
    <t>Acero cimiento de muro de entrada - horizontal</t>
  </si>
  <si>
    <t>Acero cimiento de muro de entrada - vertical</t>
  </si>
  <si>
    <t>CÁMARA HÚMEDA</t>
  </si>
  <si>
    <t>promedio</t>
  </si>
  <si>
    <t>Acero en losa - longitudinal</t>
  </si>
  <si>
    <t>Acero en losa - transversal</t>
  </si>
  <si>
    <t>Acero muro - vertical</t>
  </si>
  <si>
    <t>Acero cimiento y muro - horizontal</t>
  </si>
  <si>
    <t>Acero cimiento - vertical</t>
  </si>
  <si>
    <t>CÁMARA DE FILTROS</t>
  </si>
  <si>
    <t>ML</t>
  </si>
  <si>
    <t>PRUEBA HIDRÁULICA Y DESINFECCIÓN DE LA MANGUERA HDPE</t>
  </si>
  <si>
    <t>PRUEBA HIDRAULICA</t>
  </si>
  <si>
    <t>SUMINISTRO E INSTALACION DE UNION HDPE, PN=8" ø=43.4 MM</t>
  </si>
  <si>
    <t>SUMINISTRO E INSTALACION DE UNION ENLACE P/MANG. HDPE, PN-8 ø=44.4mm</t>
  </si>
  <si>
    <t>SUMINISTRO E INSTALACION DE ACCESORIOS</t>
  </si>
  <si>
    <t>SUMINISTRO E INSTALACION DE MANGUERA HDPE NTP - ISO 4427: 2008 PE 80, PN=10, ø=44.4mm</t>
  </si>
  <si>
    <t>Relleno</t>
  </si>
  <si>
    <t>Excavacion - Esponjamiento 25% terreno herbaceo</t>
  </si>
  <si>
    <t>M3</t>
  </si>
  <si>
    <t>ACARREO Y ELIMINACION DE MAT. EXCEDENTE Dmax=30 m</t>
  </si>
  <si>
    <t>RELLENO DE ZANJA, CON MAT. PROPIO, E=0.40m A=0.30m P/MANGUERA  HDPE</t>
  </si>
  <si>
    <t>EXCAVACION MANUAL EN TERRENO SUELTO DE ZANJA DE 0.40 x 0.30 m P/MANGUERA HDPE</t>
  </si>
  <si>
    <t>TRAZO Y REPLANTEO DURANTE EL PROCESO DE EJECUCION EN LINEAS Y REDES</t>
  </si>
  <si>
    <t>TRAZO Y REPLANTEO PRELIMINAR EN LINEAS Y REDES</t>
  </si>
  <si>
    <t>LIMPIEZA Y DESBROCE  DE TERRENO MANUAL</t>
  </si>
  <si>
    <t>MANGUERA HDPE Ø 1 1/2" PN-8 TERRENO SUELTOS</t>
  </si>
  <si>
    <t>LONGITUD</t>
  </si>
  <si>
    <t>UNIDAD</t>
  </si>
  <si>
    <t>Capas de relleno con material propio</t>
  </si>
  <si>
    <t>Cama de Apoyo</t>
  </si>
  <si>
    <t>Ancho</t>
  </si>
  <si>
    <t>Altura</t>
  </si>
  <si>
    <t>MANGUERA HDPE - 1 1/2"</t>
  </si>
  <si>
    <t>normal</t>
  </si>
  <si>
    <t>Zanja Tipica</t>
  </si>
  <si>
    <t>LINEA DE CONDUCCIÓN</t>
  </si>
  <si>
    <t>HOJA DE METRADOS DE AGUA POTABLE</t>
  </si>
  <si>
    <t>Tramo 8-7</t>
  </si>
  <si>
    <t>Tramo 9-8</t>
  </si>
  <si>
    <t>Tramo 5-4</t>
  </si>
  <si>
    <t>Tramo 6-5</t>
  </si>
  <si>
    <t>Tramo 7-6</t>
  </si>
  <si>
    <t>Tramo 2-1</t>
  </si>
  <si>
    <t>Tramo 3-2</t>
  </si>
  <si>
    <t>Tramo 4-3</t>
  </si>
  <si>
    <t>Tramo 11-10</t>
  </si>
  <si>
    <t>Tramo 12-11</t>
  </si>
  <si>
    <t>Tramo 1-12</t>
  </si>
  <si>
    <t>Esponjamiento 20%</t>
  </si>
  <si>
    <t xml:space="preserve">Excavacion de soporte para poste </t>
  </si>
  <si>
    <t>EXCAVACIÓN MANUAL EN TERRENO NORMAL</t>
  </si>
  <si>
    <t>Borde de cámara de válvula y cámara húmeda</t>
  </si>
  <si>
    <t>SELLADO DE JUNTAS  ELASTOMERICO DE POLIUTERANO 1"x1/2"</t>
  </si>
  <si>
    <t>SELLADO DE JUNTA - RODON ∅ 1 1/4"</t>
  </si>
  <si>
    <t>JUNTAS CON TEKNOPORT DE E=1"</t>
  </si>
  <si>
    <t>Parte interior de zanja de coronación</t>
  </si>
  <si>
    <t>Parte exterior de zanja de coronación</t>
  </si>
  <si>
    <t>Área</t>
  </si>
  <si>
    <t>Base de zanja de coronación</t>
  </si>
  <si>
    <t>Borde interior de zanja de coronación</t>
  </si>
  <si>
    <t>Borde exterior de zanja de coronación</t>
  </si>
  <si>
    <t>Vereda</t>
  </si>
  <si>
    <t>CONCRETO SIMPLE</t>
  </si>
  <si>
    <t>VEREDA Y ZANJA DE CORONACIÓN</t>
  </si>
  <si>
    <t>Pegamento para PVC 1/4 gln - uniones</t>
  </si>
  <si>
    <t xml:space="preserve">Cinta teflon </t>
  </si>
  <si>
    <t>Tuberia PVC SP 3/8"</t>
  </si>
  <si>
    <t xml:space="preserve">Tuberia PVC SP 1/2" </t>
  </si>
  <si>
    <t>Tubo visor transparente PVC 1/2"</t>
  </si>
  <si>
    <t>Valvula flotadora PVC 3/8"</t>
  </si>
  <si>
    <t>Adaptador PVC 1/2"</t>
  </si>
  <si>
    <t>Tee SP PVC</t>
  </si>
  <si>
    <t>Válvula Desviadora de Purificador ∅1/2"</t>
  </si>
  <si>
    <t xml:space="preserve">Reduccion de 1/2 "a 3/8" </t>
  </si>
  <si>
    <t>Valvula flotadora PVC 1/2"</t>
  </si>
  <si>
    <t>Valvula esferica de 1/2"</t>
  </si>
  <si>
    <t>Grifo esferico PVC 1/2"</t>
  </si>
  <si>
    <t>Union Universal PVC 1/2"</t>
  </si>
  <si>
    <t>Codo PVC SP 1/2" x 90°</t>
  </si>
  <si>
    <t>Balde de plastico 30Lt</t>
  </si>
  <si>
    <t>Tanque de Polietileno de 250 lt</t>
  </si>
  <si>
    <t>Und</t>
  </si>
  <si>
    <t>SUMINSTRO E INS. DE ACCESORIOS DEL SISTEMA DE CLORACION</t>
  </si>
  <si>
    <t>ACCESORIOS</t>
  </si>
  <si>
    <t>horizontal</t>
  </si>
  <si>
    <t>vertical</t>
  </si>
  <si>
    <t>Angulo estructural 1 1/2"x1 1/2"x3/16"</t>
  </si>
  <si>
    <t>verticales</t>
  </si>
  <si>
    <t>Tubo cuadrado metalico de 1"x1"x2.5mm</t>
  </si>
  <si>
    <t>frontal</t>
  </si>
  <si>
    <t>Malla Olimpica N°12</t>
  </si>
  <si>
    <t>bisagras</t>
  </si>
  <si>
    <t>Plancha de acero 1/4" de 15cmx15cm</t>
  </si>
  <si>
    <t>Candado 40mm</t>
  </si>
  <si>
    <t>Cerrojo zincado negro 6"</t>
  </si>
  <si>
    <t>APU</t>
  </si>
  <si>
    <t>SUMINSTRO E INS. DE PUERTA METALICA DE SISTEMA DE CLORACION</t>
  </si>
  <si>
    <t>SUMINSTRO E INS. APOYOS DE TUBO METALICO RECTANGULAR DE 2"X3" e=2.5mm</t>
  </si>
  <si>
    <t>Perfil metalico de 2" x 2" x 1/4"</t>
  </si>
  <si>
    <t>Pernos de anclaje autoperforantes 8 x 1"</t>
  </si>
  <si>
    <t>Horizontales transversales</t>
  </si>
  <si>
    <t>Horizontales longitudinales</t>
  </si>
  <si>
    <t>Posterior</t>
  </si>
  <si>
    <t>Medio</t>
  </si>
  <si>
    <t>Frontal</t>
  </si>
  <si>
    <t>Tubo cuadrado de F°G° de 2"x2"</t>
  </si>
  <si>
    <t>SUMINSTRO E INS. DE TUBO METALICO CUADRADO DE 2"X2" e=2.5mm , INCLUYE ANCLAJES</t>
  </si>
  <si>
    <t>Longitudinal</t>
  </si>
  <si>
    <t xml:space="preserve">Transversal posterior </t>
  </si>
  <si>
    <t>HORIZONTAL</t>
  </si>
  <si>
    <t>VERTICAL</t>
  </si>
  <si>
    <t>SUMIN. E INST. PERFIL EN L 1 1/2"X1 1/2"X3/16" PARA MALLAS</t>
  </si>
  <si>
    <t>Angulo estructural 1 1/2"x1 1/2"x1/8"</t>
  </si>
  <si>
    <t>Laterales</t>
  </si>
  <si>
    <t>SUMINSTRO E INS. DE MALLA OLIMPICA N°12 CON COCADAS DE 2"x2" EN CASETA</t>
  </si>
  <si>
    <t>Pernos autoroscante</t>
  </si>
  <si>
    <t>COBERTURA METALICA DE ALUZINC</t>
  </si>
  <si>
    <r>
      <t>m2</t>
    </r>
    <r>
      <rPr>
        <sz val="8"/>
        <rFont val="Arial"/>
        <family val="2"/>
      </rPr>
      <t/>
    </r>
  </si>
  <si>
    <t>COBERTURA METALICA DE CALAMINA ALUZINC TR4 E=0.40MM</t>
  </si>
  <si>
    <t>ESTRUCTURA METALICA</t>
  </si>
  <si>
    <t>DOSIFICADOR DE CLORO</t>
  </si>
  <si>
    <t>CASETA DE CLORACIÓN</t>
  </si>
  <si>
    <t>Tee PVC SP Ø 1 1/2"</t>
  </si>
  <si>
    <t>Válvula compuerta bronce Ø 1 1/2"</t>
  </si>
  <si>
    <t>Niple F°G° L= 1 1/2" Ø 1 1/2"</t>
  </si>
  <si>
    <t>Unión universal F°G° Ø 1 1/2"</t>
  </si>
  <si>
    <t>Adaptador UPR PVC Ø 1 1/2"</t>
  </si>
  <si>
    <t>Reducción PVC SP Ø 1 1/2"</t>
  </si>
  <si>
    <t xml:space="preserve">   SUMINISTRO E INST. DE ACCESORIOS DE BY-PASS DEL RESERVORIO Ø = 1 1/2"</t>
  </si>
  <si>
    <t>Tee PVC SP Ø 2"</t>
  </si>
  <si>
    <t>Codo PVC SP x 90° Ø 2"</t>
  </si>
  <si>
    <t>Válvula compuerta bronce Ø 2"</t>
  </si>
  <si>
    <t>Niple F°G° L=1 1/2" Ø 2"</t>
  </si>
  <si>
    <t>Unión Universal F°G° Ø 2"</t>
  </si>
  <si>
    <t>Adaptador UPR PVC Ø 2"</t>
  </si>
  <si>
    <t>Cono de rebose PVC Ø 4"x2"</t>
  </si>
  <si>
    <t xml:space="preserve">   SUMINISTRO E INST. DE ACCESORIOS DE LIMPIEZA Y REBOSE DEL RESERVORIO Ø = 2"</t>
  </si>
  <si>
    <t>Codo PVC SP x 90° Ø 1 1/2"</t>
  </si>
  <si>
    <t>Niple F°G° L=1 1/2" Ø 1 1/2"</t>
  </si>
  <si>
    <t>Unión Universal F°G° Ø 1 1/2"</t>
  </si>
  <si>
    <t>Canastilla PVC Ø 3"</t>
  </si>
  <si>
    <t xml:space="preserve">   SUMINISTRO E INST. DE ACCESORIOS DE SALIDA DEL RESERVORIO  Ø = 1 1/2"</t>
  </si>
  <si>
    <t>Adaptador Universal HDPE Ø 1 1/2"</t>
  </si>
  <si>
    <t>INSTALACIONES HIDRÁULICAS</t>
  </si>
  <si>
    <t xml:space="preserve">PIEDRA CHANCADA DE Ø 1/2" </t>
  </si>
  <si>
    <t>SUMINISTRO E INST. DE TAPA METALICA DE 0.60 x 0.60 m e=1/8" INC. ACCESORIOS + PINTURA</t>
  </si>
  <si>
    <t>ESTRUCTURA METÁLICA</t>
  </si>
  <si>
    <t>Borde exterior de losa</t>
  </si>
  <si>
    <t>Parte superior de soporte de tapa</t>
  </si>
  <si>
    <t>Borde exterior de soporte de tapa</t>
  </si>
  <si>
    <t>Exterior de muro frontal</t>
  </si>
  <si>
    <t>Exterior de muros laterales</t>
  </si>
  <si>
    <t>PINTURA LATEX EN EXTERIORES (DOS MANOS)</t>
  </si>
  <si>
    <t>Borde interior de soporte de tapa</t>
  </si>
  <si>
    <t>Interior de losa superior</t>
  </si>
  <si>
    <t>Interior de muros</t>
  </si>
  <si>
    <t>Base de cámara</t>
  </si>
  <si>
    <t>TARRAJEO INTERIOR Y EXTERIOR MEZCLA 1:4 E=1.5 CM</t>
  </si>
  <si>
    <t>Acero en cámara de válvulas</t>
  </si>
  <si>
    <t>Borde de losa superior frontal</t>
  </si>
  <si>
    <t>Borde de losa superior lateral</t>
  </si>
  <si>
    <t>Parte interior de losa superior</t>
  </si>
  <si>
    <t>ENCOFRADO Y DESENCOFRADO PARA LOSA SUPERIOR</t>
  </si>
  <si>
    <t>Borde de losa de Fondo</t>
  </si>
  <si>
    <t>ENCOFRADO Y DESENCOFRADO PARA LOSA DE FONDO</t>
  </si>
  <si>
    <t>Borde de soporte de tapa</t>
  </si>
  <si>
    <t>Losa superior</t>
  </si>
  <si>
    <t>Muros frontal</t>
  </si>
  <si>
    <t>Losa de fondo</t>
  </si>
  <si>
    <t>OBRAS DE CONCRETO ARMADO</t>
  </si>
  <si>
    <t>CÁMARA DE VÁLVULAS</t>
  </si>
  <si>
    <t>PRUEBA HIDRÁULICA DE ESTANQUEIDAD EN ESTRUCTURA</t>
  </si>
  <si>
    <t>JUNTA EPOXICA PARA UNION DE CONCRETO</t>
  </si>
  <si>
    <t>SUMINISTRO E INSTALACION DE JUNTA  WATER STOP NEOPRENO 6"</t>
  </si>
  <si>
    <t>Escalera exterior tipo marinera</t>
  </si>
  <si>
    <t>Peldaños de escalera interior</t>
  </si>
  <si>
    <t>Parte inferior de borde de losa superior</t>
  </si>
  <si>
    <t>Losa de fondo de cámara humeda</t>
  </si>
  <si>
    <t>MORTERO PARA PENDIENTE DE FONDO C:A 1:5</t>
  </si>
  <si>
    <t>Parte exterior de losa superior</t>
  </si>
  <si>
    <t>Base de cámara húmeda</t>
  </si>
  <si>
    <t>Parte interior del borde de la losa superior</t>
  </si>
  <si>
    <t>Muros frontal y posterior</t>
  </si>
  <si>
    <t>Losa de Fondo</t>
  </si>
  <si>
    <t>Zapata seccion 2</t>
  </si>
  <si>
    <t>Zapata seccion 1</t>
  </si>
  <si>
    <t>SOLADO f'c=100 Kg/cm2, e=10 cm</t>
  </si>
  <si>
    <t>CÁMARA HUMEDA O ALMACENAMIENTO DE RESERVORIO</t>
  </si>
  <si>
    <t>Relleno - Compactacion 85%</t>
  </si>
  <si>
    <t>ACARREO Y ELIMINACION DE MATERIAL EXCEDENTE Dmax=30 m</t>
  </si>
  <si>
    <t>Ver plano de movimiento de tierras - CTL-PMT-02</t>
  </si>
  <si>
    <t>Cámara de válvulas</t>
  </si>
  <si>
    <t>NIVELACIÓN INTERIOR Y APISONADO (MANUAL)</t>
  </si>
  <si>
    <t>Ver plano de movimiento de tierras - CTL-PMT-01</t>
  </si>
  <si>
    <t>TRAZO Y REPLANTEO PRILIMINAR</t>
  </si>
  <si>
    <t>LIMPIEZA Y DESBROCE DE TERRENO MANUAL</t>
  </si>
  <si>
    <t>01.04</t>
  </si>
  <si>
    <t>ANCHO/AREA</t>
  </si>
  <si>
    <t xml:space="preserve">RESERVORIO CUADRADO APOYADO DE V=5 m3 </t>
  </si>
  <si>
    <t>HOJA DE METRADOS DE SISTEMA DE AGUA POTABLE</t>
  </si>
  <si>
    <t>Acero losa superior      eje y-y</t>
  </si>
  <si>
    <t>Acero en losa superior        eje x-x</t>
  </si>
  <si>
    <t>Acero vertical muro</t>
  </si>
  <si>
    <t>Acero horizontal muro eje y-y</t>
  </si>
  <si>
    <t>Acero horizontal muro eje x-x</t>
  </si>
  <si>
    <t>RESERVORIO APOYADO V=5M3</t>
  </si>
  <si>
    <t>Acero losa superior      eje x-x</t>
  </si>
  <si>
    <t>Acero horizontal muro</t>
  </si>
  <si>
    <t>Acero losa de fondo -        eye y-y</t>
  </si>
  <si>
    <t>Acero losa de fondo -        eye x-x</t>
  </si>
  <si>
    <t>Acero en horizontal en borde de  soporte de tapa</t>
  </si>
  <si>
    <t>Acero en losa superior en eje y-y</t>
  </si>
  <si>
    <t xml:space="preserve">Acero en losa superior en eje x-x </t>
  </si>
  <si>
    <t>Acero losa de fondo - eye x-x</t>
  </si>
  <si>
    <t>SUMINISTRO E INSTALACION DE UNION ENLACE P/MANG. HDPE, PN-10 ø=44.4mm</t>
  </si>
  <si>
    <t>SUMINISTRO E INSTALACION DE TUBERIAS</t>
  </si>
  <si>
    <t xml:space="preserve">Relleno </t>
  </si>
  <si>
    <t>TRAZO Y REPLANTEO DURANTE EL PROCESO EN LINEAS Y REDES</t>
  </si>
  <si>
    <t>MANGUERA HDPE Ø 1 1/2" PN-10 TERRENO SUELTOS</t>
  </si>
  <si>
    <t>LINEA DE ADUCCION</t>
  </si>
  <si>
    <t>TAPONES Ø 3/4"</t>
  </si>
  <si>
    <t xml:space="preserve">ADAPTADOR UNIVERSAL HDPE A PVC Ø 1" </t>
  </si>
  <si>
    <t>PRUEBA HIDRÁULICA Y DESINFECCIÓN DE LA TUBERÍA</t>
  </si>
  <si>
    <t>SUMINISTRO E INSTALACION DE TAPONES PVC Ø 3/4"</t>
  </si>
  <si>
    <t xml:space="preserve">SUMINISTRO E INSTALACION DE ADAPTADOR UNIVERSAL HDPE A PVC Ø 1 1/2" </t>
  </si>
  <si>
    <t xml:space="preserve">SUMINISTRO E INSTALACION DE NIPLE PVC  C-10  L=2", Ø 1 1/2" </t>
  </si>
  <si>
    <t xml:space="preserve">SUMINISTRO E INSTALACION DE REDUCCION PVC  C-10  Ø 1 1/2" A Ø 3/4" </t>
  </si>
  <si>
    <t xml:space="preserve">SUMINISTRO E INSTALACION DE REDUCCION PVC  C-10  Ø 1" A Ø 3/4" </t>
  </si>
  <si>
    <t xml:space="preserve">SUMINISTRO E INSTALACION DE REDUCCION PVC  C-10  Ø 1 1/2" A Ø 1" </t>
  </si>
  <si>
    <t>SUMINISTRO E INSTALACION DE TEE PVC  C-10  Ø 1 1/2"</t>
  </si>
  <si>
    <t>SUMINISTRO E INSTALACION DE TEE PVC  C-10  Ø 1"</t>
  </si>
  <si>
    <t>SUMINISTRO E INSTALACION DE CODO 45° PVC  C-10  Ø 3/4"</t>
  </si>
  <si>
    <t>SUMINISTRO E INSTALACION DE CODO 45° PVC  C-10  Ø 1"</t>
  </si>
  <si>
    <t>SUMINISTRO E INSTALACION DE CODO 90° PVC  C-10  Ø 3/4"</t>
  </si>
  <si>
    <t>SUMINISTRO E INSTALACION DE CODO 90° PVC  C-10  Ø 1"</t>
  </si>
  <si>
    <t>SUMINISTRO E INSTALACION DE TUBERÍA PVC NTP 399.002 Ø 1" C-10.</t>
  </si>
  <si>
    <t>SUMINISTRO E INSTALACION DE TUBERÍA PVC NTP 399.002 Ø 3/4" C-10.</t>
  </si>
  <si>
    <t xml:space="preserve"> segundo relleno</t>
  </si>
  <si>
    <t xml:space="preserve">primer relleno </t>
  </si>
  <si>
    <t>Excavacion - Esponjamiento 25% terreno normal</t>
  </si>
  <si>
    <t>vol.</t>
  </si>
  <si>
    <t>SEGUNDO RELLENO COMPACTADO DE ZANJA CON MAT. PROPIO EN TERRENO NORMAL, E=1.00m, A=0.60 m TUB. PROFUNDIZADA</t>
  </si>
  <si>
    <t>PRIMER RELLENO COMPACTADO DE ZANJA, CON MAT. PROPIO ZARANDEADO, E=0.30m, A=0.60 m P/TUBERIA PROFUNDIZADA</t>
  </si>
  <si>
    <t>PRIMER RELLENO COMPACTADO DE ZANJA, CON MAT. PROPIO ZARANDEADO, E=0.30m, A=0.50 m</t>
  </si>
  <si>
    <t>CAMA DE APOYO PARA TUBERIA CON MAT. PROPIO ZARANDEADO E=0.10m, A=0.60 m TUB. PROFUNDIZADA</t>
  </si>
  <si>
    <t>CAMA DE APOYO PARA TUBERIA CON MAT. PROPIO ZARANDEADO E=0.10m, A=0.50 m</t>
  </si>
  <si>
    <t>REFINE Y NIVELACION DE FONDO PARA ZANJA DE 0.60 x 1.40 m P/TUBERIA PROFUNDIZADA</t>
  </si>
  <si>
    <t>REFINE Y NIVELACION DE FONDO PARA ZANJA DE 0.50 x 0.80 m P/TUBERIA</t>
  </si>
  <si>
    <t>REFINE Y NIVELACION DE FONDO PARA ZANJA DE 0.50 x 1.10 m P/TUBERIA EN CARRETERA</t>
  </si>
  <si>
    <t>Tubería PVC Ø 3/4" C-10 - TERRENO NORMAL H=0.90 A 1.90m. Hprom=1.40m</t>
  </si>
  <si>
    <t xml:space="preserve">Tubería PVC Ø 1" C-10 - TERRENO NORMAL </t>
  </si>
  <si>
    <t xml:space="preserve">Tubería PVC Ø 3/4" C-10 - TERRENO NORMAL </t>
  </si>
  <si>
    <t>Tubería PVC Ø 1" C-10 - TERRENO NORMAL EN CARRETERA</t>
  </si>
  <si>
    <t>Tubería PVC Ø 3/4" C-10 - TERRENO NORMAL EN CARRETERA</t>
  </si>
  <si>
    <t>2ra Capas de compactacion</t>
  </si>
  <si>
    <t>1ra Capas de compactacion</t>
  </si>
  <si>
    <t>TUBERIA PVC CARRETERA -  3/4",1"</t>
  </si>
  <si>
    <t>Normal</t>
  </si>
  <si>
    <t>TUBERIA PVC -  3/4",1"</t>
  </si>
  <si>
    <t xml:space="preserve">RED DE DISTRIBUCION </t>
  </si>
  <si>
    <t>-</t>
  </si>
  <si>
    <t>mm</t>
  </si>
  <si>
    <t>Pulg.</t>
  </si>
  <si>
    <t>Peso (kg/m)</t>
  </si>
  <si>
    <t>Perimetro (cm)</t>
  </si>
  <si>
    <t>Diametro (cm)</t>
  </si>
  <si>
    <t>Area (cm2)</t>
  </si>
  <si>
    <t>Diametro</t>
  </si>
  <si>
    <t>CARACTERISTICAS DE ACERO CORRUGADO</t>
  </si>
  <si>
    <t xml:space="preserve">Pegamento para PVC 1/4 gln </t>
  </si>
  <si>
    <t>Cinta teflon</t>
  </si>
  <si>
    <t>Codo de 90° F°G°Ø = 2" con malla soldada</t>
  </si>
  <si>
    <t xml:space="preserve">Niple F°G° L=0.2m Ø = 2", con rosca a un lado </t>
  </si>
  <si>
    <t>Unión enlace adaptador HDPE a PVC, PN-8 ø=54.2 MM</t>
  </si>
  <si>
    <t>Tee PVC SP Ø = 2"</t>
  </si>
  <si>
    <t>Reduccion PVC SP Ø = 2"x Ø = 1/2"</t>
  </si>
  <si>
    <t>Valvula compuerta Bronce Ø = 1/2"</t>
  </si>
  <si>
    <t>Union universal PVC Ø = 1/2"</t>
  </si>
  <si>
    <t>Niple PVC L=1" Ø = 1/2"</t>
  </si>
  <si>
    <t>Valvula de aire Ø = 1/2" automatica</t>
  </si>
  <si>
    <t>INSTALACIONES HIDRAULICAS</t>
  </si>
  <si>
    <t>Losa de fondo cara interior</t>
  </si>
  <si>
    <t>Muro transversal cara interior</t>
  </si>
  <si>
    <t>Muro longitudinales cara interior</t>
  </si>
  <si>
    <t>TARRAJEO INTERIOR C:A 1:4, e=1.5 cm</t>
  </si>
  <si>
    <t>REVOQUES, ENLUCIDOS Y MOLDURAS</t>
  </si>
  <si>
    <t>Armadura horizontal ext. Ø3/8@0.20m</t>
  </si>
  <si>
    <t>Armadura verticales Ø3/8"@0.20m</t>
  </si>
  <si>
    <t>Muro</t>
  </si>
  <si>
    <t>Armadura superior_Acero Longitudinal</t>
  </si>
  <si>
    <t>Armadura inferior_Acero Transversal</t>
  </si>
  <si>
    <t xml:space="preserve">Losa de fondo </t>
  </si>
  <si>
    <t>kg/m</t>
  </si>
  <si>
    <t>Long.</t>
  </si>
  <si>
    <t>NºVarillas</t>
  </si>
  <si>
    <t>Ø</t>
  </si>
  <si>
    <t>ACERO CORRUGADO fý=4200 kg/cm2 G-60</t>
  </si>
  <si>
    <t>Losa de fondo, transversal cara exterior</t>
  </si>
  <si>
    <t>Losa de fondo, longitudinal cara exterior</t>
  </si>
  <si>
    <t>Muro transversal cara exterior</t>
  </si>
  <si>
    <t>Muro longitudinales cara exterior</t>
  </si>
  <si>
    <t xml:space="preserve">ENCOFRADO Y DESENCOFRADO EN MUROS </t>
  </si>
  <si>
    <t>CONCRETO f'c=175 kg/cm2  EN LOSA</t>
  </si>
  <si>
    <t>Uñas de cimentaión</t>
  </si>
  <si>
    <t>Muros transversales</t>
  </si>
  <si>
    <t>Muro longitudinales</t>
  </si>
  <si>
    <t xml:space="preserve">CONCRETO f'c=175 kg/cm2 EN MUROS </t>
  </si>
  <si>
    <t>Dado para soporte</t>
  </si>
  <si>
    <t>CONCRETO f'c=140 kg/cm2 EN DADOS</t>
  </si>
  <si>
    <t>Base de caja de valvula</t>
  </si>
  <si>
    <t>Superficie Libre (sl)</t>
  </si>
  <si>
    <t>SOLADO f'c=100 Kg/cm2, e=5 cm</t>
  </si>
  <si>
    <t>Altura (h)</t>
  </si>
  <si>
    <t>Talud</t>
  </si>
  <si>
    <t>Largo (b)</t>
  </si>
  <si>
    <t>Relleno - Compactacion</t>
  </si>
  <si>
    <t>Ancho (a)</t>
  </si>
  <si>
    <t>Excavacion</t>
  </si>
  <si>
    <t>Superior</t>
  </si>
  <si>
    <t>Largo (b´)</t>
  </si>
  <si>
    <t>Volumen de losa</t>
  </si>
  <si>
    <t>Ancho (a´)</t>
  </si>
  <si>
    <t>Volumen de muros</t>
  </si>
  <si>
    <t>Volumen de excavacion</t>
  </si>
  <si>
    <t>Fondo</t>
  </si>
  <si>
    <t>RELLENO  CON MATERIAL PROPIO SELECCIONADO</t>
  </si>
  <si>
    <t>Solado</t>
  </si>
  <si>
    <t>Uña de cimentación</t>
  </si>
  <si>
    <t>Profundidad</t>
  </si>
  <si>
    <t>h</t>
  </si>
  <si>
    <t>Espesor</t>
  </si>
  <si>
    <t>b´</t>
  </si>
  <si>
    <t>excavacion y talud 1:0.25</t>
  </si>
  <si>
    <t>Uñas de cimentacion</t>
  </si>
  <si>
    <t>a´</t>
  </si>
  <si>
    <t>Se considera 0.10m de</t>
  </si>
  <si>
    <t>b</t>
  </si>
  <si>
    <t>Espesor de losa</t>
  </si>
  <si>
    <t>a</t>
  </si>
  <si>
    <t>Caja de valvula</t>
  </si>
  <si>
    <t>Cimentacion</t>
  </si>
  <si>
    <t>TRAZO Y REPLANTEO DURANTE EL PROCESO PARA ESTRUCTURAS</t>
  </si>
  <si>
    <t>Espesor de muro</t>
  </si>
  <si>
    <t>Uña</t>
  </si>
  <si>
    <t>TRAZO Y REPLANTEO PRELIMINAR PARA ESTRUCTURAS</t>
  </si>
  <si>
    <t>Caja de Valvulas</t>
  </si>
  <si>
    <t>Medida</t>
  </si>
  <si>
    <t xml:space="preserve"> Ø = 3/4"</t>
  </si>
  <si>
    <t>Tee PVC SP</t>
  </si>
  <si>
    <t>Reduccion PVC SP</t>
  </si>
  <si>
    <t>Valvula compuerta Bronce</t>
  </si>
  <si>
    <t>Union universal PVC</t>
  </si>
  <si>
    <t>Niple PVC L=1"</t>
  </si>
  <si>
    <t>Valvula de aire</t>
  </si>
  <si>
    <t>N°</t>
  </si>
  <si>
    <t xml:space="preserve">VALVULA DE AIRE </t>
  </si>
  <si>
    <t>Union enlace adaptador HDPE a PVC Ø = 2"</t>
  </si>
  <si>
    <t>INSTALACIONES SANITARIAS</t>
  </si>
  <si>
    <t>Proteccion de dado de anclaje</t>
  </si>
  <si>
    <t>EMPEDRADO, ASENTADO Y EMBOQUILLADO C/CONCRETO f´c=140 kg/cm2, e=15 cm</t>
  </si>
  <si>
    <t>ASENTADO DE PIEDRA</t>
  </si>
  <si>
    <t>Losa de fondo, transversal cara interior</t>
  </si>
  <si>
    <t>Losa de fondo, longitudinal cara interior</t>
  </si>
  <si>
    <t>TARRAJEO INTERIOR MEZCLA C:A 1:4, e=1.5 cm</t>
  </si>
  <si>
    <t>REVOQUES Y ENLUCIDOS Y MOLDURAS</t>
  </si>
  <si>
    <t>Ver planilla de metrado de acero</t>
  </si>
  <si>
    <t>Dado Movil (posterior y frontal)</t>
  </si>
  <si>
    <t>Dado Movil (laterles)</t>
  </si>
  <si>
    <t>ENCOFRADO Y DESENCOFRADO EN DADOS</t>
  </si>
  <si>
    <t>Descuento de Grava</t>
  </si>
  <si>
    <t>CONCRETO f'c=175 kg/cm2 EN  LOSA</t>
  </si>
  <si>
    <t>CONCRETO f'c=175 kg/cm2 EN MUROS</t>
  </si>
  <si>
    <t>Dado Movil</t>
  </si>
  <si>
    <t>Filtro de piedra</t>
  </si>
  <si>
    <t>RELLENO CON MATERIAL PROPIO SELECCIONADO</t>
  </si>
  <si>
    <t>Zanja para tuberia de limpieza</t>
  </si>
  <si>
    <t>Tuberia de limpieza</t>
  </si>
  <si>
    <t>Cimentacion B</t>
  </si>
  <si>
    <t xml:space="preserve"> Ø = 1 1/2"</t>
  </si>
  <si>
    <t>VALVULA DE PURGA TIPO 1 (8 und.)</t>
  </si>
  <si>
    <t>Tuberia PVC C-10</t>
  </si>
  <si>
    <t>Tapón macho F°G°</t>
  </si>
  <si>
    <t>Niple PVC L=7"</t>
  </si>
  <si>
    <t>Niple PVC L=22"</t>
  </si>
  <si>
    <t>Codo PVC SP x 45°</t>
  </si>
  <si>
    <t>Niple PVC L=8"</t>
  </si>
  <si>
    <t>Adaptador UPR PVC</t>
  </si>
  <si>
    <t>Niple PVC L=2"</t>
  </si>
  <si>
    <t>VALVULA DE PURGA TIPO 1</t>
  </si>
  <si>
    <t>METRADOS DEL SISTEMA DE AGUA POTABLE</t>
  </si>
  <si>
    <t>TOTAL (kg)</t>
  </si>
  <si>
    <t>SUB TOTAL (kg)</t>
  </si>
  <si>
    <t xml:space="preserve">PESO POR DIAMETRO VARILLA (kg/m) </t>
  </si>
  <si>
    <t>SUB TOTAL (m)</t>
  </si>
  <si>
    <t>3/8"</t>
  </si>
  <si>
    <t>Tapa Transversal descuento</t>
  </si>
  <si>
    <t>Tapa Horizontal descuento</t>
  </si>
  <si>
    <t>Transversal</t>
  </si>
  <si>
    <t>Losa de techo</t>
  </si>
  <si>
    <t>Acero Horizontal - camara seca</t>
  </si>
  <si>
    <t>Acero Vertical - Camara seca</t>
  </si>
  <si>
    <t>Acero Horizontal - camara humeda - frontal</t>
  </si>
  <si>
    <t>Acero Vertical - Camara humeda - fontal</t>
  </si>
  <si>
    <t>Acero Horizontal - camara humeda - lateral</t>
  </si>
  <si>
    <t>Acero Vertical - Camara humeda - lateral</t>
  </si>
  <si>
    <t>Vertedero - Vertical</t>
  </si>
  <si>
    <t>Vertedero - Horizontal</t>
  </si>
  <si>
    <t>Acero  Transversal - Camara seca</t>
  </si>
  <si>
    <t>Acero  Longitudinal - Camara seca</t>
  </si>
  <si>
    <t>Acero Transversal - Camara humeda</t>
  </si>
  <si>
    <t>Acero Longitudinal - Camara humeda</t>
  </si>
  <si>
    <t>Camara humeda y caja de valvulas</t>
  </si>
  <si>
    <t>1/2"</t>
  </si>
  <si>
    <t>Acero Transversal</t>
  </si>
  <si>
    <t>Acero Vertical</t>
  </si>
  <si>
    <t>Uña de losa</t>
  </si>
  <si>
    <t>Acero Longitudinal</t>
  </si>
  <si>
    <t>Losa</t>
  </si>
  <si>
    <t>Umbral terminal - Acero Vertical</t>
  </si>
  <si>
    <t>Umbral terminal - Acero Longitudinal</t>
  </si>
  <si>
    <t>Umbral terminal - Acero Transversal</t>
  </si>
  <si>
    <t>Dientes - Acero Longitudinal</t>
  </si>
  <si>
    <t>Dientes - Acero Vertical</t>
  </si>
  <si>
    <t>Bloque de canal de descarga Acero Horizontal</t>
  </si>
  <si>
    <t>Losa sobre compuerta de cierre - Acero Transversal</t>
  </si>
  <si>
    <t>Losa sobre compuerta de cierre - Acero Longitudinal</t>
  </si>
  <si>
    <t>Acero Vertical  (Frontal)</t>
  </si>
  <si>
    <t>Acero Horizontal</t>
  </si>
  <si>
    <t>Zapata - Acero Transversal</t>
  </si>
  <si>
    <t>Zapata - Acero Longitudinal</t>
  </si>
  <si>
    <t>Acero Vertical (interior y exterior)</t>
  </si>
  <si>
    <t>Muro segundario</t>
  </si>
  <si>
    <t>Losa - Acero Transversal</t>
  </si>
  <si>
    <t>Losa - Acero Longitudinal y Transversal</t>
  </si>
  <si>
    <t xml:space="preserve">Acero Vertical </t>
  </si>
  <si>
    <t>Muro y Losa</t>
  </si>
  <si>
    <t>CAMARA HUMEDA</t>
  </si>
  <si>
    <t>1"</t>
  </si>
  <si>
    <t>3/4"</t>
  </si>
  <si>
    <t>5/8"</t>
  </si>
  <si>
    <t>1/4"</t>
  </si>
  <si>
    <t>LONGITUD (m)</t>
  </si>
  <si>
    <t>LONG. DEL ELEMENTO (m)</t>
  </si>
  <si>
    <t>N° DE  ELEMENTOS</t>
  </si>
  <si>
    <t>CANTIDAD</t>
  </si>
  <si>
    <t>Ø (Pulg.)</t>
  </si>
  <si>
    <t>METRADO DE CAMARA ROMPE PRESION T 06</t>
  </si>
  <si>
    <t>METRADOS Del SISTEMA DE AGUA POTABLE</t>
  </si>
  <si>
    <t xml:space="preserve">Pegamento para PVC </t>
  </si>
  <si>
    <t>Tapón macho PVC Ø = 1"</t>
  </si>
  <si>
    <t>Tee PVC SP Ø = 1"</t>
  </si>
  <si>
    <t>Niple PVC L=7" Ø = 1"</t>
  </si>
  <si>
    <t>Niple PVC L=22" Ø = 1"</t>
  </si>
  <si>
    <t>Codo PVC SP x 45° Ø = 1"</t>
  </si>
  <si>
    <t>Niple PVC L=8" Ø = 1"</t>
  </si>
  <si>
    <t>Adaptador UPR PVC Ø = 1"</t>
  </si>
  <si>
    <t>Union universal PVC Ø = 1"</t>
  </si>
  <si>
    <t>Niple PVC L=2" Ø = 1"</t>
  </si>
  <si>
    <t>Valvula compuerta Bronce Ø = 1"</t>
  </si>
  <si>
    <t>SUMINISTRO Y COLOC. DE ACCESORIOS EN VALVULA DE PURGA TIPO 2 Ø = 1"</t>
  </si>
  <si>
    <t>Relleno - Compactacion 90%</t>
  </si>
  <si>
    <t xml:space="preserve"> Ø = 1"</t>
  </si>
  <si>
    <t>VALVULA DE PURGA TIPO 2</t>
  </si>
  <si>
    <t>PLANILLA DE METRADOS Del SISTEMA DE AGUA POTABLE</t>
  </si>
  <si>
    <t>MANGUERA HDPE Ø 1 1/2"</t>
  </si>
  <si>
    <t xml:space="preserve">PASES AEREOS, L=2.5 m </t>
  </si>
  <si>
    <t>Tuberia HD Ø 2"</t>
  </si>
  <si>
    <t xml:space="preserve">SUM. E INSTALACION DE TUB. HIERRO DUCTIL DE  Ø 2" </t>
  </si>
  <si>
    <t>pesoxml  =</t>
  </si>
  <si>
    <t>Estribos</t>
  </si>
  <si>
    <t>ACERO CORRUGADO fy=4200 kg/cm2 G-60</t>
  </si>
  <si>
    <t>ENCOFRADO Y DESENCOFRADO EN VIGAS Y DADOS</t>
  </si>
  <si>
    <t>CONCRETO f'c = 175 Kg/cm2, EN DADOS DE ANCLAJE</t>
  </si>
  <si>
    <t>CONCRETO f'c = 175 Kg/cm2, EN VIGAS</t>
  </si>
  <si>
    <t>Factor esponj.</t>
  </si>
  <si>
    <t xml:space="preserve">RELLENO COMPACTADO CON MATERIAL PROPIO </t>
  </si>
  <si>
    <t>EXCAVACION MANUAL DE TERRENO NORMAL</t>
  </si>
  <si>
    <t>CRUCE AEREOS EN ZANJAS DE 2.5m (1 und)</t>
  </si>
  <si>
    <t>CRUCE EN ZANJAS DE VIGA DE CONCRETO ARMADO (01 UND)</t>
  </si>
  <si>
    <t>ALTO</t>
  </si>
  <si>
    <t>PARCIAL</t>
  </si>
  <si>
    <t>DIMENSIONES</t>
  </si>
  <si>
    <t>CANT.</t>
  </si>
  <si>
    <t>AP</t>
  </si>
  <si>
    <t>PLANO :</t>
  </si>
  <si>
    <t xml:space="preserve"> L=</t>
  </si>
  <si>
    <t>PASE AEREO</t>
  </si>
  <si>
    <t>CRUCE  AEREO DE CONCRETO EN ZANJAS L= 2.50 m</t>
  </si>
  <si>
    <t>PLANILLA DE METRADOS DE AGUA POTABLE</t>
  </si>
  <si>
    <t>TUERCA ∅1/2" ROSCADA</t>
  </si>
  <si>
    <t>PERNO ∅x2"</t>
  </si>
  <si>
    <t>ABRAZADERA PLANCHA e=1/8 MOLDEADA EN OBRA</t>
  </si>
  <si>
    <t>SUMINISTRO E INSTALACION DE ANCLAJE A PUENTE METALICO</t>
  </si>
  <si>
    <t>Tuberia FºGºØ 1 1/2"</t>
  </si>
  <si>
    <t xml:space="preserve">SUMINISTRO E INSTALACION DE TUBERIA FºGº DE  Ø 1 1/2" </t>
  </si>
  <si>
    <t>dados de concreto</t>
  </si>
  <si>
    <t xml:space="preserve">tuberia anclada a puente L=24.5 m </t>
  </si>
  <si>
    <t>CRUCE DE TUBERIA EN PUENTE MODULAR L= 24.5 m (1 und)</t>
  </si>
  <si>
    <t>CRUCE DE TUBERIA EN PUENTE L= 24.5 m (01 UND)</t>
  </si>
  <si>
    <t>CRUCE DE TUBERIA EN PUENTE MODULAR L= 24.5 m</t>
  </si>
  <si>
    <t>codo FºGº 45º - Ø 1 1/2"</t>
  </si>
  <si>
    <t>codo FºGº 90º - Ø 1 1/2"</t>
  </si>
  <si>
    <t xml:space="preserve">SUMINISTRO E INSTALACION DE CODO FºGº DE  Ø 1 1/2" </t>
  </si>
  <si>
    <t xml:space="preserve">tuberia anclada a alcantarilla TMC 24" </t>
  </si>
  <si>
    <t>CRUCE DE TUBERIA EN ALCANTARILLA TMC 24" (01 und)</t>
  </si>
  <si>
    <t>CRUCE DE TUBERIA EN ALCANTARILLA (01 UND)</t>
  </si>
  <si>
    <t>CRUCE DE TUBERIA EN ALCANTARILLA TMC 24"</t>
  </si>
  <si>
    <t>SUMINISTRO E INSTALACION DE TUBERIA PVC  Ø 1/2" CL-10</t>
  </si>
  <si>
    <t>Abrazadera 2 cuerpos termoplastica PVC de 1" con salida 1/2"</t>
  </si>
  <si>
    <t>Tubería  PVC C-10 Ø = 1/2"</t>
  </si>
  <si>
    <t>Caja prefabricada de 0.30 x 0.40m, f´c=140 kg/cm2</t>
  </si>
  <si>
    <t>Marco y tapa termoplastica  de 1/2"  + llave p/cerradura magnetica</t>
  </si>
  <si>
    <t>Codo PVC SP x 45° Ø = 1/2"</t>
  </si>
  <si>
    <t>Adaptador UPR PVC Ø = 1/2"</t>
  </si>
  <si>
    <t>Niple PVC L=1 1/2" Ø = 1/2"</t>
  </si>
  <si>
    <t>Valvula de Paso PVC Ø = 1/2"</t>
  </si>
  <si>
    <t xml:space="preserve">SUMINISTRO E INSTALACION DE CAJA PREFABRICADA INC. ACCESESORIOS  -  TUB. MATRIZ 1 " </t>
  </si>
  <si>
    <t>01.14.04.02</t>
  </si>
  <si>
    <t>Abrazadera 2 cuerpos termoplastica PVC de 3/4" con salida 1/2"</t>
  </si>
  <si>
    <t>SUMINISTRO E INSTALACION DE CAJA PREFABRICADA INC. ACCESESORIOS - TUB. MATRIZ 3/4"</t>
  </si>
  <si>
    <t>SUMINISTRO E INSTALACION DE CAJA PREFABRICADA INC. ACCESESORIOS</t>
  </si>
  <si>
    <t>ENCOFRADO Y DESENCOFRADO EN LOSA</t>
  </si>
  <si>
    <t>Descuento de tapa termoplastica</t>
  </si>
  <si>
    <t>Losa de concreto</t>
  </si>
  <si>
    <t>CONCRETO f'c=140 kg/cm2 EN LOSA</t>
  </si>
  <si>
    <t xml:space="preserve">SOLADO f'c=100 kg/cm2, e=5 cm </t>
  </si>
  <si>
    <t>Compa.</t>
  </si>
  <si>
    <t>Total</t>
  </si>
  <si>
    <t>Relleno de camara de caja prefabricada</t>
  </si>
  <si>
    <t>De la acometida</t>
  </si>
  <si>
    <t>factor de esp.</t>
  </si>
  <si>
    <t>diametro de tub.</t>
  </si>
  <si>
    <t>SEGUNDO RELLENO COMPACTADO DE ZANJA CON MAT. PROPIO, E=0.40m, A=0.50 m</t>
  </si>
  <si>
    <t>Cama de apoyo</t>
  </si>
  <si>
    <t>Se concidera excavacion 5cm en todo los lados, para mejor colocación</t>
  </si>
  <si>
    <t>Encofrado</t>
  </si>
  <si>
    <t>Caja Prefabricada</t>
  </si>
  <si>
    <t>Excavacion Losa</t>
  </si>
  <si>
    <t>Se concidera excavacion 10 cm en todo los lados, para encofrado</t>
  </si>
  <si>
    <t>Desde la tub matriz hasta la caja de registro</t>
  </si>
  <si>
    <t>EXCAVACION MANUAL  EN TERRENO NORMAL DE ZANJA DE 0.50 x 0.80 m P/TUBERIA</t>
  </si>
  <si>
    <t xml:space="preserve">MOVIMIENTO DE TIERRAS </t>
  </si>
  <si>
    <t>Caja prefabricada</t>
  </si>
  <si>
    <t>TRAZO Y REPLANTEO FINAL PARA LINEAS DE AGUA</t>
  </si>
  <si>
    <t>TRAZO Y REPLANTEO INICIAL PARA LINEAS DE AGUA</t>
  </si>
  <si>
    <t>Longitud promedio de Acometida de Tuberia PVC  Ø 1/2" CL-10</t>
  </si>
  <si>
    <t>Suma Total</t>
  </si>
  <si>
    <t>CONEXIÓNES DOMICILIARIAS</t>
  </si>
  <si>
    <t xml:space="preserve"> METRADOS SISTEMA DE AGUA POTABLE</t>
  </si>
  <si>
    <t>Tubería PVC NTP 399.003 CLASE LIVIANA Ø = 2"</t>
  </si>
  <si>
    <t>Codo PVC SAL x 90° Ø = 2"</t>
  </si>
  <si>
    <t>Trampa PVC SAL Ø = 2"</t>
  </si>
  <si>
    <t>Sumidero de Bronce Ø = 2"</t>
  </si>
  <si>
    <t>Instalaciones de desague</t>
  </si>
  <si>
    <t>Tuberia PVC SP C-10-1/2"</t>
  </si>
  <si>
    <t>Adaptador UPR PVC 1/2"</t>
  </si>
  <si>
    <t xml:space="preserve">TEE PVC 1/2" </t>
  </si>
  <si>
    <t>Grifo de Bronce Ø = 1/2"</t>
  </si>
  <si>
    <t>Codo F°G° x 90° Ø = 1/2"</t>
  </si>
  <si>
    <t>Codo PVC SP x 90° Ø = 1/2"</t>
  </si>
  <si>
    <t>Instalaciones de agua</t>
  </si>
  <si>
    <t>SUMINISTRO Y COLOC. DE ACCESORIOS EN LAVADERO DOMICILIARIO</t>
  </si>
  <si>
    <t>Zoporte laterales - cara frontal y posterior</t>
  </si>
  <si>
    <t>Zoporte laterales - cara interior y exterior</t>
  </si>
  <si>
    <t>Muro frontal - cara exterior</t>
  </si>
  <si>
    <t>Losa - cara lateral exterior</t>
  </si>
  <si>
    <t>Losa - cara frontal exterior</t>
  </si>
  <si>
    <t>Muro lateral - cara exterior</t>
  </si>
  <si>
    <t>TARRAJEO EXTERIOR MEZCLA C:A 1:4, e=1.5 cm / PARA LAVADEROS</t>
  </si>
  <si>
    <t>Muro lateral - cara superior</t>
  </si>
  <si>
    <t>Muro frontal- cara superior</t>
  </si>
  <si>
    <t>.</t>
  </si>
  <si>
    <t>Losa techo cajon - cara superior</t>
  </si>
  <si>
    <t>Losa - cara superior</t>
  </si>
  <si>
    <t>Muro posterior - cara lateral</t>
  </si>
  <si>
    <t>Muro frontal y posterior - cara interior</t>
  </si>
  <si>
    <t>TARRAJEO CON IMPERMEABILIZANTE PULIDO C:A 1:2 / PARA LAVADEROS DOMICILIARIOS</t>
  </si>
  <si>
    <t>Cimiento de lavadero</t>
  </si>
  <si>
    <t>Soporte Lavadero</t>
  </si>
  <si>
    <t>MURO DE LADRILLO KK 18 HUECOS INDUSTRIAL DE SOGA , C:A:1:4, e=1.50 cm</t>
  </si>
  <si>
    <t>ALBAÑILERIA</t>
  </si>
  <si>
    <t>Losa techo- cara inferior</t>
  </si>
  <si>
    <t>Losa - cara horizontal exterior</t>
  </si>
  <si>
    <t>Losa frontal - cara exterior</t>
  </si>
  <si>
    <t>ENCOFRADO Y DESENCOFRADO / PARA LAVADEROS EN LOSA</t>
  </si>
  <si>
    <t>Muro Latreal isquierdo - cara interior y exterior</t>
  </si>
  <si>
    <t>Muro Latreal Medio - cara interior y exterior</t>
  </si>
  <si>
    <t>Muro Latreal derecho - cara interior y exterior</t>
  </si>
  <si>
    <t>Muro posterior - cara interior y exterior</t>
  </si>
  <si>
    <t xml:space="preserve">Muro frontal - cara interior </t>
  </si>
  <si>
    <t>ENCOFRADO Y DESENCOFRADO / PARA LAVADEROS EN MURO</t>
  </si>
  <si>
    <t>Lavadero  - Losa techo cajon inclinado</t>
  </si>
  <si>
    <t>Losa Fondo de Lavadero</t>
  </si>
  <si>
    <t>CONCRETO f'c = 175 kg/cm2 EN LOSA</t>
  </si>
  <si>
    <t>Muros de posterior</t>
  </si>
  <si>
    <t>Lavadero  - Muro  lateral</t>
  </si>
  <si>
    <t>Lavadero - Muro  lateral Posterior</t>
  </si>
  <si>
    <t xml:space="preserve">    Lavadero - Muro lateral de medio</t>
  </si>
  <si>
    <t>area =</t>
  </si>
  <si>
    <t xml:space="preserve">    Descuento Lavadero cajon</t>
  </si>
  <si>
    <t xml:space="preserve">    Lavadero -  Muro Frontal </t>
  </si>
  <si>
    <t xml:space="preserve">CONCRETO f'c = 175 kg/cm2 EN MURO </t>
  </si>
  <si>
    <t>Cimentacion lavadero</t>
  </si>
  <si>
    <t>CONCRETO CICLOPEO 1:10 + 30% PM EN CIMIENTO</t>
  </si>
  <si>
    <t>ELIMINACION DE DESMONTE DE TERRENO NORMAL D= 500m</t>
  </si>
  <si>
    <t>Cimentacion -Lavadero</t>
  </si>
  <si>
    <t>Tubería de desagüe 2"</t>
  </si>
  <si>
    <t>Tuberia de agua potable 1/2"</t>
  </si>
  <si>
    <t>Lavadero cimiento</t>
  </si>
  <si>
    <t>Lavadero- cimiento</t>
  </si>
  <si>
    <t xml:space="preserve">Lavadero </t>
  </si>
  <si>
    <t>M2</t>
  </si>
  <si>
    <t>TRAZO Y REPLANTEO PRELIMINAR DE ESTRUCTURAS</t>
  </si>
  <si>
    <t>LAVADERO MULTIUSO PARA VIVIENDAS CON UBS  (14 Und.)</t>
  </si>
  <si>
    <t xml:space="preserve">LAVADERO MULTIUSO PARA VIVIENDAS PARA VIVIENDAS CON UBS </t>
  </si>
  <si>
    <t>Acero Vertical - Techo cajon</t>
  </si>
  <si>
    <t>Acero Horizontal - Techo cajon</t>
  </si>
  <si>
    <t>Acero Horizontal - Losa</t>
  </si>
  <si>
    <t>Acero Vertical - Losa</t>
  </si>
  <si>
    <t>LOSA LAVADERO</t>
  </si>
  <si>
    <t>Lateral - Acero Vertical</t>
  </si>
  <si>
    <t>Lateral - Acero Horizontal</t>
  </si>
  <si>
    <t>Muro medio Lateral - Acero Vertical</t>
  </si>
  <si>
    <t>Muero medio - Acero lateral</t>
  </si>
  <si>
    <t>Respaldo Lavadero - Acero vertical</t>
  </si>
  <si>
    <t>Respaldo Lavadero - Acero Longitudinal</t>
  </si>
  <si>
    <t>Acero Horizontal frontal</t>
  </si>
  <si>
    <t>Acero Vertical frontal</t>
  </si>
  <si>
    <t>MURO</t>
  </si>
  <si>
    <t>LAVADERO</t>
  </si>
  <si>
    <r>
      <t>3/8</t>
    </r>
    <r>
      <rPr>
        <b/>
        <sz val="10"/>
        <color indexed="8"/>
        <rFont val="Arial Narrow"/>
        <family val="2"/>
      </rPr>
      <t>"</t>
    </r>
  </si>
  <si>
    <r>
      <t>1/4</t>
    </r>
    <r>
      <rPr>
        <b/>
        <sz val="10"/>
        <color indexed="8"/>
        <rFont val="Arial Narrow"/>
        <family val="2"/>
      </rPr>
      <t>"</t>
    </r>
  </si>
  <si>
    <t>METRADO DE ACERO DE LAVADERO MULTIUSO VIVIENDAS</t>
  </si>
  <si>
    <t>RESUMEN DE METRADOS DE AGUA POTABLE</t>
  </si>
  <si>
    <t>TUBERIA PVC  2"</t>
  </si>
  <si>
    <t>TAPON PVC  2"</t>
  </si>
  <si>
    <t>TEE SANITARIA PVC  2"</t>
  </si>
  <si>
    <t>CODO PVC  2" X 45°</t>
  </si>
  <si>
    <t>SUMIDERO DE BRONCE 2"</t>
  </si>
  <si>
    <t>TUBERÍA PVC CLASE 10 DE 1/2"</t>
  </si>
  <si>
    <t>TUBERÍA PVC CLASE 10 DE 3/4"</t>
  </si>
  <si>
    <t>CODO SP PVC  1/2" X 90°</t>
  </si>
  <si>
    <t>LLAVE DE ALTA RESISTENCIA BRONCE CROMADO 1/2", 250 lbs.</t>
  </si>
  <si>
    <t>UNION DE ROSCA INTERNA DE BRONCE 1/2"</t>
  </si>
  <si>
    <t>NIPLE C/ROSCA PVC 1/2" x 2"</t>
  </si>
  <si>
    <t>CODO PVC C/ROSCAx 90° Ø = 1/2"</t>
  </si>
  <si>
    <t>ADAPTADOR UPR PVC 1/2"</t>
  </si>
  <si>
    <t>REDUCCIÓN SP PVC 3/4" A 1/2"</t>
  </si>
  <si>
    <t>CODO SP PVC Ø = 3/4" x 90°</t>
  </si>
  <si>
    <t>Tee PVC SP Ø = 3/4"</t>
  </si>
  <si>
    <t>SUMINISTRO Y COLOC. DE ACCESORIOS EN LAVADERO I.E. INICIAL</t>
  </si>
  <si>
    <t>Muro Frontal -  cara superior</t>
  </si>
  <si>
    <t>Muro Frontal -  cara exterior</t>
  </si>
  <si>
    <t>Muro posterior - cara superior</t>
  </si>
  <si>
    <t xml:space="preserve">Area = </t>
  </si>
  <si>
    <t>Muro posterior - cara exterior</t>
  </si>
  <si>
    <t>Mortero para pendiente de fondo S=2%</t>
  </si>
  <si>
    <t>Muro Frontal -  interior</t>
  </si>
  <si>
    <t>Muro - cara Lateral Interior</t>
  </si>
  <si>
    <t>Losa inferior - cara superior</t>
  </si>
  <si>
    <t>Muro posterior - cara interior</t>
  </si>
  <si>
    <t>TARRAJEO CON IMPERMEABILIZANTE PULIDO C:A 1:2 / PARA LAVADEROS INST. EDUCATIVO</t>
  </si>
  <si>
    <t>Muro Frontal -  exterior</t>
  </si>
  <si>
    <t>Muro - cara lateral exterior</t>
  </si>
  <si>
    <t>ENCOFRADO Y DESENCOFRADO / PARA LAVADEROS - MURO</t>
  </si>
  <si>
    <t>Lavadero Losa</t>
  </si>
  <si>
    <t>CONCRETO f'c=210 kg/cm2 EN LOSA</t>
  </si>
  <si>
    <t>Lavadero Muro frontal</t>
  </si>
  <si>
    <t>Lavadero Muro lateral</t>
  </si>
  <si>
    <t xml:space="preserve">    Muro Posterior Lavadero</t>
  </si>
  <si>
    <t>CONCRETO f'c=210 kg/cm2 EN MUROS</t>
  </si>
  <si>
    <t>CONCRETO CICLOPEO 1:10 + 30% PM</t>
  </si>
  <si>
    <t>Area=</t>
  </si>
  <si>
    <t>Vereda frontal</t>
  </si>
  <si>
    <t>Lavadero - cimiento</t>
  </si>
  <si>
    <t>Vereda lateral</t>
  </si>
  <si>
    <t>Vereda Lateral</t>
  </si>
  <si>
    <t>Vereda Frontal</t>
  </si>
  <si>
    <t>LAVADERO MULTIUSO PARA I.E. INICIAL</t>
  </si>
  <si>
    <t>Muro frontal - Acero Longitudinal</t>
  </si>
  <si>
    <t>Muro lateral - Acero Transversal</t>
  </si>
  <si>
    <t>Losa Inferior - Acero Longitudinal</t>
  </si>
  <si>
    <t>Muro posterior - Acero Horizontal</t>
  </si>
  <si>
    <t>Muro Frontal - Acero Transversal</t>
  </si>
  <si>
    <t>Camara Humeda</t>
  </si>
  <si>
    <t>LAVADERO INICIAL</t>
  </si>
  <si>
    <t>TUBERÍA PVC  2"</t>
  </si>
  <si>
    <t>YEE PVC  2"</t>
  </si>
  <si>
    <t>CODO PVC  2" X 90°</t>
  </si>
  <si>
    <t>TRAMPA "P" DE PVC CON REGISTRO</t>
  </si>
  <si>
    <t>TUBERÍA PVS CLASE 10 DE 1/2"</t>
  </si>
  <si>
    <t>TUBERÍA PVS CLASE 10 DE 3/4"</t>
  </si>
  <si>
    <t>NIPLE CON ROSCA PVC 1/2" x 2"</t>
  </si>
  <si>
    <t>CODO ROSCADO PVC 1/2" X 90°</t>
  </si>
  <si>
    <t>Parte superior de muro lateral y frontal</t>
  </si>
  <si>
    <t>Parte superior de muro posterior</t>
  </si>
  <si>
    <t>Area =</t>
  </si>
  <si>
    <t>LAVADERO CHICO</t>
  </si>
  <si>
    <t>Parte superior de muro de apoyo</t>
  </si>
  <si>
    <t>Zoporte lateral - cara lateral</t>
  </si>
  <si>
    <t>Zoporte lateral - cara exterior</t>
  </si>
  <si>
    <t>Zoporte lateral - cara interior</t>
  </si>
  <si>
    <t>Losa - cara inferior</t>
  </si>
  <si>
    <t>Muro lateral exterior</t>
  </si>
  <si>
    <t>LAVADERO GRANDE</t>
  </si>
  <si>
    <t>Borde de caja de valvula</t>
  </si>
  <si>
    <t>Fondo de losa de lavadero</t>
  </si>
  <si>
    <t>Muro lateral - cara interior</t>
  </si>
  <si>
    <t>Muro frontal - cara interior</t>
  </si>
  <si>
    <t>TARRAJEO CON IMPERMEABILIZANTE PULIDO C:A 1:3 / PARA LAVADEROS INST. EDUCATIVO</t>
  </si>
  <si>
    <t>Losa inferior- cara inferior</t>
  </si>
  <si>
    <t>ENCOFRADO Y DESENCOFRADO / PARA LAVADEROS - LOSAS</t>
  </si>
  <si>
    <t>Muro Lateral - caras interior</t>
  </si>
  <si>
    <t>Muro Lateral - caras exterior</t>
  </si>
  <si>
    <t>ENCOFRADO Y DESENCOFRADO / PARA LAVADEROS - MUROS</t>
  </si>
  <si>
    <t>CONCRETO f'c = 210 kg/cm2 EN  LOSA</t>
  </si>
  <si>
    <t>Muro de apoyo lateral</t>
  </si>
  <si>
    <t xml:space="preserve">   Muro de apoyo Posterior</t>
  </si>
  <si>
    <t xml:space="preserve">   Muro de apoyo Frontal</t>
  </si>
  <si>
    <t xml:space="preserve">CONCRETO f'c = 210 kg/cm2 EN MUROS </t>
  </si>
  <si>
    <t>Muro lateral interior</t>
  </si>
  <si>
    <t>Muro frontal interior</t>
  </si>
  <si>
    <t>Muro frontal exterior</t>
  </si>
  <si>
    <t>Encofrado de cimiento</t>
  </si>
  <si>
    <t>Soporte posterior de lavadero</t>
  </si>
  <si>
    <t>Soporte lateral de lavadero</t>
  </si>
  <si>
    <t>Base  de Lavadero inferior</t>
  </si>
  <si>
    <t>Muro frontal Lavadero inferior</t>
  </si>
  <si>
    <t>Muro Lateral Lavadero inferior</t>
  </si>
  <si>
    <t xml:space="preserve">    Muro Posterior Lavadero Inferior</t>
  </si>
  <si>
    <t>Descuento de cimiento de lavadero</t>
  </si>
  <si>
    <t>Tuberia de agua potable 3/4"</t>
  </si>
  <si>
    <t>Vereda Posterior</t>
  </si>
  <si>
    <t>LAVADERO MULTIUSO PARA I. E. PRIMARIA</t>
  </si>
  <si>
    <t>muro de apoyo - Acero horizontal</t>
  </si>
  <si>
    <t>muro de posterior  - Acero horizontal</t>
  </si>
  <si>
    <t>muro frontal y posterior - Acero horizontal</t>
  </si>
  <si>
    <t>Losa de lavadero - Acero transversal</t>
  </si>
  <si>
    <t>Losa de lavadero - acero longitudinal</t>
  </si>
  <si>
    <t xml:space="preserve">LAVADERO </t>
  </si>
  <si>
    <t>ESTRUCTURAS METALICAS</t>
  </si>
  <si>
    <t>SUMINISTRO E INSTALACION DE VALVULAS Y ACCESORIOS EN CAPTACION</t>
  </si>
  <si>
    <t>SUM. E INST. MALLA OLIMPICA</t>
  </si>
  <si>
    <t xml:space="preserve">            CONCRETO F'C=210 KG/CM2 PARA CIMENTACIÓN Y LOSA DE FONDO</t>
  </si>
  <si>
    <t xml:space="preserve">            CONCRETO f'c=210 kg/cm2 EN MUROS</t>
  </si>
  <si>
    <t xml:space="preserve">            CONCRETO F'C=210 KG/CM2 PARA LOSA SUPERIOR</t>
  </si>
  <si>
    <t xml:space="preserve">            ACERO CORRUGADO f'y=4200 kg/cm2 G-60 EN RESERVORIO</t>
  </si>
  <si>
    <t xml:space="preserve">            TARRAJEO CON IMPERMEABILIZANTE MEZCLA 1:2; E=1.5 CM</t>
  </si>
  <si>
    <t xml:space="preserve">            PINTURA LATEX EN EXTERIORES (DOS MANOS) PARA ESTRUCTURAS</t>
  </si>
  <si>
    <t xml:space="preserve">            ESCALERA INTERIOR / PELDAÑOS DE POLIPROPILENO DE 12MM</t>
  </si>
  <si>
    <t xml:space="preserve">            ESCALERA EXTERIOR/ TIPO MARINERA  ESCALINES DE F°G° Ø=3/4"</t>
  </si>
  <si>
    <t xml:space="preserve">            SUMINISTRO E INST. DE TAPA METALICA DE 0.60 x 0.60 m e=1/8" INC. ACCESORIOS + PINTURA</t>
  </si>
  <si>
    <t xml:space="preserve">            SUMINISTRO E INST. DE  ACCESORIOS DE TUBO DE VENTILACION F°G°  Ø = 2"</t>
  </si>
  <si>
    <t>CÁMARA DE VÁLVULAS RESERVORIO</t>
  </si>
  <si>
    <t xml:space="preserve">            SOLADO f'c=100 Kg/cm2, e=10 cm</t>
  </si>
  <si>
    <t xml:space="preserve">            ENCOFRADO Y DESENCOFRADO PARA LOSA DE FONDO</t>
  </si>
  <si>
    <t xml:space="preserve">            ENCOFRADO Y DESENCOFRADO EN MUROS</t>
  </si>
  <si>
    <t xml:space="preserve">            ENCOFRADO Y DESENCOFRADO PARA LOSA SUPERIOR</t>
  </si>
  <si>
    <t xml:space="preserve">            ACERO CORRUGADO f'y=4200 kg/cm2 G-60 EN CASETA DE VALVULAS</t>
  </si>
  <si>
    <t xml:space="preserve">            SUMINISTRO E INST. DE ACCESORIOS DE INGRESO DEL RESERVORIO Ø = 1 1/2"</t>
  </si>
  <si>
    <t xml:space="preserve">            CONCRETO f'c=175 kg/cm2 EN VEREDA Y ZANJA DE CORONACION</t>
  </si>
  <si>
    <t xml:space="preserve">            ENCOFRADO Y DESENCOFRADO EN VEREDA Y ZANJA DE CORONACION</t>
  </si>
  <si>
    <t>CERCO PERIMÉTRICO METALICO EN RESERVORIO</t>
  </si>
  <si>
    <t>PRUEBA HIDRAULICA Y DESINFECCION DE LA TUBERIA</t>
  </si>
  <si>
    <t xml:space="preserve">         ACARREO Y ELIMINACION DE MAT. EXCEDENTE Dmax=30 m</t>
  </si>
  <si>
    <t xml:space="preserve">EXCAVACION DE ZANJA CON MAQUINARIA EN TERRENO NORMAL  DE 0.50 x 1.10 m P/TUBERIA EN CARRETERA
</t>
  </si>
  <si>
    <t xml:space="preserve">EXCAVACION DE ZANJA CON MAQUINARIA EN TERRENO NORMAL  DE 0.60 x 1.40 m P/TUBERIA PROFUNDIZADA
</t>
  </si>
  <si>
    <t xml:space="preserve">CAMA DE APOYO PARA TUBERIA CON MAT. PROPIO ZARANDEADO E=0.10m, A=0.50 m
</t>
  </si>
  <si>
    <t>SEGUNDO RELLENO COMPACTADO DE ZANJA CON MAT. PROPIO EN CARRETERA, E=0.70m, A=0.50 m</t>
  </si>
  <si>
    <t xml:space="preserve">SEGUNDO RELLENO COMPACTADO DE ZANJA CON MAT. PROPIO EN TERRENO NORMAL, E=0.40m, A=0.50 m  </t>
  </si>
  <si>
    <t xml:space="preserve">         SUMINISTRO Y COLOC. DE ACCESORIOS EN VALVULA DE AIRE Ø=1 1/2" X Ø=1/2" - LINEA DE CONDUCCION HDPE</t>
  </si>
  <si>
    <t>VALVULA DE PUGA (5 und)</t>
  </si>
  <si>
    <t>VALVULAS DE PURGA TIPO 1 (2 und)</t>
  </si>
  <si>
    <t>ENCOFRADO Y DESENCOFRADO EN  LOSAS</t>
  </si>
  <si>
    <t>CONCRETO f'c=175 kg/cm2 EN LOSA</t>
  </si>
  <si>
    <t>VALVULA DE CONTROL (21 und.)</t>
  </si>
  <si>
    <t>VALVULA DE CONTROL</t>
  </si>
  <si>
    <t xml:space="preserve">         RELLENO COMPACTADO CON MATERIAL PROPIO SELECCIONADO</t>
  </si>
  <si>
    <t xml:space="preserve">         ACARREO Y ELIMINACION DE MAT. EXCEDENTE Dmax=60 m</t>
  </si>
  <si>
    <t xml:space="preserve">         CONCRETO f'c=140 Kg/cm2 EN VEREDA</t>
  </si>
  <si>
    <t xml:space="preserve">         CONCRETO f'c=175 kg/cm2 EN LAVADERO INFERIOR</t>
  </si>
  <si>
    <t xml:space="preserve">         ENCOFRADO  Y DESENCOFRADO DE VEREDA Y CIMIENTO</t>
  </si>
  <si>
    <t>01.17</t>
  </si>
  <si>
    <t xml:space="preserve">   FLETE AGUA POTABLE</t>
  </si>
  <si>
    <t>01.17.01</t>
  </si>
  <si>
    <t xml:space="preserve">      FLETE TERRESTRE EN SISTEMA DE AGUA POTABLE</t>
  </si>
  <si>
    <t>01.17.02</t>
  </si>
  <si>
    <t xml:space="preserve">      FLETE RURAL EN SISTEMA DE AGUA POTABLE</t>
  </si>
  <si>
    <t>"CREACION DEL SERVICIO DE AGUA POTABLE RURAL Y CREACION DEL SERVICIO DE ALCANTARILLADO U OTRAS FORMAS DE DISPOSICION SANITARIA DE EXCRETAS EN EL SECTOR NUEVA ESPERANZA DE LA CC.NN. BAJO PITOCUNA DISTRITO DE RIO NEGRO, PROVINCIA DE SATIPO, DEPARTAMENTO DE JUNIN"</t>
  </si>
  <si>
    <t xml:space="preserve">"CREACION DEL SERVICIO DE AGUA POTABLE RURAL Y CREACION DEL SERVICIO DE ALCANTARILLADO U OTRAS FORMAS DE DISPOSICION SANITARIA DE EXCRETAS EN EL SECTOR NUEVA ESPERANZA DE LA CC.NN. BAJO PITOCUNA DISTRITO DE RIO NEGRO, PROVINCIA DE SATIPO, DEPARTAMENTO DE JUNIN" </t>
  </si>
  <si>
    <t>"CREACION DEL SERVICIO DE AGUA POTABLE RURAL Y CREACION DEL SERVICIO DE ALCANTARILLADO U OTRAS FORMAS DE DISPOSICION SANITARIA DE EXCRETAS EN EL SECTOR NUEVA ESPERANZA DE LA CC.NN. BAJO PITOCUNA DISTRITO DE RIO NEGRO, PROVINCIA DE SATIPO, DEPARTAMENTO DE JUNIN</t>
  </si>
  <si>
    <t xml:space="preserve">"CREACION DEL SERVICIO DE AGUA POTABLE RURAL Y CREACION DEL SERVICIO DE ALCANTARILLADO U OTRAS FORMAS DE DISPOSICION SANITARIA DE EXCRETAS EN EL SECTOR NUEVA ESPERANZA DE LA CC.NN. BAJO PITOCUNA DISTRITO DE RIO NEGRO, PROVINCIA DE SATIPO, DEPARTAMENTO DE JUNIN"  </t>
  </si>
  <si>
    <t>METRADO DE VALVULA DE CONTROL</t>
  </si>
  <si>
    <t>T-10</t>
  </si>
  <si>
    <t>T-12</t>
  </si>
  <si>
    <t>T-13</t>
  </si>
  <si>
    <t>T-14</t>
  </si>
  <si>
    <t>T-18</t>
  </si>
  <si>
    <t>T-19</t>
  </si>
  <si>
    <t>T-20</t>
  </si>
  <si>
    <t>T-21</t>
  </si>
  <si>
    <t>T-23</t>
  </si>
  <si>
    <t>T-11-INICIO</t>
  </si>
  <si>
    <t>T-11-FINAL</t>
  </si>
  <si>
    <t xml:space="preserve">TOTAL </t>
  </si>
  <si>
    <t>MENOS TUBERIA EN CARRETERA</t>
  </si>
  <si>
    <t>MENOS TUBERIA DE CRUCE EN  PUENTE MODULAR</t>
  </si>
  <si>
    <t>MENOS TUBERIA CRUCE EN ALCANTARILLA TMC 24"</t>
  </si>
  <si>
    <t>TUBERIA EN CARRETERA</t>
  </si>
  <si>
    <t>TUBERIA PROFUNDIZADA TUBERIA 15</t>
  </si>
  <si>
    <t>MENOS T-13 PRUFUNDIZADA TUB 13</t>
  </si>
  <si>
    <t>TUBERIA DE ALCANTARILLADO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</si>
</sst>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0.00_)"/>
    <numFmt numFmtId="167" formatCode="&quot;Qb = &quot;0.00"/>
    <numFmt numFmtId="168" formatCode="_([$€-2]\ * #,##0.00_);_([$€-2]\ * \(#,##0.00\);_([$€-2]\ * &quot;-&quot;??_)"/>
    <numFmt numFmtId="169" formatCode="#.00"/>
    <numFmt numFmtId="170" formatCode="\$#.00"/>
    <numFmt numFmtId="171" formatCode="00.00.00.00.00.00"/>
    <numFmt numFmtId="172" formatCode="00.00.00.00.00.00.00."/>
    <numFmt numFmtId="173" formatCode="00.00.00.00.00."/>
    <numFmt numFmtId="174" formatCode="#,##0.000"/>
    <numFmt numFmtId="175" formatCode="00.00.00.00.00.00."/>
    <numFmt numFmtId="176" formatCode="0.000"/>
    <numFmt numFmtId="177" formatCode="0.0000"/>
    <numFmt numFmtId="178" formatCode="#\ ?/?&quot; '' &quot;"/>
    <numFmt numFmtId="179" formatCode="00"/>
    <numFmt numFmtId="180" formatCode="00.00.00.00.00.00.00"/>
    <numFmt numFmtId="181" formatCode="00.00.00."/>
    <numFmt numFmtId="182" formatCode="00.00."/>
    <numFmt numFmtId="183" formatCode="0.00\ &quot;m&quot;"/>
    <numFmt numFmtId="184" formatCode="0.0"/>
  </numFmts>
  <fonts count="110">
    <font>
      <sz val="8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2"/>
      <name val="Helv"/>
    </font>
    <font>
      <sz val="10"/>
      <name val="Arial"/>
      <family val="2"/>
    </font>
    <font>
      <sz val="9"/>
      <name val="Verdana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1"/>
      <color theme="1"/>
      <name val="Calibri"/>
      <family val="2"/>
      <scheme val="minor"/>
    </font>
    <font>
      <b/>
      <sz val="9"/>
      <name val="Arial Narrow"/>
      <family val="2"/>
    </font>
    <font>
      <sz val="9"/>
      <name val="Arial Narrow"/>
      <family val="2"/>
    </font>
    <font>
      <sz val="10"/>
      <color indexed="8"/>
      <name val="Arial"/>
      <family val="2"/>
    </font>
    <font>
      <sz val="10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rgb="FFFF0000"/>
      <name val="Arial Black"/>
      <family val="2"/>
    </font>
    <font>
      <b/>
      <sz val="11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b/>
      <sz val="11"/>
      <color theme="0"/>
      <name val="Arial Black"/>
      <family val="2"/>
    </font>
    <font>
      <b/>
      <sz val="12"/>
      <color theme="0"/>
      <name val="Arial Black"/>
      <family val="2"/>
    </font>
    <font>
      <b/>
      <sz val="10"/>
      <color theme="0"/>
      <name val="Arial Narrow"/>
      <family val="2"/>
    </font>
    <font>
      <sz val="8"/>
      <color theme="1"/>
      <name val="Arial"/>
      <family val="2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mbria"/>
      <family val="1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b/>
      <sz val="9"/>
      <color rgb="FF002060"/>
      <name val="Arial Narrow"/>
      <family val="2"/>
    </font>
    <font>
      <u/>
      <sz val="9"/>
      <color theme="1"/>
      <name val="Arial Narrow"/>
      <family val="2"/>
    </font>
    <font>
      <sz val="9"/>
      <color rgb="FF000000"/>
      <name val="Arial Narrow"/>
      <family val="2"/>
    </font>
    <font>
      <b/>
      <sz val="9"/>
      <color theme="1"/>
      <name val="Cambria"/>
      <family val="1"/>
    </font>
    <font>
      <b/>
      <sz val="9"/>
      <color theme="9" tint="-0.249977111117893"/>
      <name val="Arial Narrow"/>
      <family val="2"/>
    </font>
    <font>
      <b/>
      <sz val="10"/>
      <color theme="0"/>
      <name val="Arial Black"/>
      <family val="2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sz val="10"/>
      <name val="Helvetica Neue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4"/>
      <name val="Arial Narrow"/>
      <family val="2"/>
    </font>
    <font>
      <sz val="8"/>
      <color indexed="10"/>
      <name val="Arial"/>
      <family val="2"/>
    </font>
    <font>
      <sz val="8"/>
      <name val="Cambria"/>
      <family val="1"/>
    </font>
    <font>
      <b/>
      <sz val="10"/>
      <color rgb="FF002060"/>
      <name val="Cambria"/>
      <family val="1"/>
    </font>
    <font>
      <b/>
      <sz val="10"/>
      <color rgb="FF002060"/>
      <name val="Arial Narrow"/>
      <family val="2"/>
    </font>
    <font>
      <b/>
      <sz val="9"/>
      <color theme="0"/>
      <name val="Arial Narrow"/>
      <family val="2"/>
    </font>
    <font>
      <b/>
      <sz val="9"/>
      <name val="Cambria"/>
      <family val="1"/>
    </font>
    <font>
      <b/>
      <sz val="8"/>
      <name val="Cambria"/>
      <family val="1"/>
    </font>
    <font>
      <b/>
      <sz val="8"/>
      <color rgb="FF002060"/>
      <name val="Arial"/>
      <family val="2"/>
    </font>
    <font>
      <b/>
      <sz val="8"/>
      <color rgb="FFFF0000"/>
      <name val="Arial"/>
      <family val="2"/>
    </font>
    <font>
      <b/>
      <sz val="10"/>
      <name val="Arial Narrow"/>
      <family val="2"/>
    </font>
    <font>
      <sz val="11"/>
      <name val="Arial Narrow"/>
      <family val="2"/>
    </font>
    <font>
      <sz val="8"/>
      <name val="Arial Narrow"/>
      <family val="2"/>
    </font>
    <font>
      <sz val="8"/>
      <color rgb="FFFF0000"/>
      <name val="Arial Narrow"/>
      <family val="2"/>
    </font>
    <font>
      <sz val="9"/>
      <color rgb="FFFF0000"/>
      <name val="Arial Narrow"/>
      <family val="2"/>
    </font>
    <font>
      <sz val="9"/>
      <color rgb="FF002060"/>
      <name val="Arial Narrow"/>
      <family val="2"/>
    </font>
    <font>
      <sz val="10"/>
      <color rgb="FF002060"/>
      <name val="Arial Narrow"/>
      <family val="2"/>
    </font>
    <font>
      <u/>
      <sz val="9"/>
      <name val="Arial Narrow"/>
      <family val="2"/>
    </font>
    <font>
      <b/>
      <sz val="10.5"/>
      <name val="Arial Narrow"/>
      <family val="2"/>
    </font>
    <font>
      <b/>
      <i/>
      <sz val="9"/>
      <name val="Arial Narrow"/>
      <family val="2"/>
    </font>
    <font>
      <i/>
      <sz val="9"/>
      <name val="Arial Narrow"/>
      <family val="2"/>
    </font>
    <font>
      <i/>
      <sz val="9"/>
      <color theme="1"/>
      <name val="Arial Narrow"/>
      <family val="2"/>
    </font>
    <font>
      <sz val="10.5"/>
      <color theme="8"/>
      <name val="Arial Narrow"/>
      <family val="2"/>
    </font>
    <font>
      <b/>
      <sz val="10.5"/>
      <color theme="8"/>
      <name val="Arial Narrow"/>
      <family val="2"/>
    </font>
    <font>
      <b/>
      <sz val="14"/>
      <color rgb="FF002060"/>
      <name val="Arial Narrow"/>
      <family val="2"/>
    </font>
    <font>
      <sz val="8"/>
      <color indexed="10"/>
      <name val="Arial Narrow"/>
      <family val="2"/>
    </font>
    <font>
      <b/>
      <sz val="9"/>
      <color theme="8"/>
      <name val="Arial Narrow"/>
      <family val="2"/>
    </font>
    <font>
      <b/>
      <sz val="9"/>
      <color indexed="10"/>
      <name val="Arial Narrow"/>
      <family val="2"/>
    </font>
    <font>
      <b/>
      <sz val="8"/>
      <color indexed="10"/>
      <name val="Arial Narrow"/>
      <family val="2"/>
    </font>
    <font>
      <sz val="9"/>
      <color indexed="10"/>
      <name val="Arial Narrow"/>
      <family val="2"/>
    </font>
    <font>
      <b/>
      <sz val="8"/>
      <name val="Arial Narrow"/>
      <family val="2"/>
    </font>
    <font>
      <sz val="14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10"/>
      <name val="Cambria"/>
      <family val="1"/>
    </font>
    <font>
      <sz val="12"/>
      <color indexed="10"/>
      <name val="Helv"/>
    </font>
    <font>
      <u/>
      <sz val="8"/>
      <color indexed="10"/>
      <name val="Arial"/>
      <family val="2"/>
    </font>
    <font>
      <sz val="10"/>
      <color rgb="FFFF0000"/>
      <name val="Arial Narrow"/>
      <family val="2"/>
    </font>
    <font>
      <sz val="9"/>
      <color theme="5"/>
      <name val="Arial Narrow"/>
      <family val="2"/>
    </font>
    <font>
      <b/>
      <sz val="11"/>
      <color theme="1"/>
      <name val="Arial Black"/>
      <family val="2"/>
    </font>
    <font>
      <b/>
      <sz val="12"/>
      <name val="Cambria"/>
      <family val="1"/>
    </font>
    <font>
      <b/>
      <sz val="11"/>
      <color theme="0"/>
      <name val="Arial Narrow"/>
      <family val="2"/>
    </font>
    <font>
      <b/>
      <u/>
      <sz val="10"/>
      <color theme="1"/>
      <name val="Arial Narrow"/>
      <family val="2"/>
    </font>
    <font>
      <sz val="10"/>
      <color indexed="8"/>
      <name val="Arial Narrow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b/>
      <sz val="10"/>
      <color theme="9" tint="-0.249977111117893"/>
      <name val="Arial Narrow"/>
      <family val="2"/>
    </font>
    <font>
      <b/>
      <sz val="10"/>
      <color indexed="8"/>
      <name val="Arial Narrow"/>
      <family val="2"/>
    </font>
    <font>
      <sz val="12"/>
      <name val="Arial Black"/>
      <family val="2"/>
    </font>
    <font>
      <sz val="12"/>
      <name val="Arial Narrow"/>
      <family val="2"/>
    </font>
    <font>
      <b/>
      <sz val="9"/>
      <color rgb="FFFF0000"/>
      <name val="Arial Narrow"/>
      <family val="2"/>
    </font>
    <font>
      <b/>
      <sz val="8"/>
      <color rgb="FFFF0000"/>
      <name val="Arial Narrow"/>
      <family val="2"/>
    </font>
    <font>
      <b/>
      <sz val="12"/>
      <name val="Arial Narrow"/>
      <family val="2"/>
    </font>
    <font>
      <b/>
      <sz val="11"/>
      <color theme="1"/>
      <name val="Arial Narrow"/>
      <family val="2"/>
    </font>
    <font>
      <u/>
      <sz val="9"/>
      <color rgb="FFFF0000"/>
      <name val="Arial Narrow"/>
      <family val="2"/>
    </font>
    <font>
      <sz val="12"/>
      <color rgb="FFFF0000"/>
      <name val="Arial Narrow"/>
      <family val="2"/>
    </font>
    <font>
      <sz val="10"/>
      <color rgb="FF000000"/>
      <name val="Calibri"/>
      <family val="2"/>
      <scheme val="minor"/>
    </font>
    <font>
      <b/>
      <sz val="9"/>
      <color rgb="FF0070C0"/>
      <name val="Arial Narrow"/>
      <family val="2"/>
    </font>
    <font>
      <b/>
      <sz val="10"/>
      <color rgb="FF0070C0"/>
      <name val="Arial Narrow"/>
      <family val="2"/>
    </font>
    <font>
      <sz val="8"/>
      <color indexed="72"/>
      <name val="Arial"/>
      <family val="2"/>
    </font>
    <font>
      <sz val="8"/>
      <color indexed="57"/>
      <name val="Arial"/>
      <family val="2"/>
    </font>
    <font>
      <b/>
      <sz val="8"/>
      <color indexed="57"/>
      <name val="Arial"/>
      <family val="2"/>
    </font>
    <font>
      <b/>
      <sz val="8"/>
      <color indexed="72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78">
    <xf numFmtId="0" fontId="0" fillId="0" borderId="0">
      <alignment vertical="center"/>
    </xf>
    <xf numFmtId="0" fontId="10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9" fontId="10" fillId="0" borderId="0">
      <protection locked="0"/>
    </xf>
    <xf numFmtId="4" fontId="10" fillId="0" borderId="0">
      <protection locked="0"/>
    </xf>
    <xf numFmtId="41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8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0" fontId="10" fillId="0" borderId="0">
      <protection locked="0"/>
    </xf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166" fontId="7" fillId="0" borderId="0"/>
    <xf numFmtId="0" fontId="9" fillId="0" borderId="0"/>
    <xf numFmtId="0" fontId="12" fillId="0" borderId="0"/>
    <xf numFmtId="0" fontId="9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6" fillId="0" borderId="0">
      <alignment vertical="center"/>
    </xf>
    <xf numFmtId="166" fontId="7" fillId="0" borderId="0"/>
    <xf numFmtId="0" fontId="6" fillId="0" borderId="0"/>
    <xf numFmtId="0" fontId="6" fillId="0" borderId="0">
      <alignment vertical="center"/>
    </xf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>
      <alignment vertical="top"/>
    </xf>
    <xf numFmtId="164" fontId="4" fillId="0" borderId="0" applyFont="0" applyFill="0" applyBorder="0" applyAlignment="0" applyProtection="0"/>
    <xf numFmtId="0" fontId="3" fillId="0" borderId="0"/>
    <xf numFmtId="166" fontId="27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6" fillId="0" borderId="0">
      <alignment vertical="center"/>
    </xf>
    <xf numFmtId="0" fontId="2" fillId="0" borderId="0"/>
    <xf numFmtId="0" fontId="2" fillId="0" borderId="0"/>
    <xf numFmtId="0" fontId="8" fillId="0" borderId="0"/>
    <xf numFmtId="0" fontId="1" fillId="0" borderId="0"/>
    <xf numFmtId="0" fontId="1" fillId="0" borderId="0"/>
    <xf numFmtId="0" fontId="1" fillId="0" borderId="0"/>
  </cellStyleXfs>
  <cellXfs count="1291">
    <xf numFmtId="0" fontId="0" fillId="0" borderId="0" xfId="0">
      <alignment vertical="center"/>
    </xf>
    <xf numFmtId="0" fontId="18" fillId="2" borderId="6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17" fillId="0" borderId="6" xfId="0" applyFont="1" applyBorder="1">
      <alignment vertical="center"/>
    </xf>
    <xf numFmtId="2" fontId="16" fillId="0" borderId="6" xfId="0" applyNumberFormat="1" applyFont="1" applyBorder="1" applyAlignment="1">
      <alignment horizontal="center" vertical="center"/>
    </xf>
    <xf numFmtId="2" fontId="17" fillId="0" borderId="6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>
      <alignment vertical="center"/>
    </xf>
    <xf numFmtId="4" fontId="19" fillId="4" borderId="6" xfId="56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5" borderId="6" xfId="0" applyFon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14" fillId="0" borderId="0" xfId="0" applyFont="1">
      <alignment vertical="center"/>
    </xf>
    <xf numFmtId="166" fontId="14" fillId="0" borderId="0" xfId="42" applyFont="1"/>
    <xf numFmtId="166" fontId="14" fillId="0" borderId="1" xfId="42" applyFont="1" applyBorder="1" applyAlignment="1">
      <alignment horizontal="center" vertical="center"/>
    </xf>
    <xf numFmtId="3" fontId="13" fillId="0" borderId="1" xfId="42" applyNumberFormat="1" applyFont="1" applyBorder="1" applyAlignment="1">
      <alignment horizontal="center" vertical="center"/>
    </xf>
    <xf numFmtId="4" fontId="14" fillId="0" borderId="1" xfId="42" applyNumberFormat="1" applyFont="1" applyBorder="1" applyAlignment="1">
      <alignment horizontal="center" vertical="center" wrapText="1"/>
    </xf>
    <xf numFmtId="4" fontId="13" fillId="0" borderId="1" xfId="42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" fontId="14" fillId="0" borderId="0" xfId="0" applyNumberFormat="1" applyFont="1">
      <alignment vertical="center"/>
    </xf>
    <xf numFmtId="0" fontId="6" fillId="0" borderId="6" xfId="0" applyFont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4" fontId="19" fillId="6" borderId="6" xfId="56" applyNumberFormat="1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49" fontId="14" fillId="0" borderId="1" xfId="42" applyNumberFormat="1" applyFont="1" applyBorder="1" applyAlignment="1">
      <alignment horizontal="left" vertical="center" wrapText="1"/>
    </xf>
    <xf numFmtId="0" fontId="21" fillId="0" borderId="1" xfId="55" applyFont="1" applyBorder="1" applyAlignment="1">
      <alignment horizontal="center" vertical="center"/>
    </xf>
    <xf numFmtId="3" fontId="21" fillId="0" borderId="1" xfId="55" applyNumberFormat="1" applyFont="1" applyBorder="1" applyAlignment="1">
      <alignment horizontal="center" vertical="center"/>
    </xf>
    <xf numFmtId="4" fontId="21" fillId="0" borderId="1" xfId="55" applyNumberFormat="1" applyFont="1" applyBorder="1" applyAlignment="1">
      <alignment horizontal="center" vertical="center" wrapText="1"/>
    </xf>
    <xf numFmtId="4" fontId="22" fillId="0" borderId="1" xfId="55" applyNumberFormat="1" applyFont="1" applyBorder="1" applyAlignment="1">
      <alignment horizontal="center" vertical="center" wrapText="1"/>
    </xf>
    <xf numFmtId="4" fontId="18" fillId="3" borderId="1" xfId="55" applyNumberFormat="1" applyFont="1" applyFill="1" applyBorder="1" applyAlignment="1">
      <alignment horizontal="left" vertical="center" wrapText="1"/>
    </xf>
    <xf numFmtId="4" fontId="21" fillId="0" borderId="1" xfId="55" applyNumberFormat="1" applyFont="1" applyBorder="1" applyAlignment="1">
      <alignment horizontal="left" vertical="center"/>
    </xf>
    <xf numFmtId="0" fontId="25" fillId="8" borderId="10" xfId="55" applyFont="1" applyFill="1" applyBorder="1" applyAlignment="1">
      <alignment horizontal="center"/>
    </xf>
    <xf numFmtId="0" fontId="25" fillId="8" borderId="10" xfId="55" applyFont="1" applyFill="1" applyBorder="1" applyAlignment="1">
      <alignment horizontal="center" vertical="center"/>
    </xf>
    <xf numFmtId="4" fontId="21" fillId="0" borderId="1" xfId="55" applyNumberFormat="1" applyFont="1" applyBorder="1" applyAlignment="1">
      <alignment horizontal="right" vertical="center"/>
    </xf>
    <xf numFmtId="1" fontId="25" fillId="8" borderId="10" xfId="55" applyNumberFormat="1" applyFont="1" applyFill="1" applyBorder="1" applyAlignment="1">
      <alignment vertical="center"/>
    </xf>
    <xf numFmtId="0" fontId="13" fillId="0" borderId="14" xfId="42" applyNumberFormat="1" applyFont="1" applyBorder="1" applyAlignment="1">
      <alignment vertical="center" wrapText="1"/>
    </xf>
    <xf numFmtId="0" fontId="13" fillId="0" borderId="3" xfId="55" applyFont="1" applyBorder="1" applyAlignment="1">
      <alignment vertical="center"/>
    </xf>
    <xf numFmtId="0" fontId="13" fillId="0" borderId="0" xfId="42" applyNumberFormat="1" applyFont="1" applyAlignment="1">
      <alignment horizontal="center"/>
    </xf>
    <xf numFmtId="0" fontId="14" fillId="0" borderId="0" xfId="42" applyNumberFormat="1" applyFont="1" applyAlignment="1">
      <alignment horizontal="center" vertical="center"/>
    </xf>
    <xf numFmtId="1" fontId="13" fillId="0" borderId="0" xfId="42" applyNumberFormat="1" applyFont="1" applyAlignment="1">
      <alignment horizontal="center"/>
    </xf>
    <xf numFmtId="0" fontId="13" fillId="0" borderId="14" xfId="42" applyNumberFormat="1" applyFont="1" applyBorder="1" applyAlignment="1">
      <alignment horizontal="center"/>
    </xf>
    <xf numFmtId="0" fontId="13" fillId="0" borderId="1" xfId="42" applyNumberFormat="1" applyFont="1" applyBorder="1" applyAlignment="1">
      <alignment horizontal="left" vertical="center"/>
    </xf>
    <xf numFmtId="0" fontId="14" fillId="0" borderId="1" xfId="42" applyNumberFormat="1" applyFont="1" applyBorder="1" applyAlignment="1">
      <alignment horizontal="left" vertical="center"/>
    </xf>
    <xf numFmtId="0" fontId="21" fillId="0" borderId="1" xfId="42" applyNumberFormat="1" applyFont="1" applyBorder="1" applyAlignment="1">
      <alignment horizontal="left" vertical="center"/>
    </xf>
    <xf numFmtId="166" fontId="27" fillId="0" borderId="0" xfId="65"/>
    <xf numFmtId="166" fontId="28" fillId="0" borderId="0" xfId="65" applyFont="1"/>
    <xf numFmtId="166" fontId="29" fillId="0" borderId="0" xfId="65" applyFont="1"/>
    <xf numFmtId="4" fontId="30" fillId="0" borderId="4" xfId="65" applyNumberFormat="1" applyFont="1" applyBorder="1" applyAlignment="1">
      <alignment horizontal="right"/>
    </xf>
    <xf numFmtId="166" fontId="31" fillId="0" borderId="18" xfId="65" applyFont="1" applyBorder="1" applyAlignment="1">
      <alignment horizontal="center"/>
    </xf>
    <xf numFmtId="166" fontId="31" fillId="0" borderId="4" xfId="65" applyFont="1" applyBorder="1" applyAlignment="1">
      <alignment horizontal="center"/>
    </xf>
    <xf numFmtId="166" fontId="29" fillId="0" borderId="19" xfId="65" applyFont="1" applyBorder="1"/>
    <xf numFmtId="4" fontId="30" fillId="0" borderId="1" xfId="65" applyNumberFormat="1" applyFont="1" applyBorder="1" applyAlignment="1">
      <alignment horizontal="right"/>
    </xf>
    <xf numFmtId="165" fontId="31" fillId="0" borderId="0" xfId="65" applyNumberFormat="1" applyFont="1" applyAlignment="1">
      <alignment vertical="center"/>
    </xf>
    <xf numFmtId="166" fontId="31" fillId="0" borderId="1" xfId="65" applyFont="1" applyBorder="1" applyAlignment="1">
      <alignment horizontal="center"/>
    </xf>
    <xf numFmtId="166" fontId="31" fillId="0" borderId="0" xfId="65" applyFont="1" applyAlignment="1">
      <alignment horizontal="center"/>
    </xf>
    <xf numFmtId="0" fontId="14" fillId="0" borderId="0" xfId="66" applyFont="1" applyAlignment="1">
      <alignment horizontal="right"/>
    </xf>
    <xf numFmtId="166" fontId="31" fillId="0" borderId="0" xfId="65" applyFont="1"/>
    <xf numFmtId="166" fontId="30" fillId="0" borderId="0" xfId="65" applyFont="1"/>
    <xf numFmtId="2" fontId="30" fillId="0" borderId="1" xfId="55" applyNumberFormat="1" applyFont="1" applyBorder="1" applyAlignment="1">
      <alignment horizontal="left" vertical="center"/>
    </xf>
    <xf numFmtId="166" fontId="31" fillId="0" borderId="0" xfId="65" applyFont="1" applyAlignment="1">
      <alignment horizontal="right"/>
    </xf>
    <xf numFmtId="166" fontId="30" fillId="0" borderId="0" xfId="65" applyFont="1" applyAlignment="1">
      <alignment horizontal="right"/>
    </xf>
    <xf numFmtId="166" fontId="27" fillId="0" borderId="1" xfId="65" applyBorder="1"/>
    <xf numFmtId="2" fontId="29" fillId="0" borderId="0" xfId="65" applyNumberFormat="1" applyFont="1"/>
    <xf numFmtId="4" fontId="31" fillId="0" borderId="1" xfId="65" applyNumberFormat="1" applyFont="1" applyBorder="1" applyAlignment="1">
      <alignment horizontal="right"/>
    </xf>
    <xf numFmtId="165" fontId="30" fillId="0" borderId="1" xfId="65" applyNumberFormat="1" applyFont="1" applyBorder="1" applyAlignment="1">
      <alignment vertical="center"/>
    </xf>
    <xf numFmtId="165" fontId="31" fillId="0" borderId="1" xfId="65" applyNumberFormat="1" applyFont="1" applyBorder="1" applyAlignment="1">
      <alignment vertical="center"/>
    </xf>
    <xf numFmtId="4" fontId="31" fillId="0" borderId="0" xfId="65" applyNumberFormat="1" applyFont="1" applyAlignment="1">
      <alignment vertical="center"/>
    </xf>
    <xf numFmtId="4" fontId="31" fillId="0" borderId="1" xfId="65" applyNumberFormat="1" applyFont="1" applyBorder="1" applyAlignment="1">
      <alignment vertical="center"/>
    </xf>
    <xf numFmtId="166" fontId="31" fillId="0" borderId="0" xfId="65" applyFont="1" applyAlignment="1">
      <alignment horizontal="center" vertical="center"/>
    </xf>
    <xf numFmtId="166" fontId="31" fillId="0" borderId="1" xfId="65" applyFont="1" applyBorder="1" applyAlignment="1">
      <alignment horizontal="center" vertical="center"/>
    </xf>
    <xf numFmtId="166" fontId="31" fillId="0" borderId="0" xfId="65" applyFont="1" applyAlignment="1">
      <alignment horizontal="left" vertical="center" wrapText="1"/>
    </xf>
    <xf numFmtId="166" fontId="31" fillId="0" borderId="0" xfId="65" applyFont="1" applyAlignment="1">
      <alignment horizontal="right" vertical="center" wrapText="1"/>
    </xf>
    <xf numFmtId="4" fontId="31" fillId="0" borderId="0" xfId="65" applyNumberFormat="1" applyFont="1" applyAlignment="1">
      <alignment horizontal="right"/>
    </xf>
    <xf numFmtId="166" fontId="31" fillId="0" borderId="1" xfId="65" applyFont="1" applyBorder="1" applyAlignment="1">
      <alignment horizontal="right" vertical="center"/>
    </xf>
    <xf numFmtId="165" fontId="31" fillId="0" borderId="0" xfId="65" applyNumberFormat="1" applyFont="1" applyAlignment="1">
      <alignment horizontal="center" vertical="center"/>
    </xf>
    <xf numFmtId="2" fontId="32" fillId="0" borderId="1" xfId="55" applyNumberFormat="1" applyFont="1" applyBorder="1" applyAlignment="1">
      <alignment horizontal="left" vertical="center"/>
    </xf>
    <xf numFmtId="166" fontId="14" fillId="0" borderId="1" xfId="65" applyFont="1" applyBorder="1"/>
    <xf numFmtId="4" fontId="31" fillId="0" borderId="3" xfId="65" applyNumberFormat="1" applyFont="1" applyBorder="1" applyAlignment="1">
      <alignment horizontal="center" wrapText="1"/>
    </xf>
    <xf numFmtId="4" fontId="31" fillId="0" borderId="0" xfId="65" applyNumberFormat="1" applyFont="1" applyAlignment="1">
      <alignment horizontal="center"/>
    </xf>
    <xf numFmtId="4" fontId="31" fillId="0" borderId="0" xfId="65" applyNumberFormat="1" applyFont="1"/>
    <xf numFmtId="174" fontId="31" fillId="0" borderId="0" xfId="65" applyNumberFormat="1" applyFont="1" applyAlignment="1">
      <alignment horizontal="right"/>
    </xf>
    <xf numFmtId="2" fontId="30" fillId="0" borderId="1" xfId="65" applyNumberFormat="1" applyFont="1" applyBorder="1" applyAlignment="1">
      <alignment horizontal="right"/>
    </xf>
    <xf numFmtId="4" fontId="31" fillId="0" borderId="3" xfId="65" applyNumberFormat="1" applyFont="1" applyBorder="1" applyAlignment="1">
      <alignment wrapText="1"/>
    </xf>
    <xf numFmtId="4" fontId="31" fillId="0" borderId="1" xfId="65" applyNumberFormat="1" applyFont="1" applyBorder="1" applyAlignment="1">
      <alignment horizontal="center"/>
    </xf>
    <xf numFmtId="4" fontId="30" fillId="0" borderId="3" xfId="65" applyNumberFormat="1" applyFont="1" applyBorder="1" applyAlignment="1">
      <alignment horizontal="center"/>
    </xf>
    <xf numFmtId="4" fontId="30" fillId="0" borderId="1" xfId="65" applyNumberFormat="1" applyFont="1" applyBorder="1" applyAlignment="1">
      <alignment horizontal="center"/>
    </xf>
    <xf numFmtId="4" fontId="33" fillId="0" borderId="0" xfId="65" applyNumberFormat="1" applyFont="1" applyAlignment="1">
      <alignment horizontal="right"/>
    </xf>
    <xf numFmtId="4" fontId="33" fillId="0" borderId="14" xfId="65" applyNumberFormat="1" applyFont="1" applyBorder="1" applyAlignment="1">
      <alignment horizontal="right"/>
    </xf>
    <xf numFmtId="4" fontId="31" fillId="0" borderId="0" xfId="65" applyNumberFormat="1" applyFont="1" applyAlignment="1">
      <alignment horizontal="right" vertical="center" wrapText="1"/>
    </xf>
    <xf numFmtId="4" fontId="31" fillId="0" borderId="0" xfId="65" applyNumberFormat="1" applyFont="1" applyAlignment="1">
      <alignment vertical="top" wrapText="1"/>
    </xf>
    <xf numFmtId="4" fontId="30" fillId="0" borderId="1" xfId="65" applyNumberFormat="1" applyFont="1" applyBorder="1"/>
    <xf numFmtId="4" fontId="31" fillId="0" borderId="0" xfId="65" applyNumberFormat="1" applyFont="1" applyAlignment="1">
      <alignment horizontal="center" vertical="top" wrapText="1"/>
    </xf>
    <xf numFmtId="166" fontId="31" fillId="0" borderId="14" xfId="65" applyFont="1" applyBorder="1" applyAlignment="1">
      <alignment horizontal="center" vertical="center"/>
    </xf>
    <xf numFmtId="166" fontId="31" fillId="0" borderId="1" xfId="65" applyFont="1" applyBorder="1" applyAlignment="1">
      <alignment horizontal="right"/>
    </xf>
    <xf numFmtId="4" fontId="33" fillId="0" borderId="1" xfId="65" applyNumberFormat="1" applyFont="1" applyBorder="1" applyAlignment="1">
      <alignment horizontal="right"/>
    </xf>
    <xf numFmtId="4" fontId="31" fillId="6" borderId="0" xfId="65" applyNumberFormat="1" applyFont="1" applyFill="1" applyAlignment="1">
      <alignment horizontal="right"/>
    </xf>
    <xf numFmtId="4" fontId="31" fillId="0" borderId="14" xfId="65" applyNumberFormat="1" applyFont="1" applyBorder="1" applyAlignment="1">
      <alignment horizontal="right"/>
    </xf>
    <xf numFmtId="4" fontId="14" fillId="0" borderId="1" xfId="42" applyNumberFormat="1" applyFont="1" applyBorder="1" applyAlignment="1">
      <alignment horizontal="center" vertical="center"/>
    </xf>
    <xf numFmtId="4" fontId="14" fillId="0" borderId="0" xfId="42" applyNumberFormat="1" applyFont="1" applyAlignment="1">
      <alignment horizontal="center" vertical="center"/>
    </xf>
    <xf numFmtId="3" fontId="14" fillId="0" borderId="1" xfId="42" applyNumberFormat="1" applyFont="1" applyBorder="1" applyAlignment="1">
      <alignment horizontal="center" vertical="center"/>
    </xf>
    <xf numFmtId="166" fontId="14" fillId="0" borderId="0" xfId="42" applyFont="1" applyAlignment="1">
      <alignment horizontal="center" vertical="center"/>
    </xf>
    <xf numFmtId="4" fontId="14" fillId="0" borderId="1" xfId="42" applyNumberFormat="1" applyFont="1" applyBorder="1" applyAlignment="1">
      <alignment horizontal="right"/>
    </xf>
    <xf numFmtId="166" fontId="14" fillId="0" borderId="0" xfId="65" applyFont="1"/>
    <xf numFmtId="4" fontId="31" fillId="0" borderId="1" xfId="65" applyNumberFormat="1" applyFont="1" applyBorder="1"/>
    <xf numFmtId="166" fontId="34" fillId="0" borderId="1" xfId="65" applyFont="1" applyBorder="1"/>
    <xf numFmtId="166" fontId="34" fillId="0" borderId="0" xfId="65" applyFont="1"/>
    <xf numFmtId="166" fontId="35" fillId="0" borderId="0" xfId="65" applyFont="1"/>
    <xf numFmtId="49" fontId="36" fillId="0" borderId="1" xfId="55" applyNumberFormat="1" applyFont="1" applyBorder="1" applyAlignment="1">
      <alignment horizontal="left" vertical="center"/>
    </xf>
    <xf numFmtId="49" fontId="36" fillId="0" borderId="0" xfId="55" applyNumberFormat="1" applyFont="1" applyAlignment="1">
      <alignment horizontal="left" vertical="center"/>
    </xf>
    <xf numFmtId="166" fontId="25" fillId="8" borderId="20" xfId="65" applyFont="1" applyFill="1" applyBorder="1" applyAlignment="1">
      <alignment horizontal="center" vertical="center"/>
    </xf>
    <xf numFmtId="166" fontId="25" fillId="8" borderId="21" xfId="65" applyFont="1" applyFill="1" applyBorder="1" applyAlignment="1">
      <alignment horizontal="center" vertical="center" wrapText="1"/>
    </xf>
    <xf numFmtId="166" fontId="25" fillId="8" borderId="21" xfId="65" applyFont="1" applyFill="1" applyBorder="1" applyAlignment="1">
      <alignment horizontal="center" vertical="center"/>
    </xf>
    <xf numFmtId="171" fontId="25" fillId="8" borderId="22" xfId="65" applyNumberFormat="1" applyFont="1" applyFill="1" applyBorder="1" applyAlignment="1">
      <alignment horizontal="center" vertical="center"/>
    </xf>
    <xf numFmtId="166" fontId="35" fillId="0" borderId="0" xfId="65" applyFont="1" applyAlignment="1">
      <alignment horizontal="center"/>
    </xf>
    <xf numFmtId="166" fontId="29" fillId="0" borderId="0" xfId="65" applyFont="1" applyAlignment="1">
      <alignment horizontal="left"/>
    </xf>
    <xf numFmtId="49" fontId="35" fillId="0" borderId="0" xfId="65" applyNumberFormat="1" applyFont="1"/>
    <xf numFmtId="4" fontId="29" fillId="0" borderId="0" xfId="65" applyNumberFormat="1" applyFont="1" applyAlignment="1">
      <alignment horizontal="right"/>
    </xf>
    <xf numFmtId="49" fontId="38" fillId="0" borderId="0" xfId="65" applyNumberFormat="1" applyFont="1" applyAlignment="1">
      <alignment horizontal="left"/>
    </xf>
    <xf numFmtId="166" fontId="38" fillId="0" borderId="0" xfId="65" applyFont="1" applyAlignment="1">
      <alignment horizontal="left"/>
    </xf>
    <xf numFmtId="49" fontId="39" fillId="0" borderId="0" xfId="65" applyNumberFormat="1" applyFont="1"/>
    <xf numFmtId="166" fontId="35" fillId="0" borderId="0" xfId="65" applyFont="1" applyAlignment="1">
      <alignment wrapText="1"/>
    </xf>
    <xf numFmtId="49" fontId="38" fillId="0" borderId="0" xfId="65" applyNumberFormat="1" applyFont="1" applyAlignment="1">
      <alignment vertical="center"/>
    </xf>
    <xf numFmtId="4" fontId="39" fillId="0" borderId="0" xfId="65" applyNumberFormat="1" applyFont="1" applyAlignment="1">
      <alignment horizontal="right"/>
    </xf>
    <xf numFmtId="166" fontId="39" fillId="0" borderId="0" xfId="65" applyFont="1" applyAlignment="1">
      <alignment horizontal="center"/>
    </xf>
    <xf numFmtId="166" fontId="39" fillId="0" borderId="0" xfId="65" applyFont="1"/>
    <xf numFmtId="0" fontId="2" fillId="0" borderId="0" xfId="67"/>
    <xf numFmtId="0" fontId="42" fillId="9" borderId="6" xfId="68" applyFont="1" applyFill="1" applyBorder="1" applyAlignment="1">
      <alignment horizontal="center"/>
    </xf>
    <xf numFmtId="0" fontId="42" fillId="9" borderId="4" xfId="68" applyFont="1" applyFill="1" applyBorder="1" applyAlignment="1">
      <alignment horizontal="center"/>
    </xf>
    <xf numFmtId="2" fontId="42" fillId="9" borderId="6" xfId="68" applyNumberFormat="1" applyFont="1" applyFill="1" applyBorder="1" applyAlignment="1">
      <alignment horizontal="center"/>
    </xf>
    <xf numFmtId="0" fontId="42" fillId="9" borderId="23" xfId="68" applyFont="1" applyFill="1" applyBorder="1" applyAlignment="1">
      <alignment horizontal="center"/>
    </xf>
    <xf numFmtId="0" fontId="42" fillId="9" borderId="24" xfId="68" applyFont="1" applyFill="1" applyBorder="1" applyAlignment="1">
      <alignment horizontal="center"/>
    </xf>
    <xf numFmtId="0" fontId="42" fillId="9" borderId="2" xfId="68" applyFont="1" applyFill="1" applyBorder="1"/>
    <xf numFmtId="0" fontId="42" fillId="9" borderId="25" xfId="68" applyFont="1" applyFill="1" applyBorder="1"/>
    <xf numFmtId="0" fontId="42" fillId="9" borderId="26" xfId="68" applyFont="1" applyFill="1" applyBorder="1"/>
    <xf numFmtId="0" fontId="42" fillId="9" borderId="4" xfId="68" applyFont="1" applyFill="1" applyBorder="1"/>
    <xf numFmtId="0" fontId="6" fillId="9" borderId="27" xfId="40" applyFont="1" applyFill="1" applyBorder="1"/>
    <xf numFmtId="0" fontId="6" fillId="9" borderId="18" xfId="40" applyFont="1" applyFill="1" applyBorder="1"/>
    <xf numFmtId="2" fontId="6" fillId="9" borderId="18" xfId="40" applyNumberFormat="1" applyFont="1" applyFill="1" applyBorder="1"/>
    <xf numFmtId="0" fontId="6" fillId="9" borderId="18" xfId="40" applyFont="1" applyFill="1" applyBorder="1" applyAlignment="1">
      <alignment vertical="top"/>
    </xf>
    <xf numFmtId="0" fontId="6" fillId="9" borderId="19" xfId="40" applyFont="1" applyFill="1" applyBorder="1"/>
    <xf numFmtId="0" fontId="43" fillId="9" borderId="28" xfId="40" applyFont="1" applyFill="1" applyBorder="1" applyAlignment="1">
      <alignment horizontal="center"/>
    </xf>
    <xf numFmtId="0" fontId="42" fillId="9" borderId="29" xfId="68" applyFont="1" applyFill="1" applyBorder="1"/>
    <xf numFmtId="0" fontId="42" fillId="9" borderId="1" xfId="68" applyFont="1" applyFill="1" applyBorder="1"/>
    <xf numFmtId="0" fontId="42" fillId="9" borderId="0" xfId="68" applyFont="1" applyFill="1"/>
    <xf numFmtId="2" fontId="6" fillId="9" borderId="0" xfId="40" applyNumberFormat="1" applyFont="1" applyFill="1" applyAlignment="1">
      <alignment horizontal="left" indent="1"/>
    </xf>
    <xf numFmtId="2" fontId="6" fillId="9" borderId="0" xfId="40" applyNumberFormat="1" applyFont="1" applyFill="1" applyAlignment="1">
      <alignment horizontal="left"/>
    </xf>
    <xf numFmtId="2" fontId="6" fillId="9" borderId="0" xfId="40" applyNumberFormat="1" applyFont="1" applyFill="1"/>
    <xf numFmtId="2" fontId="6" fillId="9" borderId="0" xfId="40" applyNumberFormat="1" applyFont="1" applyFill="1" applyAlignment="1">
      <alignment horizontal="center"/>
    </xf>
    <xf numFmtId="2" fontId="6" fillId="9" borderId="3" xfId="40" applyNumberFormat="1" applyFont="1" applyFill="1" applyBorder="1"/>
    <xf numFmtId="0" fontId="43" fillId="9" borderId="30" xfId="40" applyFont="1" applyFill="1" applyBorder="1" applyAlignment="1">
      <alignment horizontal="center"/>
    </xf>
    <xf numFmtId="0" fontId="42" fillId="9" borderId="1" xfId="68" applyFont="1" applyFill="1" applyBorder="1" applyAlignment="1">
      <alignment horizontal="center"/>
    </xf>
    <xf numFmtId="12" fontId="42" fillId="9" borderId="1" xfId="68" applyNumberFormat="1" applyFont="1" applyFill="1" applyBorder="1" applyAlignment="1">
      <alignment horizontal="center"/>
    </xf>
    <xf numFmtId="0" fontId="6" fillId="9" borderId="14" xfId="40" applyFont="1" applyFill="1" applyBorder="1"/>
    <xf numFmtId="0" fontId="6" fillId="9" borderId="3" xfId="40" applyFont="1" applyFill="1" applyBorder="1"/>
    <xf numFmtId="0" fontId="6" fillId="9" borderId="0" xfId="40" applyFont="1" applyFill="1" applyAlignment="1">
      <alignment horizontal="left"/>
    </xf>
    <xf numFmtId="2" fontId="6" fillId="9" borderId="0" xfId="40" applyNumberFormat="1" applyFont="1" applyFill="1" applyAlignment="1">
      <alignment horizontal="right"/>
    </xf>
    <xf numFmtId="0" fontId="6" fillId="9" borderId="0" xfId="40" applyFont="1" applyFill="1" applyAlignment="1">
      <alignment horizontal="center"/>
    </xf>
    <xf numFmtId="12" fontId="44" fillId="8" borderId="24" xfId="40" applyNumberFormat="1" applyFont="1" applyFill="1" applyBorder="1" applyAlignment="1">
      <alignment horizontal="center"/>
    </xf>
    <xf numFmtId="12" fontId="44" fillId="8" borderId="31" xfId="40" applyNumberFormat="1" applyFont="1" applyFill="1" applyBorder="1" applyAlignment="1">
      <alignment horizontal="center"/>
    </xf>
    <xf numFmtId="2" fontId="6" fillId="9" borderId="14" xfId="40" applyNumberFormat="1" applyFont="1" applyFill="1" applyBorder="1" applyAlignment="1">
      <alignment horizontal="left" indent="1"/>
    </xf>
    <xf numFmtId="2" fontId="6" fillId="9" borderId="18" xfId="40" applyNumberFormat="1" applyFont="1" applyFill="1" applyBorder="1" applyAlignment="1">
      <alignment horizontal="left"/>
    </xf>
    <xf numFmtId="2" fontId="42" fillId="9" borderId="1" xfId="68" applyNumberFormat="1" applyFont="1" applyFill="1" applyBorder="1" applyAlignment="1">
      <alignment horizontal="center"/>
    </xf>
    <xf numFmtId="0" fontId="6" fillId="0" borderId="0" xfId="56">
      <alignment vertical="center"/>
    </xf>
    <xf numFmtId="0" fontId="6" fillId="0" borderId="0" xfId="56" applyAlignment="1">
      <alignment horizontal="left" vertical="center"/>
    </xf>
    <xf numFmtId="0" fontId="48" fillId="0" borderId="0" xfId="56" applyFont="1">
      <alignment vertical="center"/>
    </xf>
    <xf numFmtId="0" fontId="14" fillId="0" borderId="0" xfId="55" applyFont="1" applyAlignment="1">
      <alignment horizontal="center" vertical="center"/>
    </xf>
    <xf numFmtId="0" fontId="14" fillId="0" borderId="0" xfId="55" applyFont="1"/>
    <xf numFmtId="0" fontId="14" fillId="0" borderId="0" xfId="55" applyFont="1" applyAlignment="1">
      <alignment horizontal="left" vertical="center" indent="1"/>
    </xf>
    <xf numFmtId="2" fontId="14" fillId="0" borderId="23" xfId="42" applyNumberFormat="1" applyFont="1" applyBorder="1" applyAlignment="1">
      <alignment horizontal="center" vertical="center" wrapText="1"/>
    </xf>
    <xf numFmtId="2" fontId="14" fillId="0" borderId="24" xfId="42" applyNumberFormat="1" applyFont="1" applyBorder="1" applyAlignment="1">
      <alignment horizontal="center" vertical="center" wrapText="1"/>
    </xf>
    <xf numFmtId="2" fontId="14" fillId="0" borderId="24" xfId="42" applyNumberFormat="1" applyFont="1" applyBorder="1" applyAlignment="1">
      <alignment horizontal="left" vertical="center" wrapText="1"/>
    </xf>
    <xf numFmtId="0" fontId="14" fillId="0" borderId="24" xfId="42" applyNumberFormat="1" applyFont="1" applyBorder="1" applyAlignment="1">
      <alignment horizontal="center" vertical="center" wrapText="1"/>
    </xf>
    <xf numFmtId="0" fontId="14" fillId="0" borderId="24" xfId="42" applyNumberFormat="1" applyFont="1" applyBorder="1" applyAlignment="1">
      <alignment horizontal="left" vertical="center" wrapText="1"/>
    </xf>
    <xf numFmtId="0" fontId="14" fillId="0" borderId="31" xfId="42" applyNumberFormat="1" applyFont="1" applyBorder="1" applyAlignment="1">
      <alignment horizontal="left" vertical="center" wrapText="1"/>
    </xf>
    <xf numFmtId="2" fontId="14" fillId="3" borderId="29" xfId="56" applyNumberFormat="1" applyFont="1" applyFill="1" applyBorder="1" applyAlignment="1" applyProtection="1">
      <alignment horizontal="center" vertical="center"/>
      <protection locked="0"/>
    </xf>
    <xf numFmtId="2" fontId="14" fillId="3" borderId="1" xfId="56" applyNumberFormat="1" applyFont="1" applyFill="1" applyBorder="1" applyAlignment="1" applyProtection="1">
      <alignment horizontal="center" vertical="center"/>
      <protection locked="0"/>
    </xf>
    <xf numFmtId="2" fontId="14" fillId="0" borderId="1" xfId="42" applyNumberFormat="1" applyFont="1" applyBorder="1" applyAlignment="1">
      <alignment horizontal="center" vertical="center"/>
    </xf>
    <xf numFmtId="0" fontId="14" fillId="0" borderId="1" xfId="42" applyNumberFormat="1" applyFont="1" applyBorder="1" applyAlignment="1">
      <alignment horizontal="center" vertical="center"/>
    </xf>
    <xf numFmtId="0" fontId="14" fillId="0" borderId="1" xfId="42" applyNumberFormat="1" applyFont="1" applyBorder="1" applyAlignment="1">
      <alignment horizontal="left" vertical="center" wrapText="1"/>
    </xf>
    <xf numFmtId="0" fontId="14" fillId="0" borderId="34" xfId="42" applyNumberFormat="1" applyFont="1" applyBorder="1" applyAlignment="1">
      <alignment horizontal="left" vertical="center" wrapText="1"/>
    </xf>
    <xf numFmtId="2" fontId="14" fillId="3" borderId="29" xfId="55" applyNumberFormat="1" applyFont="1" applyFill="1" applyBorder="1" applyAlignment="1">
      <alignment horizontal="center" vertical="center"/>
    </xf>
    <xf numFmtId="2" fontId="14" fillId="3" borderId="1" xfId="55" applyNumberFormat="1" applyFont="1" applyFill="1" applyBorder="1" applyAlignment="1">
      <alignment horizontal="center" vertical="center"/>
    </xf>
    <xf numFmtId="0" fontId="14" fillId="3" borderId="1" xfId="55" applyFont="1" applyFill="1" applyBorder="1" applyAlignment="1">
      <alignment horizontal="center" vertical="center"/>
    </xf>
    <xf numFmtId="0" fontId="13" fillId="3" borderId="1" xfId="55" applyFont="1" applyFill="1" applyBorder="1" applyAlignment="1">
      <alignment horizontal="left"/>
    </xf>
    <xf numFmtId="0" fontId="13" fillId="3" borderId="34" xfId="42" applyNumberFormat="1" applyFont="1" applyFill="1" applyBorder="1" applyAlignment="1">
      <alignment horizontal="left" vertical="center"/>
    </xf>
    <xf numFmtId="2" fontId="14" fillId="0" borderId="1" xfId="68" applyNumberFormat="1" applyFont="1" applyBorder="1" applyAlignment="1" applyProtection="1">
      <alignment horizontal="center" vertical="center"/>
      <protection locked="0"/>
    </xf>
    <xf numFmtId="0" fontId="13" fillId="0" borderId="1" xfId="55" applyFont="1" applyBorder="1" applyAlignment="1">
      <alignment horizontal="left"/>
    </xf>
    <xf numFmtId="2" fontId="14" fillId="0" borderId="1" xfId="42" applyNumberFormat="1" applyFont="1" applyBorder="1" applyAlignment="1">
      <alignment horizontal="center" vertical="center" wrapText="1"/>
    </xf>
    <xf numFmtId="2" fontId="14" fillId="0" borderId="29" xfId="42" applyNumberFormat="1" applyFont="1" applyBorder="1" applyAlignment="1">
      <alignment horizontal="center" vertical="center" wrapText="1"/>
    </xf>
    <xf numFmtId="2" fontId="14" fillId="0" borderId="1" xfId="55" applyNumberFormat="1" applyFont="1" applyBorder="1" applyAlignment="1">
      <alignment horizontal="center" vertical="center"/>
    </xf>
    <xf numFmtId="0" fontId="14" fillId="0" borderId="1" xfId="55" applyFont="1" applyBorder="1" applyAlignment="1">
      <alignment horizontal="center" vertical="center"/>
    </xf>
    <xf numFmtId="0" fontId="14" fillId="0" borderId="1" xfId="42" applyNumberFormat="1" applyFont="1" applyBorder="1" applyAlignment="1">
      <alignment horizontal="center" vertical="center" wrapText="1"/>
    </xf>
    <xf numFmtId="0" fontId="14" fillId="0" borderId="1" xfId="55" applyFont="1" applyBorder="1" applyAlignment="1">
      <alignment horizontal="left"/>
    </xf>
    <xf numFmtId="0" fontId="49" fillId="0" borderId="0" xfId="42" applyNumberFormat="1" applyFont="1" applyAlignment="1">
      <alignment horizontal="left" vertical="center" wrapText="1"/>
    </xf>
    <xf numFmtId="0" fontId="14" fillId="0" borderId="34" xfId="42" applyNumberFormat="1" applyFont="1" applyBorder="1" applyAlignment="1">
      <alignment horizontal="left" vertical="top" wrapText="1"/>
    </xf>
    <xf numFmtId="0" fontId="14" fillId="0" borderId="1" xfId="42" applyNumberFormat="1" applyFont="1" applyBorder="1" applyAlignment="1">
      <alignment horizontal="right" vertical="top" wrapText="1"/>
    </xf>
    <xf numFmtId="2" fontId="14" fillId="0" borderId="1" xfId="42" applyNumberFormat="1" applyFont="1" applyBorder="1" applyAlignment="1">
      <alignment horizontal="left" vertical="center" wrapText="1"/>
    </xf>
    <xf numFmtId="0" fontId="14" fillId="0" borderId="1" xfId="42" applyNumberFormat="1" applyFont="1" applyBorder="1" applyAlignment="1">
      <alignment horizontal="left" vertical="top" wrapText="1"/>
    </xf>
    <xf numFmtId="0" fontId="49" fillId="0" borderId="35" xfId="42" applyNumberFormat="1" applyFont="1" applyBorder="1" applyAlignment="1">
      <alignment horizontal="left" vertical="center" wrapText="1"/>
    </xf>
    <xf numFmtId="176" fontId="48" fillId="0" borderId="0" xfId="56" applyNumberFormat="1" applyFont="1">
      <alignment vertical="center"/>
    </xf>
    <xf numFmtId="2" fontId="14" fillId="0" borderId="29" xfId="55" applyNumberFormat="1" applyFont="1" applyBorder="1" applyAlignment="1">
      <alignment horizontal="center" vertical="center"/>
    </xf>
    <xf numFmtId="0" fontId="14" fillId="0" borderId="34" xfId="55" applyFont="1" applyBorder="1" applyAlignment="1">
      <alignment horizontal="left" vertical="center"/>
    </xf>
    <xf numFmtId="0" fontId="14" fillId="0" borderId="34" xfId="42" applyNumberFormat="1" applyFont="1" applyBorder="1" applyAlignment="1">
      <alignment horizontal="left" vertical="center"/>
    </xf>
    <xf numFmtId="0" fontId="49" fillId="0" borderId="34" xfId="42" applyNumberFormat="1" applyFont="1" applyBorder="1" applyAlignment="1">
      <alignment horizontal="left" vertical="center"/>
    </xf>
    <xf numFmtId="2" fontId="50" fillId="3" borderId="29" xfId="55" applyNumberFormat="1" applyFont="1" applyFill="1" applyBorder="1" applyAlignment="1">
      <alignment horizontal="center" vertical="center"/>
    </xf>
    <xf numFmtId="2" fontId="50" fillId="3" borderId="1" xfId="55" applyNumberFormat="1" applyFont="1" applyFill="1" applyBorder="1" applyAlignment="1">
      <alignment horizontal="center" vertical="center"/>
    </xf>
    <xf numFmtId="0" fontId="50" fillId="3" borderId="1" xfId="55" applyFont="1" applyFill="1" applyBorder="1" applyAlignment="1">
      <alignment horizontal="center" vertical="center"/>
    </xf>
    <xf numFmtId="0" fontId="51" fillId="3" borderId="1" xfId="55" applyFont="1" applyFill="1" applyBorder="1" applyAlignment="1">
      <alignment horizontal="center" vertical="center"/>
    </xf>
    <xf numFmtId="0" fontId="51" fillId="3" borderId="1" xfId="55" applyFont="1" applyFill="1" applyBorder="1" applyAlignment="1">
      <alignment horizontal="left"/>
    </xf>
    <xf numFmtId="0" fontId="51" fillId="3" borderId="34" xfId="55" applyFont="1" applyFill="1" applyBorder="1" applyAlignment="1">
      <alignment horizontal="left" vertical="center"/>
    </xf>
    <xf numFmtId="0" fontId="52" fillId="8" borderId="36" xfId="55" applyFont="1" applyFill="1" applyBorder="1" applyAlignment="1">
      <alignment horizontal="center" vertical="center"/>
    </xf>
    <xf numFmtId="0" fontId="52" fillId="8" borderId="17" xfId="55" applyFont="1" applyFill="1" applyBorder="1" applyAlignment="1">
      <alignment horizontal="center" vertical="center"/>
    </xf>
    <xf numFmtId="0" fontId="52" fillId="8" borderId="17" xfId="55" applyFont="1" applyFill="1" applyBorder="1" applyAlignment="1">
      <alignment horizontal="center"/>
    </xf>
    <xf numFmtId="0" fontId="52" fillId="8" borderId="37" xfId="55" applyFont="1" applyFill="1" applyBorder="1" applyAlignment="1">
      <alignment horizontal="center" vertical="center"/>
    </xf>
    <xf numFmtId="0" fontId="53" fillId="0" borderId="33" xfId="42" applyNumberFormat="1" applyFont="1" applyBorder="1" applyAlignment="1">
      <alignment horizontal="center"/>
    </xf>
    <xf numFmtId="0" fontId="54" fillId="0" borderId="0" xfId="42" applyNumberFormat="1" applyFont="1" applyAlignment="1">
      <alignment horizontal="center"/>
    </xf>
    <xf numFmtId="0" fontId="53" fillId="0" borderId="0" xfId="42" applyNumberFormat="1" applyFont="1" applyAlignment="1">
      <alignment horizontal="center"/>
    </xf>
    <xf numFmtId="0" fontId="53" fillId="0" borderId="30" xfId="55" applyFont="1" applyBorder="1" applyAlignment="1">
      <alignment horizontal="left" vertical="center"/>
    </xf>
    <xf numFmtId="0" fontId="55" fillId="0" borderId="32" xfId="56" applyFont="1" applyBorder="1">
      <alignment vertical="center"/>
    </xf>
    <xf numFmtId="2" fontId="55" fillId="0" borderId="2" xfId="56" applyNumberFormat="1" applyFont="1" applyBorder="1" applyAlignment="1">
      <alignment horizontal="center" vertical="center"/>
    </xf>
    <xf numFmtId="0" fontId="55" fillId="0" borderId="25" xfId="56" applyFont="1" applyBorder="1">
      <alignment vertical="center"/>
    </xf>
    <xf numFmtId="0" fontId="55" fillId="0" borderId="33" xfId="56" applyFont="1" applyBorder="1">
      <alignment vertical="center"/>
    </xf>
    <xf numFmtId="2" fontId="56" fillId="0" borderId="0" xfId="56" applyNumberFormat="1" applyFont="1" applyAlignment="1">
      <alignment horizontal="center" vertical="center"/>
    </xf>
    <xf numFmtId="0" fontId="55" fillId="0" borderId="30" xfId="56" applyFont="1" applyBorder="1">
      <alignment vertical="center"/>
    </xf>
    <xf numFmtId="0" fontId="55" fillId="0" borderId="38" xfId="56" applyFont="1" applyBorder="1">
      <alignment vertical="center"/>
    </xf>
    <xf numFmtId="0" fontId="55" fillId="0" borderId="39" xfId="56" applyFont="1" applyBorder="1" applyAlignment="1">
      <alignment horizontal="center" vertical="center"/>
    </xf>
    <xf numFmtId="0" fontId="55" fillId="0" borderId="40" xfId="56" applyFont="1" applyBorder="1">
      <alignment vertical="center"/>
    </xf>
    <xf numFmtId="0" fontId="58" fillId="0" borderId="0" xfId="70" applyFont="1"/>
    <xf numFmtId="4" fontId="58" fillId="0" borderId="0" xfId="70" applyNumberFormat="1" applyFont="1"/>
    <xf numFmtId="2" fontId="58" fillId="0" borderId="0" xfId="70" applyNumberFormat="1" applyFont="1"/>
    <xf numFmtId="0" fontId="58" fillId="0" borderId="0" xfId="70" applyFont="1" applyAlignment="1">
      <alignment horizontal="center"/>
    </xf>
    <xf numFmtId="0" fontId="14" fillId="0" borderId="0" xfId="70" applyFont="1" applyAlignment="1">
      <alignment horizontal="left"/>
    </xf>
    <xf numFmtId="4" fontId="13" fillId="0" borderId="4" xfId="38" applyNumberFormat="1" applyFont="1" applyBorder="1" applyAlignment="1">
      <alignment horizontal="center" vertical="center"/>
    </xf>
    <xf numFmtId="4" fontId="14" fillId="0" borderId="4" xfId="55" applyNumberFormat="1" applyFont="1" applyBorder="1" applyAlignment="1">
      <alignment horizontal="center" vertical="center"/>
    </xf>
    <xf numFmtId="4" fontId="14" fillId="0" borderId="4" xfId="38" applyNumberFormat="1" applyFont="1" applyBorder="1" applyAlignment="1">
      <alignment horizontal="center" vertical="center"/>
    </xf>
    <xf numFmtId="2" fontId="14" fillId="0" borderId="4" xfId="38" applyNumberFormat="1" applyFont="1" applyBorder="1" applyAlignment="1">
      <alignment horizontal="center" vertical="center"/>
    </xf>
    <xf numFmtId="166" fontId="14" fillId="0" borderId="4" xfId="42" applyFont="1" applyBorder="1" applyAlignment="1">
      <alignment horizontal="center" vertical="center"/>
    </xf>
    <xf numFmtId="0" fontId="58" fillId="0" borderId="18" xfId="70" applyFont="1" applyBorder="1"/>
    <xf numFmtId="2" fontId="13" fillId="0" borderId="4" xfId="55" applyNumberFormat="1" applyFont="1" applyBorder="1" applyAlignment="1">
      <alignment horizontal="left" vertical="center" indent="1"/>
    </xf>
    <xf numFmtId="4" fontId="13" fillId="0" borderId="1" xfId="38" applyNumberFormat="1" applyFont="1" applyBorder="1" applyAlignment="1">
      <alignment horizontal="center" vertical="center"/>
    </xf>
    <xf numFmtId="4" fontId="14" fillId="0" borderId="1" xfId="55" applyNumberFormat="1" applyFont="1" applyBorder="1" applyAlignment="1">
      <alignment horizontal="center" vertical="center"/>
    </xf>
    <xf numFmtId="4" fontId="14" fillId="0" borderId="1" xfId="38" applyNumberFormat="1" applyFont="1" applyBorder="1" applyAlignment="1">
      <alignment horizontal="center" vertical="center"/>
    </xf>
    <xf numFmtId="2" fontId="14" fillId="0" borderId="1" xfId="38" applyNumberFormat="1" applyFont="1" applyBorder="1" applyAlignment="1">
      <alignment horizontal="center" vertical="center"/>
    </xf>
    <xf numFmtId="2" fontId="13" fillId="0" borderId="1" xfId="55" applyNumberFormat="1" applyFont="1" applyBorder="1" applyAlignment="1">
      <alignment horizontal="left" vertical="center" indent="1"/>
    </xf>
    <xf numFmtId="0" fontId="14" fillId="0" borderId="1" xfId="38" applyFont="1" applyBorder="1" applyAlignment="1">
      <alignment horizontal="left" wrapText="1" indent="5"/>
    </xf>
    <xf numFmtId="2" fontId="14" fillId="0" borderId="1" xfId="42" applyNumberFormat="1" applyFont="1" applyBorder="1" applyAlignment="1">
      <alignment horizontal="left" indent="1"/>
    </xf>
    <xf numFmtId="4" fontId="13" fillId="0" borderId="1" xfId="55" applyNumberFormat="1" applyFont="1" applyBorder="1" applyAlignment="1">
      <alignment horizontal="left" vertical="center" indent="3"/>
    </xf>
    <xf numFmtId="2" fontId="14" fillId="0" borderId="1" xfId="55" applyNumberFormat="1" applyFont="1" applyBorder="1" applyAlignment="1">
      <alignment horizontal="left" vertical="center" indent="1"/>
    </xf>
    <xf numFmtId="0" fontId="14" fillId="0" borderId="1" xfId="38" applyFont="1" applyBorder="1" applyAlignment="1">
      <alignment horizontal="right" wrapText="1" indent="5"/>
    </xf>
    <xf numFmtId="176" fontId="14" fillId="0" borderId="0" xfId="68" applyNumberFormat="1" applyFont="1" applyAlignment="1">
      <alignment horizontal="center" vertical="center"/>
    </xf>
    <xf numFmtId="0" fontId="14" fillId="0" borderId="1" xfId="38" applyFont="1" applyBorder="1" applyAlignment="1">
      <alignment horizontal="left" vertical="center" wrapText="1" indent="4"/>
    </xf>
    <xf numFmtId="4" fontId="59" fillId="0" borderId="0" xfId="68" applyNumberFormat="1" applyFont="1" applyAlignment="1">
      <alignment vertical="center"/>
    </xf>
    <xf numFmtId="4" fontId="60" fillId="0" borderId="1" xfId="68" applyNumberFormat="1" applyFont="1" applyBorder="1" applyAlignment="1">
      <alignment vertical="center"/>
    </xf>
    <xf numFmtId="4" fontId="60" fillId="0" borderId="0" xfId="68" applyNumberFormat="1" applyFont="1" applyAlignment="1">
      <alignment vertical="center"/>
    </xf>
    <xf numFmtId="0" fontId="14" fillId="0" borderId="1" xfId="38" applyFont="1" applyBorder="1" applyAlignment="1">
      <alignment horizontal="center" vertical="center"/>
    </xf>
    <xf numFmtId="0" fontId="14" fillId="0" borderId="1" xfId="38" applyFont="1" applyBorder="1" applyAlignment="1">
      <alignment horizontal="left" indent="6"/>
    </xf>
    <xf numFmtId="0" fontId="58" fillId="0" borderId="1" xfId="70" applyFont="1" applyBorder="1"/>
    <xf numFmtId="0" fontId="14" fillId="0" borderId="1" xfId="38" applyFont="1" applyBorder="1" applyAlignment="1">
      <alignment horizontal="left" wrapText="1" indent="4"/>
    </xf>
    <xf numFmtId="0" fontId="14" fillId="0" borderId="1" xfId="38" applyFont="1" applyBorder="1" applyAlignment="1">
      <alignment horizontal="left" indent="5"/>
    </xf>
    <xf numFmtId="2" fontId="32" fillId="0" borderId="3" xfId="55" applyNumberFormat="1" applyFont="1" applyBorder="1" applyAlignment="1">
      <alignment horizontal="left" vertical="center" indent="1"/>
    </xf>
    <xf numFmtId="2" fontId="14" fillId="0" borderId="3" xfId="55" applyNumberFormat="1" applyFont="1" applyBorder="1" applyAlignment="1">
      <alignment horizontal="left" vertical="center" indent="1"/>
    </xf>
    <xf numFmtId="4" fontId="14" fillId="0" borderId="0" xfId="70" applyNumberFormat="1" applyFont="1"/>
    <xf numFmtId="0" fontId="60" fillId="0" borderId="1" xfId="68" applyFont="1" applyBorder="1" applyAlignment="1">
      <alignment vertical="center"/>
    </xf>
    <xf numFmtId="0" fontId="60" fillId="0" borderId="0" xfId="68" applyFont="1" applyAlignment="1">
      <alignment vertical="center"/>
    </xf>
    <xf numFmtId="0" fontId="61" fillId="0" borderId="3" xfId="68" applyFont="1" applyBorder="1" applyAlignment="1">
      <alignment horizontal="left" vertical="center" indent="1"/>
    </xf>
    <xf numFmtId="4" fontId="14" fillId="3" borderId="1" xfId="42" applyNumberFormat="1" applyFont="1" applyFill="1" applyBorder="1" applyAlignment="1">
      <alignment horizontal="center" vertical="center"/>
    </xf>
    <xf numFmtId="0" fontId="14" fillId="0" borderId="1" xfId="38" applyFont="1" applyBorder="1" applyAlignment="1">
      <alignment horizontal="right" indent="4"/>
    </xf>
    <xf numFmtId="0" fontId="14" fillId="0" borderId="1" xfId="38" applyFont="1" applyBorder="1" applyAlignment="1">
      <alignment horizontal="left" indent="4"/>
    </xf>
    <xf numFmtId="4" fontId="13" fillId="0" borderId="1" xfId="55" applyNumberFormat="1" applyFont="1" applyBorder="1" applyAlignment="1">
      <alignment horizontal="left" indent="3"/>
    </xf>
    <xf numFmtId="0" fontId="60" fillId="0" borderId="0" xfId="68" applyFont="1" applyAlignment="1">
      <alignment horizontal="left" vertical="center" indent="1"/>
    </xf>
    <xf numFmtId="2" fontId="32" fillId="0" borderId="1" xfId="55" applyNumberFormat="1" applyFont="1" applyBorder="1" applyAlignment="1">
      <alignment horizontal="left" vertical="center" indent="1"/>
    </xf>
    <xf numFmtId="4" fontId="14" fillId="3" borderId="1" xfId="56" applyNumberFormat="1" applyFont="1" applyFill="1" applyBorder="1" applyAlignment="1" applyProtection="1">
      <alignment horizontal="center" vertical="center"/>
      <protection locked="0"/>
    </xf>
    <xf numFmtId="166" fontId="14" fillId="3" borderId="1" xfId="42" applyFont="1" applyFill="1" applyBorder="1" applyAlignment="1">
      <alignment horizontal="center" vertical="center"/>
    </xf>
    <xf numFmtId="2" fontId="14" fillId="3" borderId="1" xfId="42" quotePrefix="1" applyNumberFormat="1" applyFont="1" applyFill="1" applyBorder="1" applyAlignment="1">
      <alignment horizontal="left" vertical="center" indent="1"/>
    </xf>
    <xf numFmtId="4" fontId="13" fillId="0" borderId="1" xfId="56" applyNumberFormat="1" applyFont="1" applyBorder="1" applyAlignment="1" applyProtection="1">
      <alignment horizontal="center" vertical="center"/>
      <protection locked="0"/>
    </xf>
    <xf numFmtId="4" fontId="13" fillId="3" borderId="1" xfId="56" applyNumberFormat="1" applyFont="1" applyFill="1" applyBorder="1" applyAlignment="1" applyProtection="1">
      <alignment horizontal="center" vertical="center"/>
      <protection locked="0"/>
    </xf>
    <xf numFmtId="49" fontId="14" fillId="3" borderId="1" xfId="42" applyNumberFormat="1" applyFont="1" applyFill="1" applyBorder="1" applyAlignment="1">
      <alignment horizontal="left" vertical="center" wrapText="1" indent="4"/>
    </xf>
    <xf numFmtId="2" fontId="14" fillId="3" borderId="1" xfId="42" applyNumberFormat="1" applyFont="1" applyFill="1" applyBorder="1" applyAlignment="1">
      <alignment horizontal="left" vertical="center" indent="1"/>
    </xf>
    <xf numFmtId="0" fontId="60" fillId="0" borderId="0" xfId="68" applyFont="1" applyAlignment="1">
      <alignment horizontal="center" vertical="center"/>
    </xf>
    <xf numFmtId="0" fontId="13" fillId="0" borderId="1" xfId="38" applyFont="1" applyBorder="1" applyAlignment="1">
      <alignment horizontal="left" indent="3"/>
    </xf>
    <xf numFmtId="4" fontId="62" fillId="0" borderId="1" xfId="55" applyNumberFormat="1" applyFont="1" applyBorder="1" applyAlignment="1">
      <alignment horizontal="center" vertical="center"/>
    </xf>
    <xf numFmtId="4" fontId="32" fillId="0" borderId="1" xfId="55" applyNumberFormat="1" applyFont="1" applyBorder="1" applyAlignment="1">
      <alignment horizontal="center" vertical="center"/>
    </xf>
    <xf numFmtId="0" fontId="63" fillId="0" borderId="1" xfId="55" applyFont="1" applyBorder="1" applyAlignment="1">
      <alignment horizontal="center" vertical="center"/>
    </xf>
    <xf numFmtId="0" fontId="59" fillId="0" borderId="0" xfId="53" applyFont="1">
      <alignment vertical="center"/>
    </xf>
    <xf numFmtId="4" fontId="13" fillId="3" borderId="0" xfId="53" applyNumberFormat="1" applyFont="1" applyFill="1" applyAlignment="1" applyProtection="1">
      <alignment horizontal="center" vertical="center"/>
      <protection locked="0"/>
    </xf>
    <xf numFmtId="4" fontId="13" fillId="3" borderId="1" xfId="42" applyNumberFormat="1" applyFont="1" applyFill="1" applyBorder="1" applyAlignment="1">
      <alignment horizontal="center" vertical="center"/>
    </xf>
    <xf numFmtId="1" fontId="14" fillId="3" borderId="1" xfId="42" applyNumberFormat="1" applyFont="1" applyFill="1" applyBorder="1" applyAlignment="1">
      <alignment horizontal="center" vertical="center"/>
    </xf>
    <xf numFmtId="4" fontId="13" fillId="3" borderId="1" xfId="55" applyNumberFormat="1" applyFont="1" applyFill="1" applyBorder="1" applyAlignment="1">
      <alignment horizontal="left" indent="3"/>
    </xf>
    <xf numFmtId="0" fontId="13" fillId="3" borderId="1" xfId="42" applyNumberFormat="1" applyFont="1" applyFill="1" applyBorder="1" applyAlignment="1">
      <alignment horizontal="left" vertical="center" indent="1"/>
    </xf>
    <xf numFmtId="4" fontId="14" fillId="0" borderId="1" xfId="42" applyNumberFormat="1" applyFont="1" applyBorder="1" applyAlignment="1">
      <alignment horizontal="right" indent="4"/>
    </xf>
    <xf numFmtId="49" fontId="14" fillId="3" borderId="1" xfId="42" quotePrefix="1" applyNumberFormat="1" applyFont="1" applyFill="1" applyBorder="1" applyAlignment="1">
      <alignment horizontal="left" vertical="center" indent="1"/>
    </xf>
    <xf numFmtId="4" fontId="14" fillId="3" borderId="0" xfId="55" applyNumberFormat="1" applyFont="1" applyFill="1" applyAlignment="1">
      <alignment horizontal="center" vertical="center"/>
    </xf>
    <xf numFmtId="4" fontId="13" fillId="3" borderId="29" xfId="42" applyNumberFormat="1" applyFont="1" applyFill="1" applyBorder="1" applyAlignment="1" applyProtection="1">
      <alignment horizontal="center" vertical="center"/>
      <protection locked="0"/>
    </xf>
    <xf numFmtId="4" fontId="14" fillId="3" borderId="1" xfId="42" applyNumberFormat="1" applyFont="1" applyFill="1" applyBorder="1" applyAlignment="1" applyProtection="1">
      <alignment horizontal="center" vertical="center"/>
      <protection locked="0"/>
    </xf>
    <xf numFmtId="1" fontId="14" fillId="3" borderId="1" xfId="42" applyNumberFormat="1" applyFont="1" applyFill="1" applyBorder="1" applyAlignment="1" applyProtection="1">
      <alignment horizontal="center" vertical="center"/>
      <protection locked="0"/>
    </xf>
    <xf numFmtId="166" fontId="14" fillId="3" borderId="1" xfId="42" applyFont="1" applyFill="1" applyBorder="1" applyAlignment="1" applyProtection="1">
      <alignment horizontal="center" vertical="center"/>
      <protection locked="0"/>
    </xf>
    <xf numFmtId="2" fontId="14" fillId="0" borderId="1" xfId="42" applyNumberFormat="1" applyFont="1" applyBorder="1" applyAlignment="1" applyProtection="1">
      <alignment horizontal="right" vertical="center"/>
      <protection locked="0"/>
    </xf>
    <xf numFmtId="0" fontId="14" fillId="3" borderId="1" xfId="42" applyNumberFormat="1" applyFont="1" applyFill="1" applyBorder="1" applyAlignment="1">
      <alignment horizontal="left" vertical="center" indent="1"/>
    </xf>
    <xf numFmtId="4" fontId="14" fillId="0" borderId="1" xfId="42" applyNumberFormat="1" applyFont="1" applyBorder="1" applyAlignment="1" applyProtection="1">
      <alignment horizontal="right"/>
      <protection locked="0"/>
    </xf>
    <xf numFmtId="4" fontId="64" fillId="0" borderId="1" xfId="42" applyNumberFormat="1" applyFont="1" applyBorder="1" applyAlignment="1" applyProtection="1">
      <alignment horizontal="right"/>
      <protection locked="0"/>
    </xf>
    <xf numFmtId="1" fontId="14" fillId="0" borderId="1" xfId="42" applyNumberFormat="1" applyFont="1" applyBorder="1" applyAlignment="1" applyProtection="1">
      <alignment horizontal="center" vertical="center"/>
      <protection locked="0"/>
    </xf>
    <xf numFmtId="4" fontId="14" fillId="0" borderId="1" xfId="42" applyNumberFormat="1" applyFont="1" applyBorder="1" applyAlignment="1" applyProtection="1">
      <alignment horizontal="left" vertical="center" wrapText="1"/>
      <protection locked="0"/>
    </xf>
    <xf numFmtId="2" fontId="31" fillId="3" borderId="1" xfId="68" applyNumberFormat="1" applyFont="1" applyFill="1" applyBorder="1" applyAlignment="1" applyProtection="1">
      <alignment horizontal="center" vertical="center"/>
      <protection locked="0"/>
    </xf>
    <xf numFmtId="0" fontId="31" fillId="3" borderId="1" xfId="68" applyFont="1" applyFill="1" applyBorder="1" applyAlignment="1" applyProtection="1">
      <alignment horizontal="center" vertical="center"/>
      <protection locked="0"/>
    </xf>
    <xf numFmtId="4" fontId="65" fillId="0" borderId="1" xfId="55" applyNumberFormat="1" applyFont="1" applyBorder="1" applyAlignment="1" applyProtection="1">
      <alignment horizontal="left"/>
      <protection locked="0"/>
    </xf>
    <xf numFmtId="0" fontId="14" fillId="0" borderId="1" xfId="68" applyFont="1" applyBorder="1" applyAlignment="1" applyProtection="1">
      <alignment horizontal="right" vertical="center"/>
      <protection locked="0"/>
    </xf>
    <xf numFmtId="4" fontId="66" fillId="3" borderId="29" xfId="53" applyNumberFormat="1" applyFont="1" applyFill="1" applyBorder="1" applyAlignment="1" applyProtection="1">
      <alignment horizontal="center" vertical="center"/>
      <protection locked="0"/>
    </xf>
    <xf numFmtId="4" fontId="67" fillId="3" borderId="1" xfId="42" applyNumberFormat="1" applyFont="1" applyFill="1" applyBorder="1" applyAlignment="1" applyProtection="1">
      <alignment horizontal="center" vertical="center"/>
      <protection locked="0"/>
    </xf>
    <xf numFmtId="4" fontId="14" fillId="3" borderId="29" xfId="53" applyNumberFormat="1" applyFont="1" applyFill="1" applyBorder="1" applyAlignment="1" applyProtection="1">
      <alignment horizontal="center" vertical="center"/>
      <protection locked="0"/>
    </xf>
    <xf numFmtId="4" fontId="14" fillId="3" borderId="29" xfId="42" applyNumberFormat="1" applyFont="1" applyFill="1" applyBorder="1" applyAlignment="1" applyProtection="1">
      <alignment horizontal="center" vertical="center"/>
      <protection locked="0"/>
    </xf>
    <xf numFmtId="2" fontId="68" fillId="3" borderId="1" xfId="68" applyNumberFormat="1" applyFont="1" applyFill="1" applyBorder="1" applyAlignment="1" applyProtection="1">
      <alignment horizontal="center" vertical="center"/>
      <protection locked="0"/>
    </xf>
    <xf numFmtId="0" fontId="68" fillId="3" borderId="1" xfId="68" applyFont="1" applyFill="1" applyBorder="1" applyAlignment="1" applyProtection="1">
      <alignment horizontal="center" vertical="center"/>
      <protection locked="0"/>
    </xf>
    <xf numFmtId="4" fontId="14" fillId="0" borderId="1" xfId="42" applyNumberFormat="1" applyFont="1" applyBorder="1" applyAlignment="1" applyProtection="1">
      <alignment horizontal="left"/>
      <protection locked="0"/>
    </xf>
    <xf numFmtId="0" fontId="14" fillId="0" borderId="1" xfId="68" applyFont="1" applyBorder="1" applyAlignment="1" applyProtection="1">
      <alignment horizontal="left" vertical="center"/>
      <protection locked="0"/>
    </xf>
    <xf numFmtId="0" fontId="31" fillId="3" borderId="0" xfId="68" applyFont="1" applyFill="1" applyAlignment="1" applyProtection="1">
      <alignment horizontal="center" vertical="center"/>
      <protection locked="0"/>
    </xf>
    <xf numFmtId="2" fontId="31" fillId="0" borderId="1" xfId="68" applyNumberFormat="1" applyFont="1" applyBorder="1" applyAlignment="1" applyProtection="1">
      <alignment horizontal="center" vertical="center"/>
      <protection locked="0"/>
    </xf>
    <xf numFmtId="2" fontId="31" fillId="3" borderId="0" xfId="68" applyNumberFormat="1" applyFont="1" applyFill="1" applyAlignment="1" applyProtection="1">
      <alignment horizontal="center" vertical="center"/>
      <protection locked="0"/>
    </xf>
    <xf numFmtId="0" fontId="67" fillId="0" borderId="1" xfId="68" applyFont="1" applyBorder="1" applyAlignment="1" applyProtection="1">
      <alignment horizontal="right" vertical="center"/>
      <protection locked="0"/>
    </xf>
    <xf numFmtId="0" fontId="59" fillId="0" borderId="33" xfId="53" applyFont="1" applyBorder="1">
      <alignment vertical="center"/>
    </xf>
    <xf numFmtId="4" fontId="66" fillId="3" borderId="1" xfId="42" applyNumberFormat="1" applyFont="1" applyFill="1" applyBorder="1" applyAlignment="1" applyProtection="1">
      <alignment horizontal="center" vertical="center"/>
      <protection locked="0"/>
    </xf>
    <xf numFmtId="2" fontId="33" fillId="3" borderId="1" xfId="68" applyNumberFormat="1" applyFont="1" applyFill="1" applyBorder="1" applyAlignment="1" applyProtection="1">
      <alignment horizontal="center" vertical="center"/>
      <protection locked="0"/>
    </xf>
    <xf numFmtId="4" fontId="14" fillId="3" borderId="1" xfId="71" applyNumberFormat="1" applyFont="1" applyFill="1" applyBorder="1" applyAlignment="1" applyProtection="1">
      <alignment horizontal="center" vertical="center"/>
      <protection locked="0"/>
    </xf>
    <xf numFmtId="0" fontId="14" fillId="3" borderId="29" xfId="71" applyFont="1" applyFill="1" applyBorder="1" applyProtection="1">
      <alignment vertical="center"/>
      <protection locked="0"/>
    </xf>
    <xf numFmtId="0" fontId="14" fillId="3" borderId="0" xfId="71" applyFont="1" applyFill="1" applyAlignment="1" applyProtection="1">
      <alignment horizontal="center" vertical="center"/>
      <protection locked="0"/>
    </xf>
    <xf numFmtId="4" fontId="13" fillId="3" borderId="29" xfId="71" applyNumberFormat="1" applyFont="1" applyFill="1" applyBorder="1" applyAlignment="1" applyProtection="1">
      <alignment horizontal="center" vertical="center"/>
      <protection locked="0"/>
    </xf>
    <xf numFmtId="4" fontId="69" fillId="0" borderId="29" xfId="55" applyNumberFormat="1" applyFont="1" applyBorder="1" applyAlignment="1" applyProtection="1">
      <alignment horizontal="center" vertical="center"/>
      <protection locked="0"/>
    </xf>
    <xf numFmtId="4" fontId="69" fillId="0" borderId="1" xfId="55" applyNumberFormat="1" applyFont="1" applyBorder="1" applyAlignment="1" applyProtection="1">
      <alignment horizontal="center" vertical="center"/>
      <protection locked="0"/>
    </xf>
    <xf numFmtId="4" fontId="70" fillId="0" borderId="1" xfId="55" applyNumberFormat="1" applyFont="1" applyBorder="1" applyAlignment="1" applyProtection="1">
      <alignment horizontal="center" vertical="center"/>
      <protection locked="0"/>
    </xf>
    <xf numFmtId="1" fontId="70" fillId="0" borderId="1" xfId="55" applyNumberFormat="1" applyFont="1" applyBorder="1" applyAlignment="1" applyProtection="1">
      <alignment horizontal="center" vertical="center"/>
      <protection locked="0"/>
    </xf>
    <xf numFmtId="0" fontId="69" fillId="0" borderId="1" xfId="55" applyFont="1" applyBorder="1" applyAlignment="1" applyProtection="1">
      <alignment horizontal="center" vertical="center"/>
      <protection locked="0"/>
    </xf>
    <xf numFmtId="4" fontId="14" fillId="3" borderId="1" xfId="53" applyNumberFormat="1" applyFont="1" applyFill="1" applyBorder="1" applyAlignment="1" applyProtection="1">
      <alignment horizontal="center" vertical="center"/>
      <protection locked="0"/>
    </xf>
    <xf numFmtId="0" fontId="72" fillId="0" borderId="0" xfId="53" applyFont="1">
      <alignment vertical="center"/>
    </xf>
    <xf numFmtId="4" fontId="13" fillId="3" borderId="0" xfId="42" applyNumberFormat="1" applyFont="1" applyFill="1" applyAlignment="1">
      <alignment horizontal="center" vertical="center"/>
    </xf>
    <xf numFmtId="4" fontId="13" fillId="0" borderId="1" xfId="53" applyNumberFormat="1" applyFont="1" applyBorder="1" applyAlignment="1" applyProtection="1">
      <alignment horizontal="center" vertical="center"/>
      <protection locked="0"/>
    </xf>
    <xf numFmtId="4" fontId="14" fillId="0" borderId="1" xfId="42" applyNumberFormat="1" applyFont="1" applyBorder="1" applyAlignment="1">
      <alignment horizontal="left" indent="4"/>
    </xf>
    <xf numFmtId="2" fontId="31" fillId="0" borderId="1" xfId="68" applyNumberFormat="1" applyFont="1" applyBorder="1" applyAlignment="1">
      <alignment horizontal="center" vertical="center"/>
    </xf>
    <xf numFmtId="0" fontId="31" fillId="0" borderId="1" xfId="68" applyFont="1" applyBorder="1" applyAlignment="1">
      <alignment horizontal="center" vertical="center"/>
    </xf>
    <xf numFmtId="4" fontId="14" fillId="3" borderId="1" xfId="42" applyNumberFormat="1" applyFont="1" applyFill="1" applyBorder="1" applyAlignment="1">
      <alignment horizontal="right" indent="4"/>
    </xf>
    <xf numFmtId="0" fontId="31" fillId="0" borderId="1" xfId="68" applyFont="1" applyBorder="1" applyAlignment="1">
      <alignment horizontal="left" vertical="center" indent="4"/>
    </xf>
    <xf numFmtId="0" fontId="31" fillId="0" borderId="1" xfId="68" applyFont="1" applyBorder="1" applyAlignment="1">
      <alignment horizontal="right" vertical="center" indent="4"/>
    </xf>
    <xf numFmtId="0" fontId="14" fillId="0" borderId="0" xfId="53" applyFont="1">
      <alignment vertical="center"/>
    </xf>
    <xf numFmtId="0" fontId="14" fillId="3" borderId="1" xfId="42" applyNumberFormat="1" applyFont="1" applyFill="1" applyBorder="1" applyAlignment="1">
      <alignment horizontal="left" vertical="top" indent="1"/>
    </xf>
    <xf numFmtId="4" fontId="14" fillId="3" borderId="1" xfId="42" applyNumberFormat="1" applyFont="1" applyFill="1" applyBorder="1" applyAlignment="1">
      <alignment horizontal="left" indent="4"/>
    </xf>
    <xf numFmtId="4" fontId="14" fillId="0" borderId="1" xfId="53" applyNumberFormat="1" applyFont="1" applyBorder="1" applyAlignment="1" applyProtection="1">
      <alignment horizontal="center" vertical="center"/>
      <protection locked="0"/>
    </xf>
    <xf numFmtId="4" fontId="14" fillId="3" borderId="0" xfId="42" applyNumberFormat="1" applyFont="1" applyFill="1" applyAlignment="1">
      <alignment horizontal="center" vertical="center"/>
    </xf>
    <xf numFmtId="4" fontId="14" fillId="3" borderId="1" xfId="42" applyNumberFormat="1" applyFont="1" applyFill="1" applyBorder="1" applyAlignment="1">
      <alignment horizontal="right" indent="5"/>
    </xf>
    <xf numFmtId="49" fontId="14" fillId="3" borderId="1" xfId="42" applyNumberFormat="1" applyFont="1" applyFill="1" applyBorder="1" applyAlignment="1">
      <alignment horizontal="right" vertical="center" wrapText="1" indent="5"/>
    </xf>
    <xf numFmtId="4" fontId="14" fillId="3" borderId="1" xfId="55" applyNumberFormat="1" applyFont="1" applyFill="1" applyBorder="1" applyAlignment="1">
      <alignment horizontal="center" vertical="center"/>
    </xf>
    <xf numFmtId="4" fontId="13" fillId="3" borderId="1" xfId="55" applyNumberFormat="1" applyFont="1" applyFill="1" applyBorder="1" applyAlignment="1">
      <alignment horizontal="center" vertical="center"/>
    </xf>
    <xf numFmtId="49" fontId="13" fillId="3" borderId="1" xfId="55" applyNumberFormat="1" applyFont="1" applyFill="1" applyBorder="1" applyAlignment="1">
      <alignment horizontal="left" vertical="center" indent="1"/>
    </xf>
    <xf numFmtId="4" fontId="14" fillId="0" borderId="1" xfId="42" applyNumberFormat="1" applyFont="1" applyBorder="1" applyAlignment="1">
      <alignment horizontal="left" indent="5"/>
    </xf>
    <xf numFmtId="4" fontId="14" fillId="0" borderId="1" xfId="42" applyNumberFormat="1" applyFont="1" applyBorder="1" applyAlignment="1">
      <alignment horizontal="right" indent="5"/>
    </xf>
    <xf numFmtId="4" fontId="13" fillId="0" borderId="1" xfId="42" applyNumberFormat="1" applyFont="1" applyBorder="1" applyAlignment="1">
      <alignment horizontal="center" vertical="center"/>
    </xf>
    <xf numFmtId="4" fontId="14" fillId="0" borderId="0" xfId="55" applyNumberFormat="1" applyFont="1" applyAlignment="1">
      <alignment horizontal="center" vertical="center"/>
    </xf>
    <xf numFmtId="1" fontId="13" fillId="3" borderId="1" xfId="55" applyNumberFormat="1" applyFont="1" applyFill="1" applyBorder="1" applyAlignment="1">
      <alignment horizontal="center" vertical="center"/>
    </xf>
    <xf numFmtId="4" fontId="14" fillId="3" borderId="1" xfId="42" applyNumberFormat="1" applyFont="1" applyFill="1" applyBorder="1" applyAlignment="1">
      <alignment horizontal="left" indent="5"/>
    </xf>
    <xf numFmtId="0" fontId="14" fillId="3" borderId="1" xfId="53" applyFont="1" applyFill="1" applyBorder="1" applyAlignment="1">
      <alignment horizontal="left" vertical="center" indent="1"/>
    </xf>
    <xf numFmtId="4" fontId="13" fillId="3" borderId="0" xfId="55" applyNumberFormat="1" applyFont="1" applyFill="1" applyAlignment="1">
      <alignment horizontal="center" vertical="center"/>
    </xf>
    <xf numFmtId="4" fontId="13" fillId="0" borderId="1" xfId="55" applyNumberFormat="1" applyFont="1" applyBorder="1" applyAlignment="1">
      <alignment horizontal="center" vertical="center"/>
    </xf>
    <xf numFmtId="4" fontId="14" fillId="3" borderId="14" xfId="42" applyNumberFormat="1" applyFont="1" applyFill="1" applyBorder="1" applyAlignment="1">
      <alignment horizontal="center" vertical="center" wrapText="1"/>
    </xf>
    <xf numFmtId="49" fontId="14" fillId="3" borderId="1" xfId="42" applyNumberFormat="1" applyFont="1" applyFill="1" applyBorder="1" applyAlignment="1">
      <alignment horizontal="right" vertical="center" wrapText="1" indent="4"/>
    </xf>
    <xf numFmtId="49" fontId="14" fillId="3" borderId="1" xfId="42" applyNumberFormat="1" applyFont="1" applyFill="1" applyBorder="1" applyAlignment="1">
      <alignment horizontal="left" vertical="center" wrapText="1" indent="3"/>
    </xf>
    <xf numFmtId="49" fontId="14" fillId="0" borderId="1" xfId="42" applyNumberFormat="1" applyFont="1" applyBorder="1" applyAlignment="1">
      <alignment horizontal="right" vertical="center" wrapText="1" indent="3"/>
    </xf>
    <xf numFmtId="49" fontId="14" fillId="0" borderId="1" xfId="42" applyNumberFormat="1" applyFont="1" applyBorder="1" applyAlignment="1">
      <alignment horizontal="left" vertical="center" wrapText="1" indent="3"/>
    </xf>
    <xf numFmtId="49" fontId="14" fillId="3" borderId="1" xfId="42" applyNumberFormat="1" applyFont="1" applyFill="1" applyBorder="1" applyAlignment="1">
      <alignment horizontal="right" vertical="center" wrapText="1" indent="3"/>
    </xf>
    <xf numFmtId="4" fontId="70" fillId="0" borderId="1" xfId="55" applyNumberFormat="1" applyFont="1" applyBorder="1" applyAlignment="1">
      <alignment horizontal="left" indent="2"/>
    </xf>
    <xf numFmtId="0" fontId="73" fillId="0" borderId="1" xfId="42" applyNumberFormat="1" applyFont="1" applyBorder="1" applyAlignment="1">
      <alignment horizontal="left" vertical="center" indent="1"/>
    </xf>
    <xf numFmtId="4" fontId="57" fillId="3" borderId="1" xfId="55" applyNumberFormat="1" applyFont="1" applyFill="1" applyBorder="1" applyAlignment="1">
      <alignment horizontal="center" vertical="center"/>
    </xf>
    <xf numFmtId="0" fontId="16" fillId="3" borderId="1" xfId="55" applyFont="1" applyFill="1" applyBorder="1" applyAlignment="1">
      <alignment horizontal="center" vertical="center"/>
    </xf>
    <xf numFmtId="4" fontId="13" fillId="2" borderId="0" xfId="55" applyNumberFormat="1" applyFont="1" applyFill="1" applyAlignment="1">
      <alignment horizontal="center" vertical="center"/>
    </xf>
    <xf numFmtId="4" fontId="52" fillId="8" borderId="17" xfId="55" applyNumberFormat="1" applyFont="1" applyFill="1" applyBorder="1" applyAlignment="1">
      <alignment horizontal="center" vertical="center"/>
    </xf>
    <xf numFmtId="2" fontId="52" fillId="8" borderId="17" xfId="55" applyNumberFormat="1" applyFont="1" applyFill="1" applyBorder="1" applyAlignment="1">
      <alignment horizontal="center" vertical="center"/>
    </xf>
    <xf numFmtId="1" fontId="52" fillId="8" borderId="17" xfId="55" applyNumberFormat="1" applyFont="1" applyFill="1" applyBorder="1" applyAlignment="1">
      <alignment horizontal="center" vertical="center"/>
    </xf>
    <xf numFmtId="4" fontId="74" fillId="0" borderId="0" xfId="42" applyNumberFormat="1" applyFont="1" applyAlignment="1">
      <alignment horizontal="center"/>
    </xf>
    <xf numFmtId="2" fontId="75" fillId="0" borderId="0" xfId="42" applyNumberFormat="1" applyFont="1" applyAlignment="1">
      <alignment horizontal="center"/>
    </xf>
    <xf numFmtId="0" fontId="74" fillId="0" borderId="0" xfId="42" applyNumberFormat="1" applyFont="1" applyAlignment="1">
      <alignment horizontal="center"/>
    </xf>
    <xf numFmtId="1" fontId="74" fillId="0" borderId="0" xfId="42" applyNumberFormat="1" applyFont="1" applyAlignment="1">
      <alignment horizontal="center"/>
    </xf>
    <xf numFmtId="0" fontId="76" fillId="0" borderId="0" xfId="42" applyNumberFormat="1" applyFont="1" applyAlignment="1">
      <alignment horizontal="center" vertical="center"/>
    </xf>
    <xf numFmtId="0" fontId="74" fillId="0" borderId="0" xfId="55" applyFont="1" applyAlignment="1">
      <alignment horizontal="left" vertical="center"/>
    </xf>
    <xf numFmtId="4" fontId="13" fillId="0" borderId="0" xfId="42" applyNumberFormat="1" applyFont="1" applyAlignment="1">
      <alignment horizontal="center"/>
    </xf>
    <xf numFmtId="0" fontId="13" fillId="0" borderId="0" xfId="55" applyFont="1" applyAlignment="1">
      <alignment horizontal="left" vertical="center"/>
    </xf>
    <xf numFmtId="4" fontId="13" fillId="0" borderId="39" xfId="42" applyNumberFormat="1" applyFont="1" applyBorder="1" applyAlignment="1">
      <alignment horizontal="center"/>
    </xf>
    <xf numFmtId="2" fontId="77" fillId="0" borderId="39" xfId="42" applyNumberFormat="1" applyFont="1" applyBorder="1" applyAlignment="1">
      <alignment horizontal="center"/>
    </xf>
    <xf numFmtId="0" fontId="13" fillId="0" borderId="39" xfId="42" applyNumberFormat="1" applyFont="1" applyBorder="1" applyAlignment="1">
      <alignment horizontal="center"/>
    </xf>
    <xf numFmtId="1" fontId="13" fillId="0" borderId="39" xfId="42" applyNumberFormat="1" applyFont="1" applyBorder="1" applyAlignment="1">
      <alignment horizontal="center"/>
    </xf>
    <xf numFmtId="0" fontId="14" fillId="0" borderId="39" xfId="42" applyNumberFormat="1" applyFont="1" applyBorder="1" applyAlignment="1">
      <alignment horizontal="center" vertical="center"/>
    </xf>
    <xf numFmtId="0" fontId="13" fillId="0" borderId="39" xfId="42" applyNumberFormat="1" applyFont="1" applyBorder="1" applyAlignment="1">
      <alignment horizontal="left"/>
    </xf>
    <xf numFmtId="0" fontId="13" fillId="0" borderId="39" xfId="55" applyFont="1" applyBorder="1" applyAlignment="1">
      <alignment horizontal="left" vertical="center"/>
    </xf>
    <xf numFmtId="0" fontId="57" fillId="10" borderId="0" xfId="55" applyFont="1" applyFill="1" applyAlignment="1">
      <alignment horizontal="center" vertical="center" wrapText="1"/>
    </xf>
    <xf numFmtId="2" fontId="77" fillId="0" borderId="0" xfId="42" applyNumberFormat="1" applyFont="1" applyAlignment="1">
      <alignment horizontal="center"/>
    </xf>
    <xf numFmtId="0" fontId="64" fillId="0" borderId="0" xfId="55" applyFont="1" applyAlignment="1">
      <alignment horizontal="center" vertical="center"/>
    </xf>
    <xf numFmtId="0" fontId="13" fillId="0" borderId="0" xfId="42" applyNumberFormat="1" applyFont="1" applyAlignment="1">
      <alignment horizontal="left"/>
    </xf>
    <xf numFmtId="4" fontId="20" fillId="0" borderId="0" xfId="55" applyNumberFormat="1" applyFont="1" applyAlignment="1">
      <alignment vertical="center" wrapText="1"/>
    </xf>
    <xf numFmtId="0" fontId="20" fillId="2" borderId="0" xfId="55" applyFont="1" applyFill="1" applyAlignment="1">
      <alignment horizontal="center" vertical="center" wrapText="1"/>
    </xf>
    <xf numFmtId="4" fontId="47" fillId="0" borderId="0" xfId="55" applyNumberFormat="1" applyFont="1" applyAlignment="1">
      <alignment vertical="center" wrapText="1"/>
    </xf>
    <xf numFmtId="2" fontId="47" fillId="0" borderId="0" xfId="55" applyNumberFormat="1" applyFont="1" applyAlignment="1">
      <alignment vertical="center" wrapText="1"/>
    </xf>
    <xf numFmtId="0" fontId="47" fillId="0" borderId="0" xfId="55" applyFont="1" applyAlignment="1">
      <alignment vertical="center" wrapText="1"/>
    </xf>
    <xf numFmtId="0" fontId="78" fillId="0" borderId="0" xfId="55" applyFont="1" applyAlignment="1">
      <alignment horizontal="center" vertical="center" wrapText="1"/>
    </xf>
    <xf numFmtId="0" fontId="13" fillId="0" borderId="0" xfId="55" applyFont="1" applyAlignment="1">
      <alignment vertical="center" wrapText="1"/>
    </xf>
    <xf numFmtId="0" fontId="2" fillId="0" borderId="0" xfId="68"/>
    <xf numFmtId="0" fontId="6" fillId="9" borderId="0" xfId="40" applyFont="1" applyFill="1" applyAlignment="1">
      <alignment horizontal="left" indent="3"/>
    </xf>
    <xf numFmtId="0" fontId="6" fillId="9" borderId="0" xfId="40" applyFont="1" applyFill="1" applyAlignment="1">
      <alignment horizontal="left" indent="2"/>
    </xf>
    <xf numFmtId="0" fontId="6" fillId="9" borderId="14" xfId="40" applyFont="1" applyFill="1" applyBorder="1" applyAlignment="1">
      <alignment horizontal="center"/>
    </xf>
    <xf numFmtId="0" fontId="6" fillId="9" borderId="3" xfId="40" applyFont="1" applyFill="1" applyBorder="1" applyAlignment="1">
      <alignment horizontal="center"/>
    </xf>
    <xf numFmtId="2" fontId="6" fillId="9" borderId="0" xfId="40" applyNumberFormat="1" applyFont="1" applyFill="1" applyAlignment="1">
      <alignment horizontal="right" vertical="top"/>
    </xf>
    <xf numFmtId="2" fontId="6" fillId="9" borderId="0" xfId="40" applyNumberFormat="1" applyFont="1" applyFill="1" applyAlignment="1">
      <alignment horizontal="right" vertical="top" indent="1"/>
    </xf>
    <xf numFmtId="2" fontId="6" fillId="9" borderId="0" xfId="40" applyNumberFormat="1" applyFont="1" applyFill="1" applyAlignment="1">
      <alignment horizontal="left" vertical="top"/>
    </xf>
    <xf numFmtId="2" fontId="6" fillId="9" borderId="3" xfId="40" applyNumberFormat="1" applyFont="1" applyFill="1" applyBorder="1" applyAlignment="1">
      <alignment horizontal="center" vertical="top"/>
    </xf>
    <xf numFmtId="2" fontId="6" fillId="9" borderId="14" xfId="40" applyNumberFormat="1" applyFont="1" applyFill="1" applyBorder="1" applyAlignment="1">
      <alignment horizontal="left" indent="4"/>
    </xf>
    <xf numFmtId="2" fontId="6" fillId="9" borderId="0" xfId="40" applyNumberFormat="1" applyFont="1" applyFill="1" applyAlignment="1">
      <alignment horizontal="left" indent="4"/>
    </xf>
    <xf numFmtId="2" fontId="6" fillId="9" borderId="0" xfId="40" applyNumberFormat="1" applyFont="1" applyFill="1" applyAlignment="1">
      <alignment horizontal="left" indent="3"/>
    </xf>
    <xf numFmtId="2" fontId="6" fillId="9" borderId="14" xfId="40" applyNumberFormat="1" applyFont="1" applyFill="1" applyBorder="1" applyAlignment="1">
      <alignment horizontal="left"/>
    </xf>
    <xf numFmtId="0" fontId="6" fillId="9" borderId="0" xfId="40" applyFont="1" applyFill="1" applyAlignment="1">
      <alignment horizontal="right"/>
    </xf>
    <xf numFmtId="2" fontId="6" fillId="9" borderId="18" xfId="40" applyNumberFormat="1" applyFont="1" applyFill="1" applyBorder="1" applyAlignment="1">
      <alignment horizontal="center" vertical="top"/>
    </xf>
    <xf numFmtId="0" fontId="6" fillId="9" borderId="18" xfId="40" applyFont="1" applyFill="1" applyBorder="1" applyAlignment="1">
      <alignment horizontal="right" vertical="top"/>
    </xf>
    <xf numFmtId="0" fontId="6" fillId="9" borderId="0" xfId="40" applyFont="1" applyFill="1"/>
    <xf numFmtId="0" fontId="6" fillId="9" borderId="0" xfId="40" applyFont="1" applyFill="1" applyAlignment="1">
      <alignment horizontal="left" indent="4"/>
    </xf>
    <xf numFmtId="0" fontId="81" fillId="0" borderId="0" xfId="55" applyFont="1"/>
    <xf numFmtId="1" fontId="81" fillId="0" borderId="0" xfId="55" applyNumberFormat="1" applyFont="1"/>
    <xf numFmtId="177" fontId="48" fillId="0" borderId="0" xfId="56" applyNumberFormat="1" applyFont="1">
      <alignment vertical="center"/>
    </xf>
    <xf numFmtId="0" fontId="26" fillId="0" borderId="0" xfId="56" applyFont="1">
      <alignment vertical="center"/>
    </xf>
    <xf numFmtId="0" fontId="49" fillId="0" borderId="0" xfId="55" applyFont="1"/>
    <xf numFmtId="2" fontId="14" fillId="0" borderId="1" xfId="56" applyNumberFormat="1" applyFont="1" applyBorder="1" applyAlignment="1" applyProtection="1">
      <alignment horizontal="center" vertical="center"/>
      <protection locked="0"/>
    </xf>
    <xf numFmtId="0" fontId="49" fillId="0" borderId="1" xfId="42" applyNumberFormat="1" applyFont="1" applyBorder="1" applyAlignment="1">
      <alignment horizontal="center" vertical="center"/>
    </xf>
    <xf numFmtId="0" fontId="53" fillId="0" borderId="0" xfId="42" quotePrefix="1" applyNumberFormat="1" applyFont="1"/>
    <xf numFmtId="0" fontId="53" fillId="0" borderId="0" xfId="42" applyNumberFormat="1" applyFont="1" applyAlignment="1">
      <alignment horizontal="left"/>
    </xf>
    <xf numFmtId="0" fontId="53" fillId="0" borderId="0" xfId="42" applyNumberFormat="1" applyFont="1"/>
    <xf numFmtId="0" fontId="7" fillId="0" borderId="0" xfId="42" applyNumberFormat="1"/>
    <xf numFmtId="0" fontId="48" fillId="0" borderId="0" xfId="56" applyFont="1" applyAlignment="1">
      <alignment horizontal="center" vertical="center"/>
    </xf>
    <xf numFmtId="176" fontId="14" fillId="0" borderId="6" xfId="68" applyNumberFormat="1" applyFont="1" applyBorder="1" applyAlignment="1">
      <alignment horizontal="center" vertical="center"/>
    </xf>
    <xf numFmtId="1" fontId="14" fillId="0" borderId="6" xfId="68" applyNumberFormat="1" applyFont="1" applyBorder="1" applyAlignment="1">
      <alignment horizontal="center" vertical="center"/>
    </xf>
    <xf numFmtId="178" fontId="14" fillId="0" borderId="6" xfId="68" applyNumberFormat="1" applyFont="1" applyBorder="1" applyAlignment="1">
      <alignment horizontal="center" vertical="center"/>
    </xf>
    <xf numFmtId="0" fontId="31" fillId="5" borderId="6" xfId="68" applyFont="1" applyFill="1" applyBorder="1" applyAlignment="1">
      <alignment horizontal="center" vertical="center"/>
    </xf>
    <xf numFmtId="176" fontId="13" fillId="3" borderId="0" xfId="56" applyNumberFormat="1" applyFont="1" applyFill="1" applyAlignment="1" applyProtection="1">
      <alignment horizontal="center" vertical="center"/>
      <protection locked="0"/>
    </xf>
    <xf numFmtId="4" fontId="13" fillId="0" borderId="23" xfId="56" applyNumberFormat="1" applyFont="1" applyBorder="1" applyAlignment="1" applyProtection="1">
      <alignment horizontal="center" vertical="center"/>
      <protection locked="0"/>
    </xf>
    <xf numFmtId="4" fontId="14" fillId="0" borderId="24" xfId="56" applyNumberFormat="1" applyFont="1" applyBorder="1" applyAlignment="1" applyProtection="1">
      <alignment horizontal="center" vertical="center"/>
      <protection locked="0"/>
    </xf>
    <xf numFmtId="4" fontId="14" fillId="0" borderId="24" xfId="42" applyNumberFormat="1" applyFont="1" applyBorder="1" applyAlignment="1">
      <alignment horizontal="center" vertical="center"/>
    </xf>
    <xf numFmtId="3" fontId="14" fillId="0" borderId="24" xfId="42" applyNumberFormat="1" applyFont="1" applyBorder="1" applyAlignment="1">
      <alignment horizontal="center" vertical="center"/>
    </xf>
    <xf numFmtId="166" fontId="14" fillId="0" borderId="24" xfId="42" applyFont="1" applyBorder="1" applyAlignment="1">
      <alignment horizontal="center" vertical="center"/>
    </xf>
    <xf numFmtId="4" fontId="14" fillId="0" borderId="24" xfId="42" applyNumberFormat="1" applyFont="1" applyBorder="1" applyAlignment="1">
      <alignment horizontal="left" vertical="center" wrapText="1" indent="3"/>
    </xf>
    <xf numFmtId="2" fontId="14" fillId="0" borderId="31" xfId="42" applyNumberFormat="1" applyFont="1" applyBorder="1" applyAlignment="1">
      <alignment vertical="center"/>
    </xf>
    <xf numFmtId="4" fontId="13" fillId="0" borderId="29" xfId="56" applyNumberFormat="1" applyFont="1" applyBorder="1" applyAlignment="1" applyProtection="1">
      <alignment horizontal="center" vertical="center"/>
      <protection locked="0"/>
    </xf>
    <xf numFmtId="4" fontId="14" fillId="0" borderId="1" xfId="56" applyNumberFormat="1" applyFont="1" applyBorder="1" applyAlignment="1" applyProtection="1">
      <alignment horizontal="center" vertical="center"/>
      <protection locked="0"/>
    </xf>
    <xf numFmtId="4" fontId="14" fillId="0" borderId="1" xfId="42" applyNumberFormat="1" applyFont="1" applyBorder="1" applyAlignment="1">
      <alignment horizontal="left" vertical="center" wrapText="1" indent="3"/>
    </xf>
    <xf numFmtId="2" fontId="14" fillId="0" borderId="34" xfId="42" applyNumberFormat="1" applyFont="1" applyBorder="1" applyAlignment="1">
      <alignment vertical="center"/>
    </xf>
    <xf numFmtId="166" fontId="82" fillId="0" borderId="0" xfId="42" applyFont="1"/>
    <xf numFmtId="4" fontId="14" fillId="0" borderId="29" xfId="55" applyNumberFormat="1" applyFont="1" applyBorder="1" applyAlignment="1">
      <alignment horizontal="center" vertical="center"/>
    </xf>
    <xf numFmtId="3" fontId="13" fillId="0" borderId="1" xfId="55" applyNumberFormat="1" applyFont="1" applyBorder="1" applyAlignment="1">
      <alignment horizontal="center" vertical="center"/>
    </xf>
    <xf numFmtId="4" fontId="13" fillId="0" borderId="1" xfId="55" applyNumberFormat="1" applyFont="1" applyBorder="1" applyAlignment="1">
      <alignment horizontal="left" indent="2"/>
    </xf>
    <xf numFmtId="2" fontId="13" fillId="0" borderId="34" xfId="42" applyNumberFormat="1" applyFont="1" applyBorder="1" applyAlignment="1">
      <alignment vertical="center"/>
    </xf>
    <xf numFmtId="4" fontId="14" fillId="0" borderId="1" xfId="42" applyNumberFormat="1" applyFont="1" applyBorder="1" applyAlignment="1">
      <alignment horizontal="left" vertical="center" wrapText="1" indent="4"/>
    </xf>
    <xf numFmtId="2" fontId="14" fillId="0" borderId="34" xfId="42" applyNumberFormat="1" applyFont="1" applyBorder="1" applyAlignment="1">
      <alignment vertical="top"/>
    </xf>
    <xf numFmtId="0" fontId="83" fillId="0" borderId="0" xfId="56" applyFont="1" applyAlignment="1">
      <alignment horizontal="center" vertical="center"/>
    </xf>
    <xf numFmtId="4" fontId="13" fillId="0" borderId="29" xfId="42" applyNumberFormat="1" applyFont="1" applyBorder="1" applyAlignment="1">
      <alignment horizontal="center" vertical="center"/>
    </xf>
    <xf numFmtId="2" fontId="14" fillId="0" borderId="34" xfId="42" quotePrefix="1" applyNumberFormat="1" applyFont="1" applyBorder="1" applyAlignment="1">
      <alignment vertical="center"/>
    </xf>
    <xf numFmtId="178" fontId="14" fillId="0" borderId="1" xfId="68" applyNumberFormat="1" applyFont="1" applyBorder="1" applyAlignment="1">
      <alignment horizontal="center" vertical="center"/>
    </xf>
    <xf numFmtId="2" fontId="14" fillId="0" borderId="1" xfId="42" applyNumberFormat="1" applyFont="1" applyBorder="1" applyAlignment="1">
      <alignment horizontal="left" indent="6"/>
    </xf>
    <xf numFmtId="0" fontId="14" fillId="0" borderId="34" xfId="42" applyNumberFormat="1" applyFont="1" applyBorder="1" applyAlignment="1">
      <alignment vertical="center"/>
    </xf>
    <xf numFmtId="4" fontId="48" fillId="0" borderId="0" xfId="56" applyNumberFormat="1" applyFont="1" applyAlignment="1">
      <alignment horizontal="center" vertical="center"/>
    </xf>
    <xf numFmtId="176" fontId="81" fillId="0" borderId="0" xfId="55" applyNumberFormat="1" applyFont="1"/>
    <xf numFmtId="2" fontId="64" fillId="0" borderId="1" xfId="42" applyNumberFormat="1" applyFont="1" applyBorder="1" applyAlignment="1">
      <alignment horizontal="left" indent="5"/>
    </xf>
    <xf numFmtId="0" fontId="13" fillId="0" borderId="34" xfId="42" applyNumberFormat="1" applyFont="1" applyBorder="1" applyAlignment="1">
      <alignment vertical="center"/>
    </xf>
    <xf numFmtId="2" fontId="14" fillId="0" borderId="1" xfId="68" applyNumberFormat="1" applyFont="1" applyBorder="1" applyAlignment="1">
      <alignment horizontal="center" vertical="center"/>
    </xf>
    <xf numFmtId="4" fontId="13" fillId="0" borderId="26" xfId="53" applyNumberFormat="1" applyFont="1" applyBorder="1" applyAlignment="1" applyProtection="1">
      <alignment horizontal="center" vertical="center"/>
      <protection locked="0"/>
    </xf>
    <xf numFmtId="4" fontId="13" fillId="0" borderId="4" xfId="56" applyNumberFormat="1" applyFont="1" applyBorder="1" applyAlignment="1" applyProtection="1">
      <alignment horizontal="center" vertical="center"/>
      <protection locked="0"/>
    </xf>
    <xf numFmtId="4" fontId="13" fillId="0" borderId="4" xfId="42" applyNumberFormat="1" applyFont="1" applyBorder="1" applyAlignment="1">
      <alignment horizontal="center" vertical="center"/>
    </xf>
    <xf numFmtId="3" fontId="13" fillId="0" borderId="4" xfId="42" applyNumberFormat="1" applyFont="1" applyBorder="1" applyAlignment="1">
      <alignment horizontal="center" vertical="center"/>
    </xf>
    <xf numFmtId="166" fontId="13" fillId="0" borderId="4" xfId="42" applyFont="1" applyBorder="1" applyAlignment="1">
      <alignment horizontal="center" vertical="center"/>
    </xf>
    <xf numFmtId="4" fontId="14" fillId="0" borderId="1" xfId="42" applyNumberFormat="1" applyFont="1" applyBorder="1" applyAlignment="1">
      <alignment horizontal="left" indent="3"/>
    </xf>
    <xf numFmtId="4" fontId="14" fillId="0" borderId="1" xfId="42" quotePrefix="1" applyNumberFormat="1" applyFont="1" applyBorder="1" applyAlignment="1">
      <alignment horizontal="right"/>
    </xf>
    <xf numFmtId="3" fontId="14" fillId="0" borderId="1" xfId="42" applyNumberFormat="1" applyFont="1" applyBorder="1" applyAlignment="1">
      <alignment horizontal="left" vertical="center"/>
    </xf>
    <xf numFmtId="0" fontId="16" fillId="0" borderId="6" xfId="56" applyFont="1" applyBorder="1" applyAlignment="1">
      <alignment horizontal="center" vertical="center"/>
    </xf>
    <xf numFmtId="4" fontId="16" fillId="0" borderId="6" xfId="56" applyNumberFormat="1" applyFont="1" applyBorder="1" applyAlignment="1">
      <alignment horizontal="center" vertical="center"/>
    </xf>
    <xf numFmtId="0" fontId="16" fillId="0" borderId="6" xfId="42" quotePrefix="1" applyNumberFormat="1" applyFont="1" applyBorder="1" applyAlignment="1">
      <alignment horizontal="left" indent="1"/>
    </xf>
    <xf numFmtId="4" fontId="84" fillId="0" borderId="6" xfId="56" applyNumberFormat="1" applyFont="1" applyBorder="1" applyAlignment="1">
      <alignment horizontal="center" vertical="center"/>
    </xf>
    <xf numFmtId="0" fontId="16" fillId="0" borderId="6" xfId="55" applyFont="1" applyBorder="1" applyAlignment="1">
      <alignment horizontal="left" indent="1"/>
    </xf>
    <xf numFmtId="4" fontId="14" fillId="0" borderId="29" xfId="42" applyNumberFormat="1" applyFont="1" applyBorder="1" applyAlignment="1">
      <alignment horizontal="center" vertical="center"/>
    </xf>
    <xf numFmtId="4" fontId="85" fillId="0" borderId="1" xfId="42" applyNumberFormat="1" applyFont="1" applyBorder="1" applyAlignment="1">
      <alignment horizontal="left" indent="4"/>
    </xf>
    <xf numFmtId="4" fontId="14" fillId="0" borderId="1" xfId="42" applyNumberFormat="1" applyFont="1" applyBorder="1"/>
    <xf numFmtId="4" fontId="14" fillId="0" borderId="1" xfId="42" applyNumberFormat="1" applyFont="1" applyBorder="1" applyAlignment="1">
      <alignment horizontal="right" vertical="center" indent="1"/>
    </xf>
    <xf numFmtId="0" fontId="16" fillId="11" borderId="6" xfId="56" applyFont="1" applyFill="1" applyBorder="1" applyAlignment="1">
      <alignment horizontal="center" vertical="center"/>
    </xf>
    <xf numFmtId="0" fontId="6" fillId="11" borderId="0" xfId="56" applyFill="1">
      <alignment vertical="center"/>
    </xf>
    <xf numFmtId="0" fontId="6" fillId="11" borderId="0" xfId="56" applyFill="1" applyAlignment="1">
      <alignment horizontal="center" vertical="center"/>
    </xf>
    <xf numFmtId="4" fontId="14" fillId="3" borderId="0" xfId="42" applyNumberFormat="1" applyFont="1" applyFill="1" applyAlignment="1">
      <alignment horizontal="center" vertical="center" wrapText="1"/>
    </xf>
    <xf numFmtId="3" fontId="14" fillId="0" borderId="1" xfId="55" applyNumberFormat="1" applyFont="1" applyBorder="1" applyAlignment="1">
      <alignment horizontal="center" vertical="center"/>
    </xf>
    <xf numFmtId="2" fontId="13" fillId="0" borderId="34" xfId="55" applyNumberFormat="1" applyFont="1" applyBorder="1" applyAlignment="1">
      <alignment vertical="center"/>
    </xf>
    <xf numFmtId="4" fontId="63" fillId="0" borderId="29" xfId="55" applyNumberFormat="1" applyFont="1" applyBorder="1" applyAlignment="1">
      <alignment horizontal="center" vertical="center"/>
    </xf>
    <xf numFmtId="4" fontId="63" fillId="0" borderId="1" xfId="55" applyNumberFormat="1" applyFont="1" applyBorder="1" applyAlignment="1">
      <alignment horizontal="center" vertical="center"/>
    </xf>
    <xf numFmtId="4" fontId="51" fillId="0" borderId="1" xfId="55" applyNumberFormat="1" applyFont="1" applyBorder="1" applyAlignment="1">
      <alignment horizontal="center" vertical="center"/>
    </xf>
    <xf numFmtId="3" fontId="51" fillId="0" borderId="1" xfId="55" applyNumberFormat="1" applyFont="1" applyBorder="1" applyAlignment="1">
      <alignment horizontal="center" vertical="center"/>
    </xf>
    <xf numFmtId="4" fontId="51" fillId="0" borderId="1" xfId="55" applyNumberFormat="1" applyFont="1" applyBorder="1" applyAlignment="1">
      <alignment horizontal="left" indent="1"/>
    </xf>
    <xf numFmtId="2" fontId="51" fillId="0" borderId="34" xfId="55" applyNumberFormat="1" applyFont="1" applyBorder="1" applyAlignment="1">
      <alignment vertical="center"/>
    </xf>
    <xf numFmtId="4" fontId="14" fillId="3" borderId="0" xfId="42" applyNumberFormat="1" applyFont="1" applyFill="1" applyAlignment="1">
      <alignment horizontal="left" vertical="center"/>
    </xf>
    <xf numFmtId="1" fontId="52" fillId="8" borderId="37" xfId="55" applyNumberFormat="1" applyFont="1" applyFill="1" applyBorder="1" applyAlignment="1">
      <alignment vertical="center"/>
    </xf>
    <xf numFmtId="0" fontId="6" fillId="0" borderId="0" xfId="56" applyAlignment="1">
      <alignment horizontal="center" vertical="center"/>
    </xf>
    <xf numFmtId="0" fontId="53" fillId="0" borderId="30" xfId="55" applyFont="1" applyBorder="1" applyAlignment="1">
      <alignment vertical="center"/>
    </xf>
    <xf numFmtId="179" fontId="16" fillId="0" borderId="41" xfId="68" applyNumberFormat="1" applyFont="1" applyBorder="1" applyAlignment="1">
      <alignment horizontal="center" vertical="center"/>
    </xf>
    <xf numFmtId="0" fontId="16" fillId="0" borderId="41" xfId="68" applyFont="1" applyBorder="1" applyAlignment="1">
      <alignment horizontal="left" vertical="center" indent="1"/>
    </xf>
    <xf numFmtId="0" fontId="16" fillId="0" borderId="41" xfId="68" applyFont="1" applyBorder="1" applyAlignment="1">
      <alignment horizontal="center" vertical="center"/>
    </xf>
    <xf numFmtId="0" fontId="57" fillId="2" borderId="42" xfId="68" applyFont="1" applyFill="1" applyBorder="1" applyAlignment="1">
      <alignment horizontal="center" vertical="center"/>
    </xf>
    <xf numFmtId="0" fontId="86" fillId="0" borderId="0" xfId="69" applyFont="1" applyAlignment="1" applyProtection="1">
      <alignment horizontal="center" vertical="center"/>
      <protection locked="0"/>
    </xf>
    <xf numFmtId="0" fontId="57" fillId="0" borderId="0" xfId="42" applyNumberFormat="1" applyFont="1" applyAlignment="1">
      <alignment horizontal="center" wrapText="1"/>
    </xf>
    <xf numFmtId="166" fontId="7" fillId="0" borderId="0" xfId="42"/>
    <xf numFmtId="0" fontId="87" fillId="0" borderId="0" xfId="42" applyNumberFormat="1" applyFont="1" applyAlignment="1">
      <alignment horizontal="center" wrapText="1"/>
    </xf>
    <xf numFmtId="0" fontId="48" fillId="0" borderId="0" xfId="56" applyFont="1" applyAlignment="1">
      <alignment horizontal="left" vertical="center"/>
    </xf>
    <xf numFmtId="4" fontId="76" fillId="0" borderId="23" xfId="42" applyNumberFormat="1" applyFont="1" applyBorder="1" applyAlignment="1">
      <alignment vertical="center"/>
    </xf>
    <xf numFmtId="4" fontId="76" fillId="0" borderId="24" xfId="42" applyNumberFormat="1" applyFont="1" applyBorder="1" applyAlignment="1">
      <alignment vertical="center"/>
    </xf>
    <xf numFmtId="3" fontId="76" fillId="0" borderId="24" xfId="42" applyNumberFormat="1" applyFont="1" applyBorder="1" applyAlignment="1">
      <alignment horizontal="center" vertical="center"/>
    </xf>
    <xf numFmtId="166" fontId="76" fillId="0" borderId="24" xfId="42" applyFont="1" applyBorder="1" applyAlignment="1">
      <alignment horizontal="center" vertical="center"/>
    </xf>
    <xf numFmtId="4" fontId="76" fillId="0" borderId="24" xfId="42" applyNumberFormat="1" applyFont="1" applyBorder="1"/>
    <xf numFmtId="2" fontId="76" fillId="0" borderId="31" xfId="42" applyNumberFormat="1" applyFont="1" applyBorder="1" applyAlignment="1">
      <alignment horizontal="left" vertical="center" indent="1"/>
    </xf>
    <xf numFmtId="2" fontId="14" fillId="0" borderId="34" xfId="42" applyNumberFormat="1" applyFont="1" applyBorder="1" applyAlignment="1">
      <alignment horizontal="left" vertical="center" indent="1"/>
    </xf>
    <xf numFmtId="2" fontId="13" fillId="0" borderId="34" xfId="42" applyNumberFormat="1" applyFont="1" applyBorder="1" applyAlignment="1">
      <alignment horizontal="left" vertical="center" indent="1"/>
    </xf>
    <xf numFmtId="2" fontId="14" fillId="0" borderId="34" xfId="42" applyNumberFormat="1" applyFont="1" applyBorder="1" applyAlignment="1">
      <alignment horizontal="left" vertical="top" indent="1"/>
    </xf>
    <xf numFmtId="4" fontId="14" fillId="0" borderId="1" xfId="55" applyNumberFormat="1" applyFont="1" applyBorder="1" applyAlignment="1">
      <alignment horizontal="left" indent="4"/>
    </xf>
    <xf numFmtId="2" fontId="14" fillId="0" borderId="34" xfId="42" quotePrefix="1" applyNumberFormat="1" applyFont="1" applyBorder="1" applyAlignment="1">
      <alignment horizontal="left" vertical="center" indent="1"/>
    </xf>
    <xf numFmtId="0" fontId="48" fillId="0" borderId="6" xfId="56" applyFont="1" applyBorder="1" applyAlignment="1">
      <alignment horizontal="center" vertical="center"/>
    </xf>
    <xf numFmtId="4" fontId="16" fillId="11" borderId="6" xfId="56" applyNumberFormat="1" applyFont="1" applyFill="1" applyBorder="1" applyAlignment="1">
      <alignment horizontal="center" vertical="center"/>
    </xf>
    <xf numFmtId="2" fontId="51" fillId="0" borderId="34" xfId="55" applyNumberFormat="1" applyFont="1" applyBorder="1" applyAlignment="1">
      <alignment horizontal="left" vertical="center" indent="1"/>
    </xf>
    <xf numFmtId="1" fontId="52" fillId="8" borderId="37" xfId="55" applyNumberFormat="1" applyFont="1" applyFill="1" applyBorder="1" applyAlignment="1">
      <alignment horizontal="center" vertical="center"/>
    </xf>
    <xf numFmtId="4" fontId="17" fillId="0" borderId="0" xfId="73" applyNumberFormat="1" applyFont="1" applyAlignment="1">
      <alignment horizontal="center" vertical="center"/>
    </xf>
    <xf numFmtId="0" fontId="17" fillId="0" borderId="0" xfId="73" applyFont="1" applyAlignment="1">
      <alignment horizontal="center" vertical="center"/>
    </xf>
    <xf numFmtId="4" fontId="17" fillId="0" borderId="6" xfId="73" applyNumberFormat="1" applyFont="1" applyBorder="1" applyAlignment="1">
      <alignment horizontal="center" vertical="center"/>
    </xf>
    <xf numFmtId="4" fontId="17" fillId="0" borderId="0" xfId="73" applyNumberFormat="1" applyFont="1" applyAlignment="1">
      <alignment vertical="center"/>
    </xf>
    <xf numFmtId="174" fontId="17" fillId="0" borderId="6" xfId="73" applyNumberFormat="1" applyFont="1" applyBorder="1" applyAlignment="1">
      <alignment horizontal="center" vertical="center"/>
    </xf>
    <xf numFmtId="4" fontId="17" fillId="0" borderId="4" xfId="73" applyNumberFormat="1" applyFont="1" applyBorder="1" applyAlignment="1">
      <alignment horizontal="center" vertical="center"/>
    </xf>
    <xf numFmtId="4" fontId="17" fillId="3" borderId="10" xfId="73" applyNumberFormat="1" applyFont="1" applyFill="1" applyBorder="1" applyAlignment="1">
      <alignment horizontal="center" vertical="center"/>
    </xf>
    <xf numFmtId="3" fontId="17" fillId="3" borderId="10" xfId="73" applyNumberFormat="1" applyFont="1" applyFill="1" applyBorder="1" applyAlignment="1">
      <alignment horizontal="center" vertical="center"/>
    </xf>
    <xf numFmtId="0" fontId="17" fillId="3" borderId="10" xfId="73" applyFont="1" applyFill="1" applyBorder="1" applyAlignment="1">
      <alignment horizontal="center" vertical="center"/>
    </xf>
    <xf numFmtId="4" fontId="17" fillId="3" borderId="43" xfId="73" applyNumberFormat="1" applyFont="1" applyFill="1" applyBorder="1" applyAlignment="1">
      <alignment horizontal="center" vertical="center"/>
    </xf>
    <xf numFmtId="4" fontId="17" fillId="3" borderId="44" xfId="73" applyNumberFormat="1" applyFont="1" applyFill="1" applyBorder="1" applyAlignment="1">
      <alignment horizontal="center" vertical="center"/>
    </xf>
    <xf numFmtId="4" fontId="17" fillId="3" borderId="1" xfId="73" applyNumberFormat="1" applyFont="1" applyFill="1" applyBorder="1" applyAlignment="1">
      <alignment horizontal="center" vertical="center"/>
    </xf>
    <xf numFmtId="3" fontId="17" fillId="3" borderId="1" xfId="73" applyNumberFormat="1" applyFont="1" applyFill="1" applyBorder="1" applyAlignment="1">
      <alignment horizontal="center" vertical="center"/>
    </xf>
    <xf numFmtId="4" fontId="17" fillId="3" borderId="0" xfId="73" applyNumberFormat="1" applyFont="1" applyFill="1" applyAlignment="1">
      <alignment horizontal="center" vertical="center"/>
    </xf>
    <xf numFmtId="4" fontId="17" fillId="3" borderId="3" xfId="73" applyNumberFormat="1" applyFont="1" applyFill="1" applyBorder="1" applyAlignment="1">
      <alignment horizontal="center" vertical="center"/>
    </xf>
    <xf numFmtId="0" fontId="17" fillId="3" borderId="1" xfId="73" applyFont="1" applyFill="1" applyBorder="1" applyAlignment="1">
      <alignment horizontal="center" vertical="center"/>
    </xf>
    <xf numFmtId="0" fontId="17" fillId="3" borderId="9" xfId="73" applyFont="1" applyFill="1" applyBorder="1" applyAlignment="1">
      <alignment horizontal="center" vertical="center"/>
    </xf>
    <xf numFmtId="3" fontId="17" fillId="3" borderId="9" xfId="73" applyNumberFormat="1" applyFont="1" applyFill="1" applyBorder="1" applyAlignment="1">
      <alignment horizontal="center" vertical="center"/>
    </xf>
    <xf numFmtId="4" fontId="17" fillId="3" borderId="11" xfId="73" applyNumberFormat="1" applyFont="1" applyFill="1" applyBorder="1" applyAlignment="1">
      <alignment horizontal="center" vertical="center"/>
    </xf>
    <xf numFmtId="4" fontId="17" fillId="3" borderId="12" xfId="73" applyNumberFormat="1" applyFont="1" applyFill="1" applyBorder="1" applyAlignment="1">
      <alignment horizontal="center" vertical="center"/>
    </xf>
    <xf numFmtId="0" fontId="17" fillId="3" borderId="0" xfId="73" applyFont="1" applyFill="1" applyAlignment="1">
      <alignment horizontal="center" vertical="center"/>
    </xf>
    <xf numFmtId="4" fontId="17" fillId="3" borderId="4" xfId="73" applyNumberFormat="1" applyFont="1" applyFill="1" applyBorder="1" applyAlignment="1">
      <alignment horizontal="center" vertical="center"/>
    </xf>
    <xf numFmtId="3" fontId="17" fillId="3" borderId="4" xfId="73" applyNumberFormat="1" applyFont="1" applyFill="1" applyBorder="1" applyAlignment="1">
      <alignment horizontal="center" vertical="center"/>
    </xf>
    <xf numFmtId="0" fontId="17" fillId="3" borderId="4" xfId="73" applyFont="1" applyFill="1" applyBorder="1" applyAlignment="1">
      <alignment horizontal="center" vertical="center"/>
    </xf>
    <xf numFmtId="4" fontId="17" fillId="3" borderId="18" xfId="73" applyNumberFormat="1" applyFont="1" applyFill="1" applyBorder="1" applyAlignment="1">
      <alignment horizontal="center" vertical="center"/>
    </xf>
    <xf numFmtId="4" fontId="17" fillId="3" borderId="19" xfId="73" applyNumberFormat="1" applyFont="1" applyFill="1" applyBorder="1" applyAlignment="1">
      <alignment horizontal="center" vertical="center"/>
    </xf>
    <xf numFmtId="2" fontId="17" fillId="3" borderId="0" xfId="73" applyNumberFormat="1" applyFont="1" applyFill="1" applyAlignment="1">
      <alignment horizontal="center" vertical="center"/>
    </xf>
    <xf numFmtId="4" fontId="17" fillId="3" borderId="0" xfId="73" applyNumberFormat="1" applyFont="1" applyFill="1" applyAlignment="1">
      <alignment vertical="center"/>
    </xf>
    <xf numFmtId="4" fontId="17" fillId="3" borderId="0" xfId="73" applyNumberFormat="1" applyFont="1" applyFill="1" applyAlignment="1">
      <alignment horizontal="right" vertical="center"/>
    </xf>
    <xf numFmtId="4" fontId="17" fillId="3" borderId="0" xfId="73" applyNumberFormat="1" applyFont="1" applyFill="1" applyAlignment="1">
      <alignment horizontal="left" vertical="center"/>
    </xf>
    <xf numFmtId="4" fontId="17" fillId="3" borderId="18" xfId="73" applyNumberFormat="1" applyFont="1" applyFill="1" applyBorder="1" applyAlignment="1">
      <alignment vertical="center"/>
    </xf>
    <xf numFmtId="4" fontId="17" fillId="3" borderId="0" xfId="73" applyNumberFormat="1" applyFont="1" applyFill="1" applyAlignment="1">
      <alignment horizontal="right" vertical="top"/>
    </xf>
    <xf numFmtId="4" fontId="17" fillId="3" borderId="18" xfId="73" applyNumberFormat="1" applyFont="1" applyFill="1" applyBorder="1" applyAlignment="1">
      <alignment horizontal="left"/>
    </xf>
    <xf numFmtId="4" fontId="17" fillId="3" borderId="0" xfId="73" applyNumberFormat="1" applyFont="1" applyFill="1" applyAlignment="1">
      <alignment horizontal="center" vertical="top"/>
    </xf>
    <xf numFmtId="4" fontId="17" fillId="3" borderId="0" xfId="73" applyNumberFormat="1" applyFont="1" applyFill="1" applyAlignment="1">
      <alignment horizontal="left"/>
    </xf>
    <xf numFmtId="4" fontId="17" fillId="3" borderId="0" xfId="73" applyNumberFormat="1" applyFont="1" applyFill="1" applyAlignment="1">
      <alignment horizontal="left" vertical="center" wrapText="1"/>
    </xf>
    <xf numFmtId="4" fontId="17" fillId="3" borderId="9" xfId="73" applyNumberFormat="1" applyFont="1" applyFill="1" applyBorder="1" applyAlignment="1">
      <alignment horizontal="center" vertical="center"/>
    </xf>
    <xf numFmtId="0" fontId="17" fillId="3" borderId="45" xfId="73" applyFont="1" applyFill="1" applyBorder="1" applyAlignment="1">
      <alignment horizontal="center" vertical="center"/>
    </xf>
    <xf numFmtId="4" fontId="17" fillId="3" borderId="46" xfId="73" applyNumberFormat="1" applyFont="1" applyFill="1" applyBorder="1" applyAlignment="1">
      <alignment horizontal="center" vertical="center"/>
    </xf>
    <xf numFmtId="4" fontId="17" fillId="3" borderId="47" xfId="73" applyNumberFormat="1" applyFont="1" applyFill="1" applyBorder="1" applyAlignment="1">
      <alignment horizontal="center" vertical="center"/>
    </xf>
    <xf numFmtId="4" fontId="16" fillId="3" borderId="0" xfId="73" applyNumberFormat="1" applyFont="1" applyFill="1" applyAlignment="1">
      <alignment vertical="center"/>
    </xf>
    <xf numFmtId="4" fontId="16" fillId="3" borderId="0" xfId="73" applyNumberFormat="1" applyFont="1" applyFill="1" applyAlignment="1">
      <alignment horizontal="center" vertical="center"/>
    </xf>
    <xf numFmtId="4" fontId="16" fillId="3" borderId="11" xfId="73" applyNumberFormat="1" applyFont="1" applyFill="1" applyBorder="1" applyAlignment="1">
      <alignment horizontal="center" vertical="center"/>
    </xf>
    <xf numFmtId="4" fontId="16" fillId="3" borderId="18" xfId="73" applyNumberFormat="1" applyFont="1" applyFill="1" applyBorder="1" applyAlignment="1">
      <alignment horizontal="center" vertical="center"/>
    </xf>
    <xf numFmtId="0" fontId="17" fillId="3" borderId="1" xfId="73" applyFont="1" applyFill="1" applyBorder="1" applyAlignment="1">
      <alignment horizontal="center" vertical="center" textRotation="90" wrapText="1"/>
    </xf>
    <xf numFmtId="4" fontId="16" fillId="3" borderId="18" xfId="73" applyNumberFormat="1" applyFont="1" applyFill="1" applyBorder="1" applyAlignment="1">
      <alignment horizontal="right" vertical="center"/>
    </xf>
    <xf numFmtId="4" fontId="17" fillId="3" borderId="11" xfId="73" applyNumberFormat="1" applyFont="1" applyFill="1" applyBorder="1" applyAlignment="1">
      <alignment horizontal="left" vertical="center"/>
    </xf>
    <xf numFmtId="3" fontId="17" fillId="3" borderId="3" xfId="73" applyNumberFormat="1" applyFont="1" applyFill="1" applyBorder="1" applyAlignment="1">
      <alignment horizontal="center" vertical="center"/>
    </xf>
    <xf numFmtId="0" fontId="17" fillId="3" borderId="3" xfId="73" applyFont="1" applyFill="1" applyBorder="1" applyAlignment="1">
      <alignment horizontal="center" vertical="center"/>
    </xf>
    <xf numFmtId="0" fontId="17" fillId="3" borderId="3" xfId="73" applyFont="1" applyFill="1" applyBorder="1" applyAlignment="1">
      <alignment horizontal="center" vertical="center" textRotation="90" wrapText="1"/>
    </xf>
    <xf numFmtId="0" fontId="17" fillId="3" borderId="18" xfId="73" applyFont="1" applyFill="1" applyBorder="1" applyAlignment="1">
      <alignment horizontal="center" vertical="center"/>
    </xf>
    <xf numFmtId="4" fontId="17" fillId="3" borderId="45" xfId="73" applyNumberFormat="1" applyFont="1" applyFill="1" applyBorder="1" applyAlignment="1">
      <alignment horizontal="center" vertical="center"/>
    </xf>
    <xf numFmtId="0" fontId="17" fillId="3" borderId="46" xfId="73" applyFont="1" applyFill="1" applyBorder="1" applyAlignment="1">
      <alignment horizontal="center" vertical="center"/>
    </xf>
    <xf numFmtId="0" fontId="25" fillId="8" borderId="6" xfId="73" applyFont="1" applyFill="1" applyBorder="1" applyAlignment="1">
      <alignment horizontal="center" vertical="center"/>
    </xf>
    <xf numFmtId="0" fontId="17" fillId="3" borderId="32" xfId="73" applyFont="1" applyFill="1" applyBorder="1" applyAlignment="1">
      <alignment horizontal="center" vertical="center"/>
    </xf>
    <xf numFmtId="0" fontId="17" fillId="3" borderId="2" xfId="73" applyFont="1" applyFill="1" applyBorder="1" applyAlignment="1">
      <alignment horizontal="center" vertical="center"/>
    </xf>
    <xf numFmtId="0" fontId="17" fillId="3" borderId="25" xfId="73" applyFont="1" applyFill="1" applyBorder="1" applyAlignment="1">
      <alignment horizontal="center" vertical="center"/>
    </xf>
    <xf numFmtId="0" fontId="17" fillId="3" borderId="33" xfId="73" applyFont="1" applyFill="1" applyBorder="1" applyAlignment="1">
      <alignment horizontal="center" vertical="center"/>
    </xf>
    <xf numFmtId="4" fontId="13" fillId="3" borderId="0" xfId="42" applyNumberFormat="1" applyFont="1" applyFill="1" applyAlignment="1">
      <alignment horizontal="left" indent="1"/>
    </xf>
    <xf numFmtId="4" fontId="57" fillId="3" borderId="0" xfId="42" applyNumberFormat="1" applyFont="1" applyFill="1"/>
    <xf numFmtId="2" fontId="57" fillId="3" borderId="0" xfId="42" applyNumberFormat="1" applyFont="1" applyFill="1" applyAlignment="1">
      <alignment horizontal="left" vertical="center" indent="1"/>
    </xf>
    <xf numFmtId="2" fontId="57" fillId="3" borderId="30" xfId="42" applyNumberFormat="1" applyFont="1" applyFill="1" applyBorder="1" applyAlignment="1">
      <alignment horizontal="left" vertical="center" indent="1"/>
    </xf>
    <xf numFmtId="0" fontId="89" fillId="3" borderId="33" xfId="73" applyFont="1" applyFill="1" applyBorder="1" applyAlignment="1">
      <alignment horizontal="center" vertical="center"/>
    </xf>
    <xf numFmtId="0" fontId="89" fillId="3" borderId="0" xfId="73" applyFont="1" applyFill="1" applyAlignment="1">
      <alignment horizontal="center" vertical="center"/>
    </xf>
    <xf numFmtId="0" fontId="89" fillId="3" borderId="30" xfId="73" applyFont="1" applyFill="1" applyBorder="1" applyAlignment="1">
      <alignment horizontal="center" vertical="center"/>
    </xf>
    <xf numFmtId="4" fontId="14" fillId="0" borderId="14" xfId="55" applyNumberFormat="1" applyFont="1" applyBorder="1" applyAlignment="1">
      <alignment horizontal="center" vertical="center"/>
    </xf>
    <xf numFmtId="0" fontId="48" fillId="0" borderId="1" xfId="56" applyFont="1" applyBorder="1">
      <alignment vertical="center"/>
    </xf>
    <xf numFmtId="4" fontId="14" fillId="0" borderId="33" xfId="55" applyNumberFormat="1" applyFont="1" applyBorder="1" applyAlignment="1">
      <alignment horizontal="center" vertical="center"/>
    </xf>
    <xf numFmtId="4" fontId="13" fillId="0" borderId="1" xfId="55" applyNumberFormat="1" applyFont="1" applyBorder="1" applyAlignment="1">
      <alignment horizontal="left" indent="1"/>
    </xf>
    <xf numFmtId="2" fontId="13" fillId="0" borderId="34" xfId="55" applyNumberFormat="1" applyFont="1" applyBorder="1" applyAlignment="1">
      <alignment horizontal="left" vertical="center" indent="1"/>
    </xf>
    <xf numFmtId="166" fontId="16" fillId="0" borderId="0" xfId="42" applyFont="1"/>
    <xf numFmtId="4" fontId="13" fillId="0" borderId="23" xfId="42" applyNumberFormat="1" applyFont="1" applyBorder="1"/>
    <xf numFmtId="4" fontId="14" fillId="0" borderId="2" xfId="42" applyNumberFormat="1" applyFont="1" applyBorder="1"/>
    <xf numFmtId="4" fontId="14" fillId="0" borderId="24" xfId="42" applyNumberFormat="1" applyFont="1" applyBorder="1"/>
    <xf numFmtId="166" fontId="14" fillId="0" borderId="24" xfId="42" applyFont="1" applyBorder="1" applyAlignment="1">
      <alignment horizontal="center"/>
    </xf>
    <xf numFmtId="4" fontId="31" fillId="0" borderId="2" xfId="42" applyNumberFormat="1" applyFont="1" applyBorder="1" applyAlignment="1">
      <alignment horizontal="right"/>
    </xf>
    <xf numFmtId="180" fontId="90" fillId="0" borderId="31" xfId="42" applyNumberFormat="1" applyFont="1" applyBorder="1" applyAlignment="1">
      <alignment horizontal="left"/>
    </xf>
    <xf numFmtId="4" fontId="13" fillId="0" borderId="29" xfId="42" applyNumberFormat="1" applyFont="1" applyBorder="1"/>
    <xf numFmtId="4" fontId="14" fillId="0" borderId="0" xfId="42" applyNumberFormat="1" applyFont="1"/>
    <xf numFmtId="166" fontId="14" fillId="0" borderId="1" xfId="42" applyFont="1" applyBorder="1" applyAlignment="1">
      <alignment horizontal="center"/>
    </xf>
    <xf numFmtId="4" fontId="14" fillId="0" borderId="0" xfId="42" applyNumberFormat="1" applyFont="1" applyAlignment="1">
      <alignment horizontal="right"/>
    </xf>
    <xf numFmtId="180" fontId="90" fillId="0" borderId="34" xfId="42" applyNumberFormat="1" applyFont="1" applyBorder="1" applyAlignment="1">
      <alignment horizontal="left"/>
    </xf>
    <xf numFmtId="166" fontId="64" fillId="0" borderId="0" xfId="42" applyFont="1"/>
    <xf numFmtId="4" fontId="14" fillId="0" borderId="29" xfId="42" applyNumberFormat="1" applyFont="1" applyBorder="1"/>
    <xf numFmtId="4" fontId="31" fillId="0" borderId="0" xfId="42" applyNumberFormat="1" applyFont="1"/>
    <xf numFmtId="4" fontId="31" fillId="0" borderId="0" xfId="42" applyNumberFormat="1" applyFont="1" applyAlignment="1">
      <alignment horizontal="right"/>
    </xf>
    <xf numFmtId="166" fontId="91" fillId="0" borderId="29" xfId="42" applyFont="1" applyBorder="1" applyAlignment="1">
      <alignment vertical="center"/>
    </xf>
    <xf numFmtId="166" fontId="91" fillId="0" borderId="0" xfId="42" applyFont="1" applyAlignment="1">
      <alignment vertical="center"/>
    </xf>
    <xf numFmtId="166" fontId="91" fillId="0" borderId="1" xfId="42" applyFont="1" applyBorder="1" applyAlignment="1">
      <alignment vertical="center"/>
    </xf>
    <xf numFmtId="166" fontId="13" fillId="0" borderId="0" xfId="42" applyFont="1" applyAlignment="1">
      <alignment horizontal="left" vertical="center"/>
    </xf>
    <xf numFmtId="4" fontId="14" fillId="0" borderId="0" xfId="42" applyNumberFormat="1" applyFont="1" applyAlignment="1">
      <alignment horizontal="left" indent="5"/>
    </xf>
    <xf numFmtId="4" fontId="14" fillId="0" borderId="0" xfId="42" applyNumberFormat="1" applyFont="1" applyAlignment="1">
      <alignment horizontal="right" indent="2"/>
    </xf>
    <xf numFmtId="4" fontId="14" fillId="0" borderId="0" xfId="42" applyNumberFormat="1" applyFont="1" applyAlignment="1">
      <alignment horizontal="left" indent="3"/>
    </xf>
    <xf numFmtId="180" fontId="16" fillId="0" borderId="34" xfId="42" quotePrefix="1" applyNumberFormat="1" applyFont="1" applyBorder="1" applyAlignment="1">
      <alignment horizontal="left"/>
    </xf>
    <xf numFmtId="4" fontId="14" fillId="0" borderId="1" xfId="42" applyNumberFormat="1" applyFont="1" applyBorder="1" applyAlignment="1">
      <alignment horizontal="center"/>
    </xf>
    <xf numFmtId="166" fontId="92" fillId="0" borderId="0" xfId="42" applyFont="1"/>
    <xf numFmtId="166" fontId="91" fillId="0" borderId="0" xfId="42" applyFont="1"/>
    <xf numFmtId="166" fontId="51" fillId="0" borderId="0" xfId="42" applyFont="1" applyAlignment="1">
      <alignment vertical="center"/>
    </xf>
    <xf numFmtId="181" fontId="51" fillId="0" borderId="34" xfId="42" applyNumberFormat="1" applyFont="1" applyBorder="1" applyAlignment="1">
      <alignment horizontal="left"/>
    </xf>
    <xf numFmtId="166" fontId="52" fillId="0" borderId="53" xfId="42" applyFont="1" applyBorder="1" applyAlignment="1">
      <alignment horizontal="center" vertical="center"/>
    </xf>
    <xf numFmtId="166" fontId="52" fillId="0" borderId="0" xfId="42" applyFont="1" applyAlignment="1">
      <alignment horizontal="center" vertical="center"/>
    </xf>
    <xf numFmtId="166" fontId="52" fillId="0" borderId="9" xfId="42" applyFont="1" applyBorder="1" applyAlignment="1">
      <alignment horizontal="center" vertical="center"/>
    </xf>
    <xf numFmtId="0" fontId="93" fillId="0" borderId="0" xfId="74" applyFont="1" applyAlignment="1">
      <alignment horizontal="left" vertical="center"/>
    </xf>
    <xf numFmtId="182" fontId="93" fillId="0" borderId="54" xfId="42" applyNumberFormat="1" applyFont="1" applyBorder="1" applyAlignment="1">
      <alignment horizontal="left"/>
    </xf>
    <xf numFmtId="166" fontId="52" fillId="8" borderId="6" xfId="42" applyFont="1" applyFill="1" applyBorder="1" applyAlignment="1">
      <alignment horizontal="center" vertical="center"/>
    </xf>
    <xf numFmtId="4" fontId="14" fillId="0" borderId="33" xfId="42" applyNumberFormat="1" applyFont="1" applyBorder="1" applyAlignment="1">
      <alignment horizontal="right"/>
    </xf>
    <xf numFmtId="166" fontId="14" fillId="0" borderId="0" xfId="42" applyFont="1" applyAlignment="1">
      <alignment horizontal="center"/>
    </xf>
    <xf numFmtId="49" fontId="16" fillId="0" borderId="30" xfId="42" applyNumberFormat="1" applyFont="1" applyBorder="1"/>
    <xf numFmtId="0" fontId="13" fillId="3" borderId="57" xfId="42" applyNumberFormat="1" applyFont="1" applyFill="1" applyBorder="1" applyAlignment="1">
      <alignment horizontal="center"/>
    </xf>
    <xf numFmtId="0" fontId="13" fillId="3" borderId="5" xfId="42" applyNumberFormat="1" applyFont="1" applyFill="1" applyBorder="1" applyAlignment="1">
      <alignment horizontal="center"/>
    </xf>
    <xf numFmtId="4" fontId="14" fillId="0" borderId="5" xfId="42" applyNumberFormat="1" applyFont="1" applyBorder="1" applyAlignment="1">
      <alignment horizontal="right"/>
    </xf>
    <xf numFmtId="4" fontId="13" fillId="0" borderId="60" xfId="42" applyNumberFormat="1" applyFont="1" applyBorder="1" applyAlignment="1">
      <alignment horizontal="right"/>
    </xf>
    <xf numFmtId="166" fontId="14" fillId="0" borderId="5" xfId="42" applyFont="1" applyBorder="1" applyAlignment="1">
      <alignment horizontal="center"/>
    </xf>
    <xf numFmtId="0" fontId="13" fillId="3" borderId="5" xfId="74" applyFont="1" applyFill="1" applyBorder="1" applyAlignment="1">
      <alignment horizontal="left" vertical="center"/>
    </xf>
    <xf numFmtId="182" fontId="57" fillId="0" borderId="61" xfId="42" applyNumberFormat="1" applyFont="1" applyBorder="1" applyAlignment="1">
      <alignment horizontal="left"/>
    </xf>
    <xf numFmtId="0" fontId="14" fillId="0" borderId="0" xfId="42" applyNumberFormat="1" applyFont="1"/>
    <xf numFmtId="4" fontId="14" fillId="0" borderId="0" xfId="42" applyNumberFormat="1" applyFont="1" applyAlignment="1">
      <alignment horizontal="right" wrapText="1"/>
    </xf>
    <xf numFmtId="2" fontId="94" fillId="0" borderId="34" xfId="42" applyNumberFormat="1" applyFont="1" applyBorder="1" applyAlignment="1">
      <alignment horizontal="left"/>
    </xf>
    <xf numFmtId="182" fontId="51" fillId="0" borderId="34" xfId="42" applyNumberFormat="1" applyFont="1" applyBorder="1" applyAlignment="1">
      <alignment horizontal="left"/>
    </xf>
    <xf numFmtId="177" fontId="94" fillId="0" borderId="34" xfId="42" applyNumberFormat="1" applyFont="1" applyBorder="1" applyAlignment="1">
      <alignment horizontal="left"/>
    </xf>
    <xf numFmtId="2" fontId="6" fillId="0" borderId="0" xfId="56" applyNumberFormat="1">
      <alignment vertical="center"/>
    </xf>
    <xf numFmtId="2" fontId="6" fillId="0" borderId="0" xfId="56" applyNumberFormat="1" applyAlignment="1">
      <alignment horizontal="left" vertical="center"/>
    </xf>
    <xf numFmtId="2" fontId="26" fillId="0" borderId="0" xfId="56" applyNumberFormat="1" applyFont="1">
      <alignment vertical="center"/>
    </xf>
    <xf numFmtId="2" fontId="48" fillId="0" borderId="0" xfId="56" applyNumberFormat="1" applyFont="1">
      <alignment vertical="center"/>
    </xf>
    <xf numFmtId="2" fontId="81" fillId="0" borderId="0" xfId="55" applyNumberFormat="1" applyFont="1"/>
    <xf numFmtId="1" fontId="14" fillId="0" borderId="4" xfId="55" applyNumberFormat="1" applyFont="1" applyBorder="1" applyAlignment="1">
      <alignment horizontal="center" vertical="center"/>
    </xf>
    <xf numFmtId="2" fontId="14" fillId="0" borderId="4" xfId="55" applyNumberFormat="1" applyFont="1" applyBorder="1" applyAlignment="1">
      <alignment horizontal="center" vertical="center"/>
    </xf>
    <xf numFmtId="2" fontId="14" fillId="0" borderId="4" xfId="55" applyNumberFormat="1" applyFont="1" applyBorder="1"/>
    <xf numFmtId="2" fontId="14" fillId="0" borderId="4" xfId="55" applyNumberFormat="1" applyFont="1" applyBorder="1" applyAlignment="1">
      <alignment horizontal="left" vertical="center"/>
    </xf>
    <xf numFmtId="1" fontId="14" fillId="0" borderId="1" xfId="42" applyNumberFormat="1" applyFont="1" applyBorder="1" applyAlignment="1">
      <alignment horizontal="center" vertical="center"/>
    </xf>
    <xf numFmtId="1" fontId="13" fillId="0" borderId="1" xfId="55" applyNumberFormat="1" applyFont="1" applyBorder="1" applyAlignment="1">
      <alignment horizontal="center" vertical="center"/>
    </xf>
    <xf numFmtId="2" fontId="13" fillId="0" borderId="1" xfId="55" applyNumberFormat="1" applyFont="1" applyBorder="1" applyAlignment="1">
      <alignment horizontal="left"/>
    </xf>
    <xf numFmtId="2" fontId="13" fillId="0" borderId="1" xfId="42" applyNumberFormat="1" applyFont="1" applyBorder="1" applyAlignment="1">
      <alignment horizontal="left" vertical="center"/>
    </xf>
    <xf numFmtId="4" fontId="14" fillId="0" borderId="1" xfId="68" applyNumberFormat="1" applyFont="1" applyBorder="1" applyAlignment="1" applyProtection="1">
      <alignment horizontal="center" vertical="center"/>
      <protection locked="0"/>
    </xf>
    <xf numFmtId="2" fontId="14" fillId="0" borderId="1" xfId="42" applyNumberFormat="1" applyFont="1" applyBorder="1" applyAlignment="1">
      <alignment horizontal="right" vertical="center" wrapText="1"/>
    </xf>
    <xf numFmtId="184" fontId="14" fillId="0" borderId="1" xfId="42" applyNumberFormat="1" applyFont="1" applyBorder="1" applyAlignment="1">
      <alignment horizontal="center" vertical="center"/>
    </xf>
    <xf numFmtId="1" fontId="14" fillId="0" borderId="1" xfId="42" applyNumberFormat="1" applyFont="1" applyBorder="1" applyAlignment="1">
      <alignment horizontal="center" vertical="top" wrapText="1"/>
    </xf>
    <xf numFmtId="2" fontId="14" fillId="0" borderId="1" xfId="42" applyNumberFormat="1" applyFont="1" applyBorder="1" applyAlignment="1">
      <alignment horizontal="right" wrapText="1"/>
    </xf>
    <xf numFmtId="2" fontId="14" fillId="0" borderId="1" xfId="42" quotePrefix="1" applyNumberFormat="1" applyFont="1" applyBorder="1" applyAlignment="1">
      <alignment horizontal="left" vertical="center"/>
    </xf>
    <xf numFmtId="4" fontId="14" fillId="0" borderId="1" xfId="42" applyNumberFormat="1" applyFont="1" applyBorder="1" applyAlignment="1">
      <alignment horizontal="left"/>
    </xf>
    <xf numFmtId="2" fontId="14" fillId="0" borderId="1" xfId="42" applyNumberFormat="1" applyFont="1" applyBorder="1" applyAlignment="1">
      <alignment horizontal="left" vertical="center"/>
    </xf>
    <xf numFmtId="2" fontId="14" fillId="0" borderId="1" xfId="42" applyNumberFormat="1" applyFont="1" applyBorder="1" applyAlignment="1">
      <alignment horizontal="left" wrapText="1" indent="4"/>
    </xf>
    <xf numFmtId="2" fontId="14" fillId="0" borderId="1" xfId="42" applyNumberFormat="1" applyFont="1" applyBorder="1" applyAlignment="1">
      <alignment horizontal="center" vertical="top" wrapText="1"/>
    </xf>
    <xf numFmtId="2" fontId="14" fillId="0" borderId="1" xfId="42" applyNumberFormat="1" applyFont="1" applyBorder="1" applyAlignment="1">
      <alignment horizontal="right" vertical="top" wrapText="1"/>
    </xf>
    <xf numFmtId="4" fontId="13" fillId="0" borderId="1" xfId="55" applyNumberFormat="1" applyFont="1" applyBorder="1" applyAlignment="1">
      <alignment horizontal="left"/>
    </xf>
    <xf numFmtId="4" fontId="48" fillId="0" borderId="14" xfId="56" applyNumberFormat="1" applyFont="1" applyBorder="1">
      <alignment vertical="center"/>
    </xf>
    <xf numFmtId="2" fontId="48" fillId="0" borderId="3" xfId="56" applyNumberFormat="1" applyFont="1" applyBorder="1" applyAlignment="1">
      <alignment horizontal="left" vertical="center"/>
    </xf>
    <xf numFmtId="4" fontId="14" fillId="0" borderId="9" xfId="42" applyNumberFormat="1" applyFont="1" applyBorder="1" applyAlignment="1">
      <alignment horizontal="center" vertical="center"/>
    </xf>
    <xf numFmtId="2" fontId="14" fillId="0" borderId="1" xfId="42" applyNumberFormat="1" applyFont="1" applyBorder="1" applyAlignment="1">
      <alignment horizontal="right" wrapText="1" indent="1"/>
    </xf>
    <xf numFmtId="2" fontId="14" fillId="0" borderId="1" xfId="42" applyNumberFormat="1" applyFont="1" applyBorder="1" applyAlignment="1">
      <alignment horizontal="left" vertical="top" wrapText="1"/>
    </xf>
    <xf numFmtId="1" fontId="14" fillId="0" borderId="1" xfId="42" applyNumberFormat="1" applyFont="1" applyBorder="1" applyAlignment="1">
      <alignment horizontal="center" vertical="center" wrapText="1"/>
    </xf>
    <xf numFmtId="4" fontId="14" fillId="0" borderId="1" xfId="42" applyNumberFormat="1" applyFont="1" applyBorder="1" applyAlignment="1">
      <alignment horizontal="left" wrapText="1"/>
    </xf>
    <xf numFmtId="2" fontId="49" fillId="0" borderId="35" xfId="42" applyNumberFormat="1" applyFont="1" applyBorder="1" applyAlignment="1">
      <alignment horizontal="left" vertical="center" wrapText="1"/>
    </xf>
    <xf numFmtId="2" fontId="14" fillId="0" borderId="1" xfId="42" applyNumberFormat="1" applyFont="1" applyBorder="1" applyAlignment="1">
      <alignment horizontal="left" vertical="top" wrapText="1" indent="3"/>
    </xf>
    <xf numFmtId="2" fontId="14" fillId="0" borderId="1" xfId="42" applyNumberFormat="1" applyFont="1" applyBorder="1" applyAlignment="1">
      <alignment horizontal="right" wrapText="1" indent="3"/>
    </xf>
    <xf numFmtId="0" fontId="16" fillId="0" borderId="6" xfId="56" applyFont="1" applyBorder="1">
      <alignment vertical="center"/>
    </xf>
    <xf numFmtId="4" fontId="14" fillId="0" borderId="1" xfId="55" applyNumberFormat="1" applyFont="1" applyBorder="1" applyAlignment="1">
      <alignment horizontal="left" vertical="center" wrapText="1"/>
    </xf>
    <xf numFmtId="1" fontId="14" fillId="0" borderId="1" xfId="55" applyNumberFormat="1" applyFont="1" applyBorder="1" applyAlignment="1">
      <alignment horizontal="center" vertical="center"/>
    </xf>
    <xf numFmtId="2" fontId="14" fillId="0" borderId="1" xfId="55" applyNumberFormat="1" applyFont="1" applyBorder="1"/>
    <xf numFmtId="2" fontId="14" fillId="0" borderId="1" xfId="55" applyNumberFormat="1" applyFont="1" applyBorder="1" applyAlignment="1">
      <alignment horizontal="left" vertical="center"/>
    </xf>
    <xf numFmtId="2" fontId="49" fillId="0" borderId="0" xfId="55" applyNumberFormat="1" applyFont="1"/>
    <xf numFmtId="2" fontId="13" fillId="0" borderId="1" xfId="55" applyNumberFormat="1" applyFont="1" applyBorder="1" applyAlignment="1">
      <alignment horizontal="left" indent="1"/>
    </xf>
    <xf numFmtId="2" fontId="7" fillId="0" borderId="0" xfId="42" applyNumberFormat="1"/>
    <xf numFmtId="2" fontId="59" fillId="0" borderId="0" xfId="56" applyNumberFormat="1" applyFont="1">
      <alignment vertical="center"/>
    </xf>
    <xf numFmtId="2" fontId="95" fillId="0" borderId="0" xfId="42" applyNumberFormat="1" applyFont="1" applyAlignment="1">
      <alignment horizontal="center" vertical="center"/>
    </xf>
    <xf numFmtId="1" fontId="51" fillId="0" borderId="1" xfId="55" applyNumberFormat="1" applyFont="1" applyBorder="1" applyAlignment="1">
      <alignment horizontal="center" vertical="center"/>
    </xf>
    <xf numFmtId="2" fontId="63" fillId="0" borderId="1" xfId="55" applyNumberFormat="1" applyFont="1" applyBorder="1" applyAlignment="1">
      <alignment horizontal="center" vertical="center"/>
    </xf>
    <xf numFmtId="2" fontId="51" fillId="0" borderId="1" xfId="55" applyNumberFormat="1" applyFont="1" applyBorder="1" applyAlignment="1">
      <alignment horizontal="left"/>
    </xf>
    <xf numFmtId="2" fontId="51" fillId="0" borderId="1" xfId="55" applyNumberFormat="1" applyFont="1" applyBorder="1" applyAlignment="1">
      <alignment horizontal="left" vertical="center"/>
    </xf>
    <xf numFmtId="2" fontId="96" fillId="0" borderId="0" xfId="42" applyNumberFormat="1" applyFont="1" applyAlignment="1">
      <alignment horizontal="center" vertical="center"/>
    </xf>
    <xf numFmtId="2" fontId="53" fillId="0" borderId="0" xfId="42" quotePrefix="1" applyNumberFormat="1" applyFont="1"/>
    <xf numFmtId="2" fontId="52" fillId="8" borderId="17" xfId="55" applyNumberFormat="1" applyFont="1" applyFill="1" applyBorder="1" applyAlignment="1">
      <alignment horizontal="center"/>
    </xf>
    <xf numFmtId="2" fontId="52" fillId="8" borderId="17" xfId="55" applyNumberFormat="1" applyFont="1" applyFill="1" applyBorder="1" applyAlignment="1">
      <alignment horizontal="left" vertical="center"/>
    </xf>
    <xf numFmtId="0" fontId="53" fillId="0" borderId="14" xfId="42" applyNumberFormat="1" applyFont="1" applyBorder="1" applyAlignment="1">
      <alignment horizontal="center"/>
    </xf>
    <xf numFmtId="0" fontId="53" fillId="0" borderId="3" xfId="55" applyFont="1" applyBorder="1" applyAlignment="1">
      <alignment horizontal="left" vertical="center"/>
    </xf>
    <xf numFmtId="2" fontId="53" fillId="0" borderId="0" xfId="42" applyNumberFormat="1" applyFont="1"/>
    <xf numFmtId="0" fontId="61" fillId="0" borderId="0" xfId="56" applyFont="1">
      <alignment vertical="center"/>
    </xf>
    <xf numFmtId="4" fontId="97" fillId="0" borderId="0" xfId="56" applyNumberFormat="1" applyFont="1" applyAlignment="1">
      <alignment horizontal="center" vertical="center"/>
    </xf>
    <xf numFmtId="4" fontId="61" fillId="0" borderId="0" xfId="56" applyNumberFormat="1" applyFont="1" applyAlignment="1">
      <alignment horizontal="center" vertical="center"/>
    </xf>
    <xf numFmtId="4" fontId="61" fillId="0" borderId="0" xfId="56" applyNumberFormat="1" applyFont="1">
      <alignment vertical="center"/>
    </xf>
    <xf numFmtId="1" fontId="61" fillId="0" borderId="0" xfId="56" applyNumberFormat="1" applyFont="1">
      <alignment vertical="center"/>
    </xf>
    <xf numFmtId="0" fontId="61" fillId="0" borderId="0" xfId="56" applyFont="1" applyAlignment="1">
      <alignment horizontal="center" vertical="center"/>
    </xf>
    <xf numFmtId="0" fontId="61" fillId="0" borderId="0" xfId="56" applyFont="1" applyAlignment="1">
      <alignment horizontal="left" vertical="center"/>
    </xf>
    <xf numFmtId="1" fontId="61" fillId="0" borderId="0" xfId="56" applyNumberFormat="1" applyFont="1" applyAlignment="1">
      <alignment horizontal="center" vertical="center"/>
    </xf>
    <xf numFmtId="0" fontId="14" fillId="0" borderId="4" xfId="38" applyFont="1" applyBorder="1" applyAlignment="1">
      <alignment horizontal="center" vertical="center"/>
    </xf>
    <xf numFmtId="0" fontId="14" fillId="0" borderId="4" xfId="38" applyFont="1" applyBorder="1" applyAlignment="1">
      <alignment horizontal="left" vertical="center" indent="5"/>
    </xf>
    <xf numFmtId="2" fontId="14" fillId="0" borderId="4" xfId="38" applyNumberFormat="1" applyFont="1" applyBorder="1" applyAlignment="1">
      <alignment horizontal="left"/>
    </xf>
    <xf numFmtId="0" fontId="14" fillId="0" borderId="1" xfId="38" applyFont="1" applyBorder="1" applyAlignment="1">
      <alignment horizontal="right" vertical="center" indent="1"/>
    </xf>
    <xf numFmtId="2" fontId="14" fillId="0" borderId="1" xfId="38" applyNumberFormat="1" applyFont="1" applyBorder="1" applyAlignment="1">
      <alignment horizontal="left"/>
    </xf>
    <xf numFmtId="0" fontId="64" fillId="0" borderId="1" xfId="38" applyFont="1" applyBorder="1" applyAlignment="1">
      <alignment horizontal="right" vertical="center"/>
    </xf>
    <xf numFmtId="0" fontId="14" fillId="0" borderId="1" xfId="38" applyFont="1" applyBorder="1" applyAlignment="1">
      <alignment horizontal="left" wrapText="1"/>
    </xf>
    <xf numFmtId="1" fontId="13" fillId="0" borderId="1" xfId="38" applyNumberFormat="1" applyFont="1" applyBorder="1" applyAlignment="1">
      <alignment horizontal="center" vertical="center"/>
    </xf>
    <xf numFmtId="0" fontId="14" fillId="0" borderId="1" xfId="38" applyFont="1" applyBorder="1"/>
    <xf numFmtId="0" fontId="14" fillId="0" borderId="1" xfId="38" applyFont="1" applyBorder="1" applyAlignment="1">
      <alignment horizontal="right"/>
    </xf>
    <xf numFmtId="0" fontId="13" fillId="0" borderId="1" xfId="38" applyFont="1" applyBorder="1" applyAlignment="1">
      <alignment horizontal="left" indent="2"/>
    </xf>
    <xf numFmtId="0" fontId="14" fillId="0" borderId="1" xfId="38" applyFont="1" applyBorder="1" applyAlignment="1">
      <alignment horizontal="left"/>
    </xf>
    <xf numFmtId="0" fontId="13" fillId="0" borderId="1" xfId="38" applyFont="1" applyBorder="1" applyAlignment="1">
      <alignment horizontal="left"/>
    </xf>
    <xf numFmtId="0" fontId="64" fillId="0" borderId="1" xfId="38" applyFont="1" applyBorder="1" applyAlignment="1">
      <alignment horizontal="left" indent="4"/>
    </xf>
    <xf numFmtId="0" fontId="14" fillId="0" borderId="1" xfId="38" applyFont="1" applyBorder="1" applyAlignment="1">
      <alignment horizontal="right" wrapText="1"/>
    </xf>
    <xf numFmtId="0" fontId="31" fillId="0" borderId="0" xfId="56" applyFont="1">
      <alignment vertical="center"/>
    </xf>
    <xf numFmtId="4" fontId="30" fillId="0" borderId="1" xfId="38" applyNumberFormat="1" applyFont="1" applyBorder="1" applyAlignment="1">
      <alignment horizontal="center" vertical="center"/>
    </xf>
    <xf numFmtId="4" fontId="31" fillId="0" borderId="1" xfId="56" applyNumberFormat="1" applyFont="1" applyBorder="1" applyAlignment="1" applyProtection="1">
      <alignment horizontal="center" vertical="center"/>
      <protection locked="0"/>
    </xf>
    <xf numFmtId="4" fontId="31" fillId="0" borderId="1" xfId="38" applyNumberFormat="1" applyFont="1" applyBorder="1" applyAlignment="1">
      <alignment horizontal="center" vertical="center"/>
    </xf>
    <xf numFmtId="3" fontId="31" fillId="0" borderId="1" xfId="38" applyNumberFormat="1" applyFont="1" applyBorder="1" applyAlignment="1">
      <alignment horizontal="center" vertical="center"/>
    </xf>
    <xf numFmtId="0" fontId="31" fillId="0" borderId="1" xfId="38" applyFont="1" applyBorder="1" applyAlignment="1">
      <alignment horizontal="center" vertical="center"/>
    </xf>
    <xf numFmtId="0" fontId="31" fillId="0" borderId="1" xfId="38" applyFont="1" applyBorder="1" applyAlignment="1">
      <alignment horizontal="right"/>
    </xf>
    <xf numFmtId="2" fontId="31" fillId="0" borderId="1" xfId="38" applyNumberFormat="1" applyFont="1" applyBorder="1" applyAlignment="1">
      <alignment horizontal="left"/>
    </xf>
    <xf numFmtId="0" fontId="31" fillId="0" borderId="1" xfId="38" applyFont="1" applyBorder="1" applyAlignment="1">
      <alignment horizontal="left"/>
    </xf>
    <xf numFmtId="166" fontId="31" fillId="0" borderId="1" xfId="42" applyFont="1" applyBorder="1" applyAlignment="1">
      <alignment horizontal="center" vertical="center"/>
    </xf>
    <xf numFmtId="2" fontId="31" fillId="0" borderId="1" xfId="42" applyNumberFormat="1" applyFont="1" applyBorder="1" applyAlignment="1">
      <alignment horizontal="left" vertical="center"/>
    </xf>
    <xf numFmtId="1" fontId="30" fillId="0" borderId="1" xfId="38" applyNumberFormat="1" applyFont="1" applyBorder="1" applyAlignment="1">
      <alignment horizontal="center" vertical="center"/>
    </xf>
    <xf numFmtId="0" fontId="30" fillId="0" borderId="1" xfId="38" applyFont="1" applyBorder="1" applyAlignment="1">
      <alignment horizontal="left"/>
    </xf>
    <xf numFmtId="2" fontId="30" fillId="0" borderId="1" xfId="42" applyNumberFormat="1" applyFont="1" applyBorder="1" applyAlignment="1">
      <alignment horizontal="left" vertical="center"/>
    </xf>
    <xf numFmtId="4" fontId="32" fillId="0" borderId="1" xfId="38" applyNumberFormat="1" applyFont="1" applyBorder="1" applyAlignment="1">
      <alignment horizontal="center" vertical="center"/>
    </xf>
    <xf numFmtId="4" fontId="62" fillId="0" borderId="1" xfId="38" applyNumberFormat="1" applyFont="1" applyBorder="1" applyAlignment="1">
      <alignment horizontal="center" vertical="center"/>
    </xf>
    <xf numFmtId="4" fontId="51" fillId="0" borderId="1" xfId="55" applyNumberFormat="1" applyFont="1" applyBorder="1" applyAlignment="1">
      <alignment horizontal="right"/>
    </xf>
    <xf numFmtId="4" fontId="32" fillId="0" borderId="45" xfId="38" applyNumberFormat="1" applyFont="1" applyBorder="1" applyAlignment="1">
      <alignment horizontal="center" vertical="center"/>
    </xf>
    <xf numFmtId="4" fontId="62" fillId="0" borderId="45" xfId="38" applyNumberFormat="1" applyFont="1" applyBorder="1" applyAlignment="1">
      <alignment horizontal="center" vertical="center"/>
    </xf>
    <xf numFmtId="1" fontId="51" fillId="0" borderId="45" xfId="55" applyNumberFormat="1" applyFont="1" applyBorder="1" applyAlignment="1">
      <alignment horizontal="center" vertical="center"/>
    </xf>
    <xf numFmtId="0" fontId="63" fillId="0" borderId="45" xfId="55" applyFont="1" applyBorder="1" applyAlignment="1">
      <alignment horizontal="center" vertical="center"/>
    </xf>
    <xf numFmtId="4" fontId="51" fillId="0" borderId="45" xfId="55" applyNumberFormat="1" applyFont="1" applyBorder="1" applyAlignment="1">
      <alignment horizontal="left"/>
    </xf>
    <xf numFmtId="166" fontId="61" fillId="0" borderId="0" xfId="42" applyFont="1"/>
    <xf numFmtId="1" fontId="52" fillId="8" borderId="17" xfId="55" applyNumberFormat="1" applyFont="1" applyFill="1" applyBorder="1" applyAlignment="1">
      <alignment horizontal="left"/>
    </xf>
    <xf numFmtId="0" fontId="97" fillId="0" borderId="14" xfId="42" applyNumberFormat="1" applyFont="1" applyBorder="1" applyAlignment="1">
      <alignment horizontal="center"/>
    </xf>
    <xf numFmtId="0" fontId="98" fillId="0" borderId="0" xfId="42" applyNumberFormat="1" applyFont="1" applyAlignment="1">
      <alignment horizontal="center"/>
    </xf>
    <xf numFmtId="0" fontId="97" fillId="0" borderId="0" xfId="42" applyNumberFormat="1" applyFont="1" applyAlignment="1">
      <alignment horizontal="center"/>
    </xf>
    <xf numFmtId="1" fontId="97" fillId="0" borderId="0" xfId="42" applyNumberFormat="1" applyFont="1" applyAlignment="1">
      <alignment horizontal="center"/>
    </xf>
    <xf numFmtId="0" fontId="97" fillId="0" borderId="3" xfId="55" applyFont="1" applyBorder="1" applyAlignment="1">
      <alignment horizontal="left"/>
    </xf>
    <xf numFmtId="0" fontId="13" fillId="0" borderId="3" xfId="55" applyFont="1" applyBorder="1" applyAlignment="1">
      <alignment horizontal="left"/>
    </xf>
    <xf numFmtId="0" fontId="77" fillId="0" borderId="0" xfId="42" applyNumberFormat="1" applyFont="1" applyAlignment="1">
      <alignment horizontal="center"/>
    </xf>
    <xf numFmtId="0" fontId="2" fillId="3" borderId="0" xfId="68" applyFill="1"/>
    <xf numFmtId="4" fontId="17" fillId="3" borderId="14" xfId="73" applyNumberFormat="1" applyFont="1" applyFill="1" applyBorder="1" applyAlignment="1">
      <alignment horizontal="center" vertical="center"/>
    </xf>
    <xf numFmtId="3" fontId="17" fillId="3" borderId="0" xfId="73" applyNumberFormat="1" applyFont="1" applyFill="1" applyAlignment="1">
      <alignment horizontal="center" vertical="center"/>
    </xf>
    <xf numFmtId="0" fontId="17" fillId="3" borderId="14" xfId="73" applyFont="1" applyFill="1" applyBorder="1" applyAlignment="1">
      <alignment horizontal="center" vertical="center"/>
    </xf>
    <xf numFmtId="4" fontId="17" fillId="3" borderId="18" xfId="73" applyNumberFormat="1" applyFont="1" applyFill="1" applyBorder="1" applyAlignment="1">
      <alignment horizontal="center" vertical="top"/>
    </xf>
    <xf numFmtId="16" fontId="17" fillId="3" borderId="1" xfId="73" applyNumberFormat="1" applyFont="1" applyFill="1" applyBorder="1" applyAlignment="1">
      <alignment horizontal="center" vertical="center"/>
    </xf>
    <xf numFmtId="2" fontId="17" fillId="3" borderId="0" xfId="73" applyNumberFormat="1" applyFont="1" applyFill="1" applyAlignment="1">
      <alignment horizontal="right" vertical="center"/>
    </xf>
    <xf numFmtId="3" fontId="17" fillId="3" borderId="12" xfId="73" applyNumberFormat="1" applyFont="1" applyFill="1" applyBorder="1" applyAlignment="1">
      <alignment horizontal="center" vertical="center"/>
    </xf>
    <xf numFmtId="0" fontId="17" fillId="3" borderId="12" xfId="73" applyFont="1" applyFill="1" applyBorder="1" applyAlignment="1">
      <alignment horizontal="center" vertical="center"/>
    </xf>
    <xf numFmtId="0" fontId="17" fillId="3" borderId="12" xfId="73" applyFont="1" applyFill="1" applyBorder="1" applyAlignment="1">
      <alignment horizontal="center" vertical="center" textRotation="90" wrapText="1"/>
    </xf>
    <xf numFmtId="4" fontId="17" fillId="3" borderId="18" xfId="73" applyNumberFormat="1" applyFont="1" applyFill="1" applyBorder="1" applyAlignment="1">
      <alignment horizontal="left" vertical="center"/>
    </xf>
    <xf numFmtId="4" fontId="17" fillId="3" borderId="13" xfId="73" applyNumberFormat="1" applyFont="1" applyFill="1" applyBorder="1" applyAlignment="1">
      <alignment horizontal="center" vertical="center"/>
    </xf>
    <xf numFmtId="16" fontId="17" fillId="3" borderId="14" xfId="73" applyNumberFormat="1" applyFont="1" applyFill="1" applyBorder="1" applyAlignment="1">
      <alignment horizontal="center" vertical="center"/>
    </xf>
    <xf numFmtId="0" fontId="18" fillId="3" borderId="6" xfId="73" applyFont="1" applyFill="1" applyBorder="1" applyAlignment="1">
      <alignment horizontal="center" vertical="center"/>
    </xf>
    <xf numFmtId="2" fontId="57" fillId="3" borderId="3" xfId="42" applyNumberFormat="1" applyFont="1" applyFill="1" applyBorder="1" applyAlignment="1">
      <alignment horizontal="left" vertical="center" indent="1"/>
    </xf>
    <xf numFmtId="0" fontId="89" fillId="3" borderId="14" xfId="73" applyFont="1" applyFill="1" applyBorder="1" applyAlignment="1">
      <alignment horizontal="center" vertical="center"/>
    </xf>
    <xf numFmtId="0" fontId="89" fillId="3" borderId="3" xfId="73" applyFont="1" applyFill="1" applyBorder="1" applyAlignment="1">
      <alignment horizontal="center" vertical="center"/>
    </xf>
    <xf numFmtId="0" fontId="60" fillId="3" borderId="14" xfId="73" applyFont="1" applyFill="1" applyBorder="1" applyAlignment="1">
      <alignment horizontal="left" vertical="center"/>
    </xf>
    <xf numFmtId="0" fontId="60" fillId="3" borderId="0" xfId="73" applyFont="1" applyFill="1" applyAlignment="1">
      <alignment vertical="center"/>
    </xf>
    <xf numFmtId="0" fontId="97" fillId="3" borderId="0" xfId="42" applyNumberFormat="1" applyFont="1" applyFill="1"/>
    <xf numFmtId="0" fontId="99" fillId="3" borderId="0" xfId="42" applyNumberFormat="1" applyFont="1" applyFill="1" applyAlignment="1">
      <alignment horizontal="center" wrapText="1"/>
    </xf>
    <xf numFmtId="0" fontId="13" fillId="3" borderId="0" xfId="42" applyNumberFormat="1" applyFont="1" applyFill="1" applyAlignment="1">
      <alignment horizontal="center"/>
    </xf>
    <xf numFmtId="0" fontId="20" fillId="3" borderId="0" xfId="55" applyFont="1" applyFill="1" applyAlignment="1">
      <alignment horizontal="left" vertical="center"/>
    </xf>
    <xf numFmtId="0" fontId="20" fillId="3" borderId="3" xfId="55" applyFont="1" applyFill="1" applyBorder="1" applyAlignment="1">
      <alignment horizontal="left" vertical="center"/>
    </xf>
    <xf numFmtId="0" fontId="101" fillId="0" borderId="0" xfId="56" applyFont="1">
      <alignment vertical="center"/>
    </xf>
    <xf numFmtId="2" fontId="14" fillId="0" borderId="4" xfId="38" applyNumberFormat="1" applyFont="1" applyBorder="1"/>
    <xf numFmtId="2" fontId="14" fillId="0" borderId="1" xfId="38" applyNumberFormat="1" applyFont="1" applyBorder="1"/>
    <xf numFmtId="3" fontId="14" fillId="0" borderId="1" xfId="38" applyNumberFormat="1" applyFont="1" applyBorder="1" applyAlignment="1">
      <alignment horizontal="center" vertical="center"/>
    </xf>
    <xf numFmtId="0" fontId="14" fillId="0" borderId="1" xfId="38" applyFont="1" applyBorder="1" applyAlignment="1">
      <alignment horizontal="left" wrapText="1" indent="3"/>
    </xf>
    <xf numFmtId="2" fontId="14" fillId="0" borderId="1" xfId="42" applyNumberFormat="1" applyFont="1" applyBorder="1" applyAlignment="1">
      <alignment vertical="center"/>
    </xf>
    <xf numFmtId="2" fontId="13" fillId="0" borderId="1" xfId="42" applyNumberFormat="1" applyFont="1" applyBorder="1" applyAlignment="1">
      <alignment vertical="center"/>
    </xf>
    <xf numFmtId="4" fontId="14" fillId="0" borderId="0" xfId="56" applyNumberFormat="1" applyFont="1" applyAlignment="1" applyProtection="1">
      <alignment horizontal="center" vertical="center"/>
      <protection locked="0"/>
    </xf>
    <xf numFmtId="0" fontId="14" fillId="0" borderId="1" xfId="38" applyFont="1" applyBorder="1" applyAlignment="1">
      <alignment horizontal="left" indent="16"/>
    </xf>
    <xf numFmtId="4" fontId="13" fillId="0" borderId="0" xfId="56" applyNumberFormat="1" applyFont="1" applyAlignment="1" applyProtection="1">
      <alignment horizontal="center" vertical="center"/>
      <protection locked="0"/>
    </xf>
    <xf numFmtId="0" fontId="14" fillId="0" borderId="1" xfId="38" applyFont="1" applyBorder="1" applyAlignment="1">
      <alignment horizontal="left" indent="3"/>
    </xf>
    <xf numFmtId="0" fontId="14" fillId="0" borderId="1" xfId="38" applyFont="1" applyBorder="1" applyAlignment="1">
      <alignment horizontal="right" indent="1"/>
    </xf>
    <xf numFmtId="0" fontId="14" fillId="0" borderId="0" xfId="56" applyFont="1">
      <alignment vertical="center"/>
    </xf>
    <xf numFmtId="2" fontId="51" fillId="0" borderId="1" xfId="55" applyNumberFormat="1" applyFont="1" applyBorder="1" applyAlignment="1">
      <alignment vertical="center"/>
    </xf>
    <xf numFmtId="4" fontId="51" fillId="0" borderId="45" xfId="55" applyNumberFormat="1" applyFont="1" applyBorder="1" applyAlignment="1">
      <alignment horizontal="left" indent="1"/>
    </xf>
    <xf numFmtId="1" fontId="52" fillId="8" borderId="17" xfId="55" applyNumberFormat="1" applyFont="1" applyFill="1" applyBorder="1"/>
    <xf numFmtId="0" fontId="97" fillId="0" borderId="3" xfId="55" applyFont="1" applyBorder="1"/>
    <xf numFmtId="0" fontId="13" fillId="0" borderId="3" xfId="55" applyFont="1" applyBorder="1"/>
    <xf numFmtId="0" fontId="2" fillId="0" borderId="11" xfId="68" applyBorder="1"/>
    <xf numFmtId="0" fontId="17" fillId="3" borderId="16" xfId="73" applyFont="1" applyFill="1" applyBorder="1" applyAlignment="1">
      <alignment horizontal="center" vertical="center"/>
    </xf>
    <xf numFmtId="0" fontId="17" fillId="3" borderId="15" xfId="73" applyFont="1" applyFill="1" applyBorder="1" applyAlignment="1">
      <alignment horizontal="center" vertical="center"/>
    </xf>
    <xf numFmtId="0" fontId="89" fillId="3" borderId="62" xfId="73" applyFont="1" applyFill="1" applyBorder="1" applyAlignment="1">
      <alignment horizontal="center" vertical="center"/>
    </xf>
    <xf numFmtId="0" fontId="89" fillId="3" borderId="39" xfId="73" applyFont="1" applyFill="1" applyBorder="1" applyAlignment="1">
      <alignment horizontal="center" vertical="center"/>
    </xf>
    <xf numFmtId="0" fontId="89" fillId="3" borderId="63" xfId="73" applyFont="1" applyFill="1" applyBorder="1" applyAlignment="1">
      <alignment horizontal="center" vertical="center"/>
    </xf>
    <xf numFmtId="0" fontId="60" fillId="3" borderId="62" xfId="73" applyFont="1" applyFill="1" applyBorder="1" applyAlignment="1">
      <alignment horizontal="left" vertical="center"/>
    </xf>
    <xf numFmtId="0" fontId="60" fillId="3" borderId="39" xfId="73" applyFont="1" applyFill="1" applyBorder="1" applyAlignment="1">
      <alignment vertical="center"/>
    </xf>
    <xf numFmtId="0" fontId="97" fillId="3" borderId="39" xfId="42" applyNumberFormat="1" applyFont="1" applyFill="1" applyBorder="1"/>
    <xf numFmtId="0" fontId="99" fillId="3" borderId="39" xfId="42" applyNumberFormat="1" applyFont="1" applyFill="1" applyBorder="1" applyAlignment="1">
      <alignment horizontal="center" wrapText="1"/>
    </xf>
    <xf numFmtId="0" fontId="13" fillId="3" borderId="39" xfId="42" applyNumberFormat="1" applyFont="1" applyFill="1" applyBorder="1" applyAlignment="1">
      <alignment horizontal="center"/>
    </xf>
    <xf numFmtId="0" fontId="20" fillId="3" borderId="39" xfId="55" applyFont="1" applyFill="1" applyBorder="1" applyAlignment="1">
      <alignment horizontal="left" vertical="center"/>
    </xf>
    <xf numFmtId="0" fontId="20" fillId="3" borderId="63" xfId="55" applyFont="1" applyFill="1" applyBorder="1" applyAlignment="1">
      <alignment horizontal="left" vertical="center"/>
    </xf>
    <xf numFmtId="166" fontId="102" fillId="3" borderId="39" xfId="42" applyFont="1" applyFill="1" applyBorder="1"/>
    <xf numFmtId="0" fontId="14" fillId="3" borderId="39" xfId="55" applyFont="1" applyFill="1" applyBorder="1" applyAlignment="1">
      <alignment horizontal="centerContinuous"/>
    </xf>
    <xf numFmtId="0" fontId="59" fillId="3" borderId="39" xfId="55" applyFont="1" applyFill="1" applyBorder="1" applyAlignment="1">
      <alignment horizontal="centerContinuous"/>
    </xf>
    <xf numFmtId="0" fontId="13" fillId="3" borderId="39" xfId="55" applyFont="1" applyFill="1" applyBorder="1" applyAlignment="1">
      <alignment horizontal="centerContinuous"/>
    </xf>
    <xf numFmtId="1" fontId="13" fillId="3" borderId="39" xfId="55" applyNumberFormat="1" applyFont="1" applyFill="1" applyBorder="1" applyAlignment="1">
      <alignment horizontal="centerContinuous"/>
    </xf>
    <xf numFmtId="0" fontId="59" fillId="3" borderId="39" xfId="42" applyNumberFormat="1" applyFont="1" applyFill="1" applyBorder="1" applyAlignment="1">
      <alignment horizontal="left" vertical="center"/>
    </xf>
    <xf numFmtId="0" fontId="59" fillId="3" borderId="63" xfId="42" applyNumberFormat="1" applyFont="1" applyFill="1" applyBorder="1" applyAlignment="1">
      <alignment horizontal="left" vertical="center"/>
    </xf>
    <xf numFmtId="0" fontId="14" fillId="0" borderId="1" xfId="38" applyFont="1" applyBorder="1" applyAlignment="1">
      <alignment horizontal="right" vertical="center"/>
    </xf>
    <xf numFmtId="0" fontId="14" fillId="0" borderId="1" xfId="38" applyFont="1" applyBorder="1" applyAlignment="1">
      <alignment horizontal="left" indent="2"/>
    </xf>
    <xf numFmtId="2" fontId="14" fillId="0" borderId="1" xfId="38" applyNumberFormat="1" applyFont="1" applyBorder="1" applyAlignment="1">
      <alignment vertical="center"/>
    </xf>
    <xf numFmtId="2" fontId="31" fillId="0" borderId="1" xfId="42" applyNumberFormat="1" applyFont="1" applyBorder="1" applyAlignment="1">
      <alignment vertical="center"/>
    </xf>
    <xf numFmtId="0" fontId="64" fillId="0" borderId="1" xfId="38" applyFont="1" applyBorder="1" applyAlignment="1">
      <alignment horizontal="right"/>
    </xf>
    <xf numFmtId="49" fontId="38" fillId="0" borderId="0" xfId="65" applyNumberFormat="1" applyFont="1"/>
    <xf numFmtId="49" fontId="93" fillId="0" borderId="1" xfId="55" applyNumberFormat="1" applyFont="1" applyBorder="1" applyAlignment="1">
      <alignment horizontal="left" vertical="center"/>
    </xf>
    <xf numFmtId="2" fontId="18" fillId="0" borderId="1" xfId="55" applyNumberFormat="1" applyFont="1" applyBorder="1" applyAlignment="1">
      <alignment horizontal="left" vertical="center"/>
    </xf>
    <xf numFmtId="2" fontId="16" fillId="0" borderId="1" xfId="42" applyNumberFormat="1" applyFont="1" applyBorder="1" applyAlignment="1">
      <alignment horizontal="left"/>
    </xf>
    <xf numFmtId="175" fontId="17" fillId="0" borderId="1" xfId="65" applyNumberFormat="1" applyFont="1" applyBorder="1" applyAlignment="1">
      <alignment horizontal="left"/>
    </xf>
    <xf numFmtId="171" fontId="17" fillId="0" borderId="3" xfId="65" applyNumberFormat="1" applyFont="1" applyBorder="1"/>
    <xf numFmtId="171" fontId="18" fillId="0" borderId="1" xfId="65" applyNumberFormat="1" applyFont="1" applyBorder="1"/>
    <xf numFmtId="171" fontId="17" fillId="0" borderId="1" xfId="65" applyNumberFormat="1" applyFont="1" applyBorder="1"/>
    <xf numFmtId="171" fontId="18" fillId="0" borderId="3" xfId="65" applyNumberFormat="1" applyFont="1" applyBorder="1"/>
    <xf numFmtId="2" fontId="17" fillId="0" borderId="1" xfId="65" applyNumberFormat="1" applyFont="1" applyBorder="1" applyAlignment="1">
      <alignment horizontal="left"/>
    </xf>
    <xf numFmtId="173" fontId="17" fillId="0" borderId="1" xfId="65" applyNumberFormat="1" applyFont="1" applyBorder="1" applyAlignment="1">
      <alignment horizontal="left"/>
    </xf>
    <xf numFmtId="171" fontId="17" fillId="0" borderId="1" xfId="65" applyNumberFormat="1" applyFont="1" applyBorder="1" applyAlignment="1">
      <alignment vertical="center"/>
    </xf>
    <xf numFmtId="172" fontId="17" fillId="0" borderId="1" xfId="65" applyNumberFormat="1" applyFont="1" applyBorder="1" applyAlignment="1">
      <alignment horizontal="left"/>
    </xf>
    <xf numFmtId="49" fontId="39" fillId="0" borderId="1" xfId="65" applyNumberFormat="1" applyFont="1" applyBorder="1"/>
    <xf numFmtId="49" fontId="39" fillId="0" borderId="4" xfId="65" applyNumberFormat="1" applyFont="1" applyBorder="1"/>
    <xf numFmtId="166" fontId="103" fillId="0" borderId="0" xfId="65" applyFont="1"/>
    <xf numFmtId="2" fontId="104" fillId="0" borderId="1" xfId="55" applyNumberFormat="1" applyFont="1" applyBorder="1" applyAlignment="1">
      <alignment horizontal="left" vertical="center"/>
    </xf>
    <xf numFmtId="2" fontId="105" fillId="0" borderId="1" xfId="55" applyNumberFormat="1" applyFont="1" applyBorder="1" applyAlignment="1">
      <alignment horizontal="left" vertical="center"/>
    </xf>
    <xf numFmtId="0" fontId="106" fillId="0" borderId="0" xfId="0" applyFont="1" applyProtection="1">
      <alignment vertical="center"/>
      <protection locked="0"/>
    </xf>
    <xf numFmtId="0" fontId="43" fillId="0" borderId="0" xfId="0" applyFont="1" applyProtection="1">
      <alignment vertical="center"/>
      <protection locked="0"/>
    </xf>
    <xf numFmtId="2" fontId="71" fillId="0" borderId="1" xfId="55" applyNumberFormat="1" applyFont="1" applyBorder="1" applyAlignment="1">
      <alignment horizontal="left" vertical="center"/>
    </xf>
    <xf numFmtId="0" fontId="106" fillId="0" borderId="0" xfId="0" applyFont="1" applyAlignment="1" applyProtection="1">
      <alignment horizontal="left" vertical="center"/>
      <protection locked="0"/>
    </xf>
    <xf numFmtId="0" fontId="106" fillId="0" borderId="0" xfId="0" applyFont="1" applyAlignment="1" applyProtection="1">
      <alignment horizontal="left" vertical="top" wrapText="1"/>
      <protection locked="0"/>
    </xf>
    <xf numFmtId="2" fontId="14" fillId="0" borderId="29" xfId="56" applyNumberFormat="1" applyFont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vertical="center" wrapText="1"/>
      <protection locked="0"/>
    </xf>
    <xf numFmtId="166" fontId="13" fillId="0" borderId="1" xfId="42" applyFont="1" applyBorder="1" applyAlignment="1">
      <alignment horizontal="center" vertical="center"/>
    </xf>
    <xf numFmtId="1" fontId="14" fillId="0" borderId="1" xfId="68" applyNumberFormat="1" applyFont="1" applyBorder="1" applyAlignment="1">
      <alignment horizontal="center" vertical="center"/>
    </xf>
    <xf numFmtId="4" fontId="48" fillId="0" borderId="0" xfId="56" applyNumberFormat="1" applyFont="1">
      <alignment vertical="center"/>
    </xf>
    <xf numFmtId="176" fontId="14" fillId="0" borderId="6" xfId="75" applyNumberFormat="1" applyFont="1" applyBorder="1" applyAlignment="1">
      <alignment horizontal="center" vertical="center"/>
    </xf>
    <xf numFmtId="1" fontId="14" fillId="0" borderId="6" xfId="75" applyNumberFormat="1" applyFont="1" applyBorder="1" applyAlignment="1">
      <alignment horizontal="center" vertical="center"/>
    </xf>
    <xf numFmtId="178" fontId="14" fillId="0" borderId="6" xfId="75" applyNumberFormat="1" applyFont="1" applyBorder="1" applyAlignment="1">
      <alignment horizontal="center" vertical="center"/>
    </xf>
    <xf numFmtId="0" fontId="31" fillId="5" borderId="6" xfId="75" applyFont="1" applyFill="1" applyBorder="1" applyAlignment="1">
      <alignment horizontal="center" vertical="center"/>
    </xf>
    <xf numFmtId="4" fontId="14" fillId="0" borderId="1" xfId="42" applyNumberFormat="1" applyFont="1" applyBorder="1" applyAlignment="1">
      <alignment horizontal="right" vertical="center" wrapText="1"/>
    </xf>
    <xf numFmtId="4" fontId="76" fillId="3" borderId="0" xfId="42" applyNumberFormat="1" applyFont="1" applyFill="1" applyAlignment="1">
      <alignment vertical="center"/>
    </xf>
    <xf numFmtId="1" fontId="14" fillId="0" borderId="1" xfId="75" applyNumberFormat="1" applyFont="1" applyBorder="1" applyAlignment="1">
      <alignment horizontal="center" vertical="center"/>
    </xf>
    <xf numFmtId="166" fontId="14" fillId="0" borderId="14" xfId="42" applyFont="1" applyBorder="1" applyAlignment="1">
      <alignment horizontal="center" vertical="center"/>
    </xf>
    <xf numFmtId="174" fontId="14" fillId="0" borderId="1" xfId="42" applyNumberFormat="1" applyFont="1" applyBorder="1" applyAlignment="1">
      <alignment horizontal="right"/>
    </xf>
    <xf numFmtId="0" fontId="14" fillId="0" borderId="34" xfId="42" applyNumberFormat="1" applyFont="1" applyBorder="1" applyAlignment="1">
      <alignment horizontal="left" vertical="center" indent="1"/>
    </xf>
    <xf numFmtId="4" fontId="13" fillId="0" borderId="33" xfId="42" applyNumberFormat="1" applyFont="1" applyBorder="1" applyAlignment="1">
      <alignment horizontal="center" vertical="center"/>
    </xf>
    <xf numFmtId="3" fontId="14" fillId="0" borderId="14" xfId="42" applyNumberFormat="1" applyFont="1" applyBorder="1" applyAlignment="1">
      <alignment horizontal="center" vertical="center"/>
    </xf>
    <xf numFmtId="174" fontId="14" fillId="0" borderId="1" xfId="42" applyNumberFormat="1" applyFont="1" applyBorder="1" applyAlignment="1">
      <alignment horizontal="left" indent="3"/>
    </xf>
    <xf numFmtId="4" fontId="6" fillId="11" borderId="0" xfId="56" applyNumberFormat="1" applyFill="1">
      <alignment vertical="center"/>
    </xf>
    <xf numFmtId="4" fontId="6" fillId="0" borderId="0" xfId="56" applyNumberFormat="1">
      <alignment vertical="center"/>
    </xf>
    <xf numFmtId="179" fontId="16" fillId="0" borderId="41" xfId="75" applyNumberFormat="1" applyFont="1" applyBorder="1" applyAlignment="1">
      <alignment horizontal="center" vertical="center"/>
    </xf>
    <xf numFmtId="0" fontId="16" fillId="0" borderId="41" xfId="75" applyFont="1" applyBorder="1" applyAlignment="1">
      <alignment horizontal="left" vertical="center" indent="1"/>
    </xf>
    <xf numFmtId="0" fontId="16" fillId="0" borderId="41" xfId="75" applyFont="1" applyBorder="1" applyAlignment="1">
      <alignment horizontal="center" vertical="center"/>
    </xf>
    <xf numFmtId="0" fontId="57" fillId="2" borderId="42" xfId="75" applyFont="1" applyFill="1" applyBorder="1" applyAlignment="1">
      <alignment horizontal="center" vertical="center"/>
    </xf>
    <xf numFmtId="0" fontId="1" fillId="0" borderId="0" xfId="75"/>
    <xf numFmtId="4" fontId="17" fillId="0" borderId="0" xfId="77" applyNumberFormat="1" applyFont="1" applyAlignment="1">
      <alignment horizontal="center" vertical="center"/>
    </xf>
    <xf numFmtId="0" fontId="17" fillId="0" borderId="0" xfId="77" applyFont="1" applyAlignment="1">
      <alignment horizontal="center" vertical="center"/>
    </xf>
    <xf numFmtId="4" fontId="17" fillId="0" borderId="6" xfId="77" applyNumberFormat="1" applyFont="1" applyBorder="1" applyAlignment="1">
      <alignment horizontal="center" vertical="center"/>
    </xf>
    <xf numFmtId="4" fontId="17" fillId="0" borderId="0" xfId="77" applyNumberFormat="1" applyFont="1" applyAlignment="1">
      <alignment vertical="center"/>
    </xf>
    <xf numFmtId="174" fontId="17" fillId="0" borderId="6" xfId="77" applyNumberFormat="1" applyFont="1" applyBorder="1" applyAlignment="1">
      <alignment horizontal="center" vertical="center"/>
    </xf>
    <xf numFmtId="4" fontId="17" fillId="0" borderId="4" xfId="77" applyNumberFormat="1" applyFont="1" applyBorder="1" applyAlignment="1">
      <alignment horizontal="center" vertical="center"/>
    </xf>
    <xf numFmtId="4" fontId="17" fillId="3" borderId="10" xfId="77" applyNumberFormat="1" applyFont="1" applyFill="1" applyBorder="1" applyAlignment="1">
      <alignment horizontal="center" vertical="center"/>
    </xf>
    <xf numFmtId="3" fontId="17" fillId="3" borderId="10" xfId="77" applyNumberFormat="1" applyFont="1" applyFill="1" applyBorder="1" applyAlignment="1">
      <alignment horizontal="center" vertical="center"/>
    </xf>
    <xf numFmtId="0" fontId="17" fillId="3" borderId="10" xfId="77" applyFont="1" applyFill="1" applyBorder="1" applyAlignment="1">
      <alignment horizontal="center" vertical="center"/>
    </xf>
    <xf numFmtId="4" fontId="17" fillId="3" borderId="43" xfId="77" applyNumberFormat="1" applyFont="1" applyFill="1" applyBorder="1" applyAlignment="1">
      <alignment horizontal="center" vertical="center"/>
    </xf>
    <xf numFmtId="4" fontId="17" fillId="3" borderId="44" xfId="77" applyNumberFormat="1" applyFont="1" applyFill="1" applyBorder="1" applyAlignment="1">
      <alignment horizontal="center" vertical="center"/>
    </xf>
    <xf numFmtId="4" fontId="17" fillId="3" borderId="1" xfId="77" applyNumberFormat="1" applyFont="1" applyFill="1" applyBorder="1" applyAlignment="1">
      <alignment horizontal="center" vertical="center"/>
    </xf>
    <xf numFmtId="3" fontId="17" fillId="3" borderId="1" xfId="77" applyNumberFormat="1" applyFont="1" applyFill="1" applyBorder="1" applyAlignment="1">
      <alignment horizontal="center" vertical="center"/>
    </xf>
    <xf numFmtId="4" fontId="17" fillId="3" borderId="0" xfId="77" applyNumberFormat="1" applyFont="1" applyFill="1" applyAlignment="1">
      <alignment horizontal="center" vertical="center"/>
    </xf>
    <xf numFmtId="4" fontId="17" fillId="3" borderId="3" xfId="77" applyNumberFormat="1" applyFont="1" applyFill="1" applyBorder="1" applyAlignment="1">
      <alignment horizontal="center" vertical="center"/>
    </xf>
    <xf numFmtId="0" fontId="17" fillId="3" borderId="1" xfId="77" applyFont="1" applyFill="1" applyBorder="1" applyAlignment="1">
      <alignment horizontal="center" vertical="center"/>
    </xf>
    <xf numFmtId="0" fontId="17" fillId="3" borderId="9" xfId="77" applyFont="1" applyFill="1" applyBorder="1" applyAlignment="1">
      <alignment horizontal="center" vertical="center"/>
    </xf>
    <xf numFmtId="3" fontId="17" fillId="3" borderId="9" xfId="77" applyNumberFormat="1" applyFont="1" applyFill="1" applyBorder="1" applyAlignment="1">
      <alignment horizontal="center" vertical="center"/>
    </xf>
    <xf numFmtId="4" fontId="17" fillId="3" borderId="11" xfId="77" applyNumberFormat="1" applyFont="1" applyFill="1" applyBorder="1" applyAlignment="1">
      <alignment horizontal="center" vertical="center"/>
    </xf>
    <xf numFmtId="4" fontId="17" fillId="3" borderId="12" xfId="77" applyNumberFormat="1" applyFont="1" applyFill="1" applyBorder="1" applyAlignment="1">
      <alignment horizontal="center" vertical="center"/>
    </xf>
    <xf numFmtId="0" fontId="17" fillId="3" borderId="0" xfId="77" applyFont="1" applyFill="1" applyAlignment="1">
      <alignment horizontal="center" vertical="center"/>
    </xf>
    <xf numFmtId="4" fontId="17" fillId="3" borderId="4" xfId="77" applyNumberFormat="1" applyFont="1" applyFill="1" applyBorder="1" applyAlignment="1">
      <alignment horizontal="center" vertical="center"/>
    </xf>
    <xf numFmtId="3" fontId="17" fillId="3" borderId="4" xfId="77" applyNumberFormat="1" applyFont="1" applyFill="1" applyBorder="1" applyAlignment="1">
      <alignment horizontal="center" vertical="center"/>
    </xf>
    <xf numFmtId="0" fontId="17" fillId="3" borderId="4" xfId="77" applyFont="1" applyFill="1" applyBorder="1" applyAlignment="1">
      <alignment horizontal="center" vertical="center"/>
    </xf>
    <xf numFmtId="4" fontId="17" fillId="3" borderId="18" xfId="77" applyNumberFormat="1" applyFont="1" applyFill="1" applyBorder="1" applyAlignment="1">
      <alignment horizontal="center" vertical="center"/>
    </xf>
    <xf numFmtId="4" fontId="17" fillId="3" borderId="19" xfId="77" applyNumberFormat="1" applyFont="1" applyFill="1" applyBorder="1" applyAlignment="1">
      <alignment horizontal="center" vertical="center"/>
    </xf>
    <xf numFmtId="2" fontId="17" fillId="3" borderId="0" xfId="77" applyNumberFormat="1" applyFont="1" applyFill="1" applyAlignment="1">
      <alignment horizontal="center" vertical="center"/>
    </xf>
    <xf numFmtId="4" fontId="17" fillId="3" borderId="0" xfId="77" applyNumberFormat="1" applyFont="1" applyFill="1" applyAlignment="1">
      <alignment vertical="center"/>
    </xf>
    <xf numFmtId="4" fontId="17" fillId="3" borderId="0" xfId="77" applyNumberFormat="1" applyFont="1" applyFill="1" applyAlignment="1">
      <alignment horizontal="right" vertical="center"/>
    </xf>
    <xf numFmtId="4" fontId="17" fillId="3" borderId="0" xfId="77" applyNumberFormat="1" applyFont="1" applyFill="1" applyAlignment="1">
      <alignment horizontal="left" vertical="center"/>
    </xf>
    <xf numFmtId="4" fontId="17" fillId="3" borderId="18" xfId="77" applyNumberFormat="1" applyFont="1" applyFill="1" applyBorder="1" applyAlignment="1">
      <alignment vertical="center"/>
    </xf>
    <xf numFmtId="4" fontId="17" fillId="3" borderId="0" xfId="77" applyNumberFormat="1" applyFont="1" applyFill="1" applyAlignment="1">
      <alignment horizontal="right" vertical="top"/>
    </xf>
    <xf numFmtId="4" fontId="17" fillId="3" borderId="18" xfId="77" applyNumberFormat="1" applyFont="1" applyFill="1" applyBorder="1" applyAlignment="1">
      <alignment horizontal="left"/>
    </xf>
    <xf numFmtId="4" fontId="17" fillId="3" borderId="0" xfId="77" applyNumberFormat="1" applyFont="1" applyFill="1" applyAlignment="1">
      <alignment horizontal="center" vertical="top"/>
    </xf>
    <xf numFmtId="4" fontId="17" fillId="3" borderId="0" xfId="77" applyNumberFormat="1" applyFont="1" applyFill="1" applyAlignment="1">
      <alignment horizontal="left"/>
    </xf>
    <xf numFmtId="4" fontId="17" fillId="3" borderId="0" xfId="77" applyNumberFormat="1" applyFont="1" applyFill="1" applyAlignment="1">
      <alignment horizontal="left" vertical="center" wrapText="1"/>
    </xf>
    <xf numFmtId="4" fontId="17" fillId="3" borderId="9" xfId="77" applyNumberFormat="1" applyFont="1" applyFill="1" applyBorder="1" applyAlignment="1">
      <alignment horizontal="center" vertical="center"/>
    </xf>
    <xf numFmtId="0" fontId="17" fillId="3" borderId="45" xfId="77" applyFont="1" applyFill="1" applyBorder="1" applyAlignment="1">
      <alignment horizontal="center" vertical="center"/>
    </xf>
    <xf numFmtId="4" fontId="17" fillId="3" borderId="46" xfId="77" applyNumberFormat="1" applyFont="1" applyFill="1" applyBorder="1" applyAlignment="1">
      <alignment horizontal="center" vertical="center"/>
    </xf>
    <xf numFmtId="4" fontId="17" fillId="3" borderId="47" xfId="77" applyNumberFormat="1" applyFont="1" applyFill="1" applyBorder="1" applyAlignment="1">
      <alignment horizontal="center" vertical="center"/>
    </xf>
    <xf numFmtId="4" fontId="16" fillId="3" borderId="0" xfId="77" applyNumberFormat="1" applyFont="1" applyFill="1" applyAlignment="1">
      <alignment vertical="center"/>
    </xf>
    <xf numFmtId="4" fontId="16" fillId="3" borderId="0" xfId="77" applyNumberFormat="1" applyFont="1" applyFill="1" applyAlignment="1">
      <alignment horizontal="center" vertical="center"/>
    </xf>
    <xf numFmtId="4" fontId="16" fillId="3" borderId="11" xfId="77" applyNumberFormat="1" applyFont="1" applyFill="1" applyBorder="1" applyAlignment="1">
      <alignment horizontal="center" vertical="center"/>
    </xf>
    <xf numFmtId="4" fontId="16" fillId="3" borderId="18" xfId="77" applyNumberFormat="1" applyFont="1" applyFill="1" applyBorder="1" applyAlignment="1">
      <alignment horizontal="center" vertical="center"/>
    </xf>
    <xf numFmtId="0" fontId="17" fillId="3" borderId="1" xfId="77" applyFont="1" applyFill="1" applyBorder="1" applyAlignment="1">
      <alignment horizontal="center" vertical="center" textRotation="90" wrapText="1"/>
    </xf>
    <xf numFmtId="4" fontId="16" fillId="3" borderId="18" xfId="77" applyNumberFormat="1" applyFont="1" applyFill="1" applyBorder="1" applyAlignment="1">
      <alignment horizontal="right" vertical="center"/>
    </xf>
    <xf numFmtId="4" fontId="17" fillId="3" borderId="11" xfId="77" applyNumberFormat="1" applyFont="1" applyFill="1" applyBorder="1" applyAlignment="1">
      <alignment horizontal="left" vertical="center"/>
    </xf>
    <xf numFmtId="3" fontId="17" fillId="3" borderId="3" xfId="77" applyNumberFormat="1" applyFont="1" applyFill="1" applyBorder="1" applyAlignment="1">
      <alignment horizontal="center" vertical="center"/>
    </xf>
    <xf numFmtId="0" fontId="17" fillId="3" borderId="3" xfId="77" applyFont="1" applyFill="1" applyBorder="1" applyAlignment="1">
      <alignment horizontal="center" vertical="center"/>
    </xf>
    <xf numFmtId="0" fontId="17" fillId="3" borderId="3" xfId="77" applyFont="1" applyFill="1" applyBorder="1" applyAlignment="1">
      <alignment horizontal="center" vertical="center" textRotation="90" wrapText="1"/>
    </xf>
    <xf numFmtId="0" fontId="17" fillId="3" borderId="18" xfId="77" applyFont="1" applyFill="1" applyBorder="1" applyAlignment="1">
      <alignment horizontal="center" vertical="center"/>
    </xf>
    <xf numFmtId="0" fontId="18" fillId="3" borderId="6" xfId="77" applyFont="1" applyFill="1" applyBorder="1" applyAlignment="1">
      <alignment horizontal="center" vertical="center"/>
    </xf>
    <xf numFmtId="0" fontId="17" fillId="3" borderId="14" xfId="77" applyFont="1" applyFill="1" applyBorder="1" applyAlignment="1">
      <alignment horizontal="center" vertical="center"/>
    </xf>
    <xf numFmtId="0" fontId="89" fillId="3" borderId="14" xfId="77" applyFont="1" applyFill="1" applyBorder="1" applyAlignment="1">
      <alignment horizontal="center" vertical="center"/>
    </xf>
    <xf numFmtId="0" fontId="89" fillId="3" borderId="0" xfId="77" applyFont="1" applyFill="1" applyAlignment="1">
      <alignment horizontal="center" vertical="center"/>
    </xf>
    <xf numFmtId="0" fontId="89" fillId="3" borderId="3" xfId="77" applyFont="1" applyFill="1" applyBorder="1" applyAlignment="1">
      <alignment horizontal="center" vertical="center"/>
    </xf>
    <xf numFmtId="0" fontId="60" fillId="3" borderId="14" xfId="77" applyFont="1" applyFill="1" applyBorder="1" applyAlignment="1">
      <alignment horizontal="left" vertical="center"/>
    </xf>
    <xf numFmtId="0" fontId="60" fillId="3" borderId="0" xfId="77" applyFont="1" applyFill="1" applyAlignment="1">
      <alignment vertical="center"/>
    </xf>
    <xf numFmtId="4" fontId="13" fillId="0" borderId="33" xfId="56" applyNumberFormat="1" applyFont="1" applyBorder="1" applyAlignment="1" applyProtection="1">
      <alignment horizontal="center" vertical="center"/>
      <protection locked="0"/>
    </xf>
    <xf numFmtId="4" fontId="31" fillId="0" borderId="0" xfId="42" applyNumberFormat="1" applyFont="1" applyAlignment="1">
      <alignment wrapText="1"/>
    </xf>
    <xf numFmtId="0" fontId="107" fillId="0" borderId="6" xfId="0" applyFont="1" applyBorder="1" applyProtection="1">
      <alignment vertical="center"/>
      <protection locked="0"/>
    </xf>
    <xf numFmtId="4" fontId="97" fillId="0" borderId="6" xfId="56" applyNumberFormat="1" applyFont="1" applyBorder="1" applyAlignment="1">
      <alignment horizontal="center" vertical="center"/>
    </xf>
    <xf numFmtId="0" fontId="106" fillId="0" borderId="6" xfId="0" applyFont="1" applyBorder="1" applyProtection="1">
      <alignment vertical="center"/>
      <protection locked="0"/>
    </xf>
    <xf numFmtId="0" fontId="61" fillId="0" borderId="6" xfId="56" applyFont="1" applyBorder="1">
      <alignment vertical="center"/>
    </xf>
    <xf numFmtId="0" fontId="61" fillId="0" borderId="6" xfId="56" applyFont="1" applyBorder="1" applyAlignment="1">
      <alignment horizontal="center" vertical="center"/>
    </xf>
    <xf numFmtId="0" fontId="106" fillId="0" borderId="7" xfId="0" applyFont="1" applyBorder="1" applyProtection="1">
      <alignment vertical="center"/>
      <protection locked="0"/>
    </xf>
    <xf numFmtId="0" fontId="106" fillId="0" borderId="5" xfId="0" applyFont="1" applyBorder="1" applyProtection="1">
      <alignment vertical="center"/>
      <protection locked="0"/>
    </xf>
    <xf numFmtId="0" fontId="106" fillId="0" borderId="8" xfId="0" applyFont="1" applyBorder="1" applyProtection="1">
      <alignment vertical="center"/>
      <protection locked="0"/>
    </xf>
    <xf numFmtId="4" fontId="108" fillId="0" borderId="7" xfId="0" applyNumberFormat="1" applyFont="1" applyBorder="1" applyProtection="1">
      <alignment vertical="center"/>
      <protection locked="0"/>
    </xf>
    <xf numFmtId="0" fontId="61" fillId="0" borderId="7" xfId="56" applyFont="1" applyBorder="1">
      <alignment vertical="center"/>
    </xf>
    <xf numFmtId="4" fontId="109" fillId="0" borderId="7" xfId="0" applyNumberFormat="1" applyFont="1" applyBorder="1" applyProtection="1">
      <alignment vertical="center"/>
      <protection locked="0"/>
    </xf>
    <xf numFmtId="4" fontId="61" fillId="0" borderId="8" xfId="56" applyNumberFormat="1" applyFont="1" applyBorder="1" applyAlignment="1">
      <alignment horizontal="center" vertical="center"/>
    </xf>
    <xf numFmtId="0" fontId="106" fillId="0" borderId="1" xfId="0" applyFont="1" applyBorder="1" applyProtection="1">
      <alignment vertical="center"/>
      <protection locked="0"/>
    </xf>
    <xf numFmtId="0" fontId="14" fillId="0" borderId="1" xfId="42" applyNumberFormat="1" applyFont="1" applyBorder="1" applyAlignment="1">
      <alignment horizontal="right" vertical="center" wrapText="1"/>
    </xf>
    <xf numFmtId="0" fontId="14" fillId="6" borderId="1" xfId="42" applyNumberFormat="1" applyFont="1" applyFill="1" applyBorder="1" applyAlignment="1">
      <alignment horizontal="left" vertical="center" wrapText="1"/>
    </xf>
    <xf numFmtId="0" fontId="23" fillId="7" borderId="12" xfId="55" applyFont="1" applyFill="1" applyBorder="1" applyAlignment="1">
      <alignment horizontal="center" vertical="center" wrapText="1"/>
    </xf>
    <xf numFmtId="0" fontId="23" fillId="7" borderId="11" xfId="55" applyFont="1" applyFill="1" applyBorder="1" applyAlignment="1">
      <alignment horizontal="center" vertical="center" wrapText="1"/>
    </xf>
    <xf numFmtId="0" fontId="23" fillId="7" borderId="13" xfId="55" applyFont="1" applyFill="1" applyBorder="1" applyAlignment="1">
      <alignment horizontal="center" vertical="center" wrapText="1"/>
    </xf>
    <xf numFmtId="0" fontId="24" fillId="8" borderId="15" xfId="55" applyFont="1" applyFill="1" applyBorder="1" applyAlignment="1">
      <alignment horizontal="center" vertical="center" wrapText="1"/>
    </xf>
    <xf numFmtId="0" fontId="24" fillId="8" borderId="2" xfId="55" applyFont="1" applyFill="1" applyBorder="1" applyAlignment="1">
      <alignment horizontal="center" vertical="center" wrapText="1"/>
    </xf>
    <xf numFmtId="0" fontId="24" fillId="8" borderId="16" xfId="55" applyFont="1" applyFill="1" applyBorder="1" applyAlignment="1">
      <alignment horizontal="center" vertical="center" wrapText="1"/>
    </xf>
    <xf numFmtId="0" fontId="20" fillId="0" borderId="3" xfId="42" quotePrefix="1" applyNumberFormat="1" applyFont="1" applyBorder="1" applyAlignment="1">
      <alignment horizontal="center" vertical="center" wrapText="1"/>
    </xf>
    <xf numFmtId="0" fontId="20" fillId="0" borderId="0" xfId="42" quotePrefix="1" applyNumberFormat="1" applyFont="1" applyAlignment="1">
      <alignment horizontal="center" vertical="center" wrapText="1"/>
    </xf>
    <xf numFmtId="4" fontId="31" fillId="0" borderId="3" xfId="65" applyNumberFormat="1" applyFont="1" applyBorder="1" applyAlignment="1">
      <alignment horizontal="center" wrapText="1"/>
    </xf>
    <xf numFmtId="166" fontId="14" fillId="0" borderId="14" xfId="65" applyFont="1" applyBorder="1"/>
    <xf numFmtId="4" fontId="31" fillId="0" borderId="3" xfId="65" applyNumberFormat="1" applyFont="1" applyBorder="1" applyAlignment="1">
      <alignment horizontal="center"/>
    </xf>
    <xf numFmtId="4" fontId="31" fillId="0" borderId="14" xfId="65" applyNumberFormat="1" applyFont="1" applyBorder="1" applyAlignment="1">
      <alignment horizontal="center"/>
    </xf>
    <xf numFmtId="0" fontId="37" fillId="7" borderId="0" xfId="55" applyFont="1" applyFill="1" applyAlignment="1">
      <alignment horizontal="center" vertical="center" wrapText="1"/>
    </xf>
    <xf numFmtId="166" fontId="38" fillId="0" borderId="0" xfId="65" applyFont="1" applyAlignment="1">
      <alignment horizontal="center" vertical="center" wrapText="1"/>
    </xf>
    <xf numFmtId="166" fontId="40" fillId="0" borderId="0" xfId="65" applyFont="1"/>
    <xf numFmtId="0" fontId="37" fillId="8" borderId="2" xfId="55" applyFont="1" applyFill="1" applyBorder="1" applyAlignment="1">
      <alignment horizontal="center" vertical="center" wrapText="1"/>
    </xf>
    <xf numFmtId="166" fontId="29" fillId="0" borderId="6" xfId="65" applyFont="1" applyBorder="1" applyAlignment="1">
      <alignment horizontal="center"/>
    </xf>
    <xf numFmtId="0" fontId="41" fillId="9" borderId="4" xfId="68" applyFont="1" applyFill="1" applyBorder="1" applyAlignment="1">
      <alignment horizontal="center" vertical="center"/>
    </xf>
    <xf numFmtId="0" fontId="41" fillId="9" borderId="6" xfId="68" applyFont="1" applyFill="1" applyBorder="1" applyAlignment="1">
      <alignment horizontal="center"/>
    </xf>
    <xf numFmtId="0" fontId="41" fillId="9" borderId="7" xfId="68" applyFont="1" applyFill="1" applyBorder="1" applyAlignment="1">
      <alignment horizontal="center"/>
    </xf>
    <xf numFmtId="0" fontId="41" fillId="9" borderId="5" xfId="68" applyFont="1" applyFill="1" applyBorder="1" applyAlignment="1">
      <alignment horizontal="center"/>
    </xf>
    <xf numFmtId="0" fontId="41" fillId="9" borderId="8" xfId="68" applyFont="1" applyFill="1" applyBorder="1" applyAlignment="1">
      <alignment horizontal="center"/>
    </xf>
    <xf numFmtId="2" fontId="42" fillId="9" borderId="7" xfId="68" applyNumberFormat="1" applyFont="1" applyFill="1" applyBorder="1" applyAlignment="1">
      <alignment horizontal="center"/>
    </xf>
    <xf numFmtId="0" fontId="42" fillId="9" borderId="5" xfId="68" applyFont="1" applyFill="1" applyBorder="1" applyAlignment="1">
      <alignment horizontal="center"/>
    </xf>
    <xf numFmtId="0" fontId="42" fillId="9" borderId="8" xfId="68" applyFont="1" applyFill="1" applyBorder="1" applyAlignment="1">
      <alignment horizontal="center"/>
    </xf>
    <xf numFmtId="2" fontId="41" fillId="9" borderId="7" xfId="68" applyNumberFormat="1" applyFont="1" applyFill="1" applyBorder="1" applyAlignment="1">
      <alignment horizontal="center"/>
    </xf>
    <xf numFmtId="2" fontId="41" fillId="9" borderId="5" xfId="68" applyNumberFormat="1" applyFont="1" applyFill="1" applyBorder="1" applyAlignment="1">
      <alignment horizontal="center"/>
    </xf>
    <xf numFmtId="2" fontId="41" fillId="9" borderId="8" xfId="68" applyNumberFormat="1" applyFont="1" applyFill="1" applyBorder="1" applyAlignment="1">
      <alignment horizontal="center"/>
    </xf>
    <xf numFmtId="0" fontId="44" fillId="8" borderId="34" xfId="40" applyFont="1" applyFill="1" applyBorder="1" applyAlignment="1">
      <alignment horizontal="center" vertical="center"/>
    </xf>
    <xf numFmtId="0" fontId="44" fillId="8" borderId="31" xfId="40" applyFont="1" applyFill="1" applyBorder="1" applyAlignment="1">
      <alignment horizontal="center" vertical="center"/>
    </xf>
    <xf numFmtId="0" fontId="44" fillId="8" borderId="3" xfId="40" applyFont="1" applyFill="1" applyBorder="1" applyAlignment="1">
      <alignment horizontal="center" vertical="center"/>
    </xf>
    <xf numFmtId="0" fontId="44" fillId="8" borderId="15" xfId="40" applyFont="1" applyFill="1" applyBorder="1" applyAlignment="1">
      <alignment horizontal="center" vertical="center"/>
    </xf>
    <xf numFmtId="0" fontId="44" fillId="8" borderId="0" xfId="40" applyFont="1" applyFill="1" applyAlignment="1">
      <alignment horizontal="center" vertical="center"/>
    </xf>
    <xf numFmtId="0" fontId="44" fillId="8" borderId="33" xfId="40" applyFont="1" applyFill="1" applyBorder="1" applyAlignment="1">
      <alignment horizontal="center" vertical="center"/>
    </xf>
    <xf numFmtId="0" fontId="44" fillId="8" borderId="2" xfId="40" applyFont="1" applyFill="1" applyBorder="1" applyAlignment="1">
      <alignment horizontal="center" vertical="center"/>
    </xf>
    <xf numFmtId="0" fontId="44" fillId="8" borderId="32" xfId="40" applyFont="1" applyFill="1" applyBorder="1" applyAlignment="1">
      <alignment horizontal="center" vertical="center"/>
    </xf>
    <xf numFmtId="0" fontId="44" fillId="8" borderId="1" xfId="40" applyFont="1" applyFill="1" applyBorder="1" applyAlignment="1">
      <alignment horizontal="center" vertical="center" wrapText="1"/>
    </xf>
    <xf numFmtId="0" fontId="44" fillId="8" borderId="24" xfId="40" applyFont="1" applyFill="1" applyBorder="1" applyAlignment="1">
      <alignment horizontal="center" vertical="center" wrapText="1"/>
    </xf>
    <xf numFmtId="0" fontId="41" fillId="9" borderId="15" xfId="68" applyFont="1" applyFill="1" applyBorder="1" applyAlignment="1">
      <alignment horizontal="center" vertical="center"/>
    </xf>
    <xf numFmtId="0" fontId="41" fillId="9" borderId="2" xfId="68" applyFont="1" applyFill="1" applyBorder="1" applyAlignment="1">
      <alignment horizontal="center" vertical="center"/>
    </xf>
    <xf numFmtId="0" fontId="41" fillId="9" borderId="16" xfId="68" applyFont="1" applyFill="1" applyBorder="1" applyAlignment="1">
      <alignment horizontal="center" vertical="center"/>
    </xf>
    <xf numFmtId="2" fontId="6" fillId="9" borderId="0" xfId="40" applyNumberFormat="1" applyFont="1" applyFill="1" applyAlignment="1">
      <alignment horizontal="center"/>
    </xf>
    <xf numFmtId="0" fontId="44" fillId="8" borderId="28" xfId="40" applyFont="1" applyFill="1" applyBorder="1" applyAlignment="1">
      <alignment horizontal="center"/>
    </xf>
    <xf numFmtId="0" fontId="44" fillId="8" borderId="18" xfId="40" applyFont="1" applyFill="1" applyBorder="1" applyAlignment="1">
      <alignment horizontal="center"/>
    </xf>
    <xf numFmtId="0" fontId="44" fillId="8" borderId="27" xfId="40" applyFont="1" applyFill="1" applyBorder="1" applyAlignment="1">
      <alignment horizontal="center"/>
    </xf>
    <xf numFmtId="12" fontId="44" fillId="8" borderId="29" xfId="40" applyNumberFormat="1" applyFont="1" applyFill="1" applyBorder="1" applyAlignment="1">
      <alignment horizontal="center" vertical="center"/>
    </xf>
    <xf numFmtId="12" fontId="44" fillId="8" borderId="23" xfId="40" applyNumberFormat="1" applyFont="1" applyFill="1" applyBorder="1" applyAlignment="1">
      <alignment horizontal="center" vertical="center"/>
    </xf>
    <xf numFmtId="2" fontId="43" fillId="0" borderId="1" xfId="40" applyNumberFormat="1" applyFont="1" applyBorder="1" applyAlignment="1">
      <alignment horizontal="center" vertical="center" wrapText="1"/>
    </xf>
    <xf numFmtId="0" fontId="8" fillId="0" borderId="1" xfId="40" applyBorder="1" applyAlignment="1">
      <alignment horizontal="center" vertical="center" wrapText="1"/>
    </xf>
    <xf numFmtId="0" fontId="8" fillId="0" borderId="4" xfId="40" applyBorder="1" applyAlignment="1">
      <alignment horizontal="center" vertical="center" wrapText="1"/>
    </xf>
    <xf numFmtId="0" fontId="46" fillId="3" borderId="19" xfId="40" applyFont="1" applyFill="1" applyBorder="1" applyAlignment="1">
      <alignment horizontal="center"/>
    </xf>
    <xf numFmtId="0" fontId="46" fillId="3" borderId="18" xfId="40" applyFont="1" applyFill="1" applyBorder="1" applyAlignment="1">
      <alignment horizontal="center"/>
    </xf>
    <xf numFmtId="0" fontId="46" fillId="3" borderId="27" xfId="40" applyFont="1" applyFill="1" applyBorder="1" applyAlignment="1">
      <alignment horizontal="center"/>
    </xf>
    <xf numFmtId="0" fontId="45" fillId="3" borderId="4" xfId="40" applyFont="1" applyFill="1" applyBorder="1" applyAlignment="1">
      <alignment horizontal="center" vertical="center" wrapText="1"/>
    </xf>
    <xf numFmtId="0" fontId="45" fillId="3" borderId="6" xfId="40" applyFont="1" applyFill="1" applyBorder="1" applyAlignment="1">
      <alignment horizontal="center" vertical="center" wrapText="1"/>
    </xf>
    <xf numFmtId="0" fontId="47" fillId="0" borderId="6" xfId="40" applyFont="1" applyBorder="1" applyAlignment="1">
      <alignment horizontal="center"/>
    </xf>
    <xf numFmtId="0" fontId="47" fillId="0" borderId="9" xfId="40" applyFont="1" applyBorder="1" applyAlignment="1">
      <alignment horizontal="center"/>
    </xf>
    <xf numFmtId="49" fontId="20" fillId="9" borderId="6" xfId="40" applyNumberFormat="1" applyFont="1" applyFill="1" applyBorder="1" applyAlignment="1">
      <alignment horizontal="center" vertical="center" wrapText="1"/>
    </xf>
    <xf numFmtId="0" fontId="20" fillId="9" borderId="6" xfId="40" applyFont="1" applyFill="1" applyBorder="1" applyAlignment="1">
      <alignment horizontal="center" vertical="center" wrapText="1"/>
    </xf>
    <xf numFmtId="0" fontId="20" fillId="9" borderId="7" xfId="40" applyFont="1" applyFill="1" applyBorder="1" applyAlignment="1">
      <alignment horizontal="center" vertical="center" wrapText="1"/>
    </xf>
    <xf numFmtId="0" fontId="46" fillId="9" borderId="12" xfId="40" applyFont="1" applyFill="1" applyBorder="1" applyAlignment="1">
      <alignment horizontal="left"/>
    </xf>
    <xf numFmtId="0" fontId="46" fillId="9" borderId="11" xfId="40" applyFont="1" applyFill="1" applyBorder="1" applyAlignment="1">
      <alignment horizontal="left"/>
    </xf>
    <xf numFmtId="0" fontId="46" fillId="9" borderId="13" xfId="40" applyFont="1" applyFill="1" applyBorder="1" applyAlignment="1">
      <alignment horizontal="left"/>
    </xf>
    <xf numFmtId="0" fontId="44" fillId="8" borderId="29" xfId="40" applyFont="1" applyFill="1" applyBorder="1" applyAlignment="1">
      <alignment horizontal="center" vertical="center" wrapText="1"/>
    </xf>
    <xf numFmtId="0" fontId="44" fillId="8" borderId="23" xfId="40" applyFont="1" applyFill="1" applyBorder="1" applyAlignment="1">
      <alignment horizontal="center" vertical="center" wrapText="1"/>
    </xf>
    <xf numFmtId="2" fontId="6" fillId="9" borderId="18" xfId="40" applyNumberFormat="1" applyFont="1" applyFill="1" applyBorder="1" applyAlignment="1">
      <alignment horizontal="center" vertical="top"/>
    </xf>
    <xf numFmtId="2" fontId="6" fillId="9" borderId="11" xfId="40" applyNumberFormat="1" applyFont="1" applyFill="1" applyBorder="1" applyAlignment="1">
      <alignment horizontal="center"/>
    </xf>
    <xf numFmtId="0" fontId="53" fillId="0" borderId="30" xfId="42" applyNumberFormat="1" applyFont="1" applyBorder="1" applyAlignment="1">
      <alignment horizontal="left"/>
    </xf>
    <xf numFmtId="0" fontId="53" fillId="0" borderId="0" xfId="42" applyNumberFormat="1" applyFont="1" applyAlignment="1">
      <alignment horizontal="left"/>
    </xf>
    <xf numFmtId="0" fontId="6" fillId="0" borderId="0" xfId="56" applyAlignment="1">
      <alignment horizontal="center" vertical="center"/>
    </xf>
    <xf numFmtId="0" fontId="23" fillId="7" borderId="40" xfId="55" applyFont="1" applyFill="1" applyBorder="1" applyAlignment="1">
      <alignment horizontal="center" vertical="center" wrapText="1"/>
    </xf>
    <xf numFmtId="0" fontId="23" fillId="7" borderId="39" xfId="55" applyFont="1" applyFill="1" applyBorder="1" applyAlignment="1">
      <alignment horizontal="center" vertical="center" wrapText="1"/>
    </xf>
    <xf numFmtId="0" fontId="23" fillId="7" borderId="38" xfId="55" applyFont="1" applyFill="1" applyBorder="1" applyAlignment="1">
      <alignment horizontal="center" vertical="center" wrapText="1"/>
    </xf>
    <xf numFmtId="0" fontId="23" fillId="8" borderId="25" xfId="69" applyFont="1" applyFill="1" applyBorder="1" applyAlignment="1" applyProtection="1">
      <alignment horizontal="center" vertical="center"/>
      <protection locked="0"/>
    </xf>
    <xf numFmtId="0" fontId="23" fillId="8" borderId="2" xfId="69" applyFont="1" applyFill="1" applyBorder="1" applyAlignment="1" applyProtection="1">
      <alignment horizontal="center" vertical="center"/>
      <protection locked="0"/>
    </xf>
    <xf numFmtId="0" fontId="23" fillId="8" borderId="32" xfId="69" applyFont="1" applyFill="1" applyBorder="1" applyAlignment="1" applyProtection="1">
      <alignment horizontal="center" vertical="center"/>
      <protection locked="0"/>
    </xf>
    <xf numFmtId="0" fontId="57" fillId="0" borderId="30" xfId="42" applyNumberFormat="1" applyFont="1" applyBorder="1" applyAlignment="1">
      <alignment horizontal="center" vertical="center" wrapText="1"/>
    </xf>
    <xf numFmtId="0" fontId="57" fillId="0" borderId="0" xfId="42" applyNumberFormat="1" applyFont="1" applyAlignment="1">
      <alignment horizontal="center" vertical="center" wrapText="1"/>
    </xf>
    <xf numFmtId="0" fontId="57" fillId="0" borderId="33" xfId="42" applyNumberFormat="1" applyFont="1" applyBorder="1" applyAlignment="1">
      <alignment horizontal="center" vertical="center" wrapText="1"/>
    </xf>
    <xf numFmtId="0" fontId="24" fillId="7" borderId="0" xfId="55" applyFont="1" applyFill="1" applyAlignment="1">
      <alignment horizontal="center" vertical="center" wrapText="1"/>
    </xf>
    <xf numFmtId="0" fontId="57" fillId="0" borderId="0" xfId="55" quotePrefix="1" applyFont="1" applyAlignment="1">
      <alignment horizontal="center" vertical="center" wrapText="1"/>
    </xf>
    <xf numFmtId="0" fontId="57" fillId="0" borderId="0" xfId="55" applyFont="1" applyAlignment="1">
      <alignment horizontal="center" vertical="center" wrapText="1"/>
    </xf>
    <xf numFmtId="0" fontId="14" fillId="0" borderId="12" xfId="42" applyNumberFormat="1" applyFont="1" applyBorder="1" applyAlignment="1">
      <alignment horizontal="center" vertical="center"/>
    </xf>
    <xf numFmtId="0" fontId="14" fillId="0" borderId="11" xfId="42" applyNumberFormat="1" applyFont="1" applyBorder="1" applyAlignment="1">
      <alignment horizontal="center" vertical="center"/>
    </xf>
    <xf numFmtId="0" fontId="14" fillId="0" borderId="13" xfId="42" applyNumberFormat="1" applyFont="1" applyBorder="1" applyAlignment="1">
      <alignment horizontal="center" vertical="center"/>
    </xf>
    <xf numFmtId="0" fontId="14" fillId="0" borderId="3" xfId="42" applyNumberFormat="1" applyFont="1" applyBorder="1" applyAlignment="1">
      <alignment horizontal="center" vertical="center"/>
    </xf>
    <xf numFmtId="0" fontId="14" fillId="0" borderId="0" xfId="42" applyNumberFormat="1" applyFont="1" applyAlignment="1">
      <alignment horizontal="center" vertical="center"/>
    </xf>
    <xf numFmtId="0" fontId="14" fillId="0" borderId="14" xfId="42" applyNumberFormat="1" applyFont="1" applyBorder="1" applyAlignment="1">
      <alignment horizontal="center" vertical="center"/>
    </xf>
    <xf numFmtId="0" fontId="14" fillId="0" borderId="19" xfId="42" applyNumberFormat="1" applyFont="1" applyBorder="1" applyAlignment="1">
      <alignment horizontal="center" vertical="center"/>
    </xf>
    <xf numFmtId="0" fontId="14" fillId="0" borderId="18" xfId="42" applyNumberFormat="1" applyFont="1" applyBorder="1" applyAlignment="1">
      <alignment horizontal="center" vertical="center"/>
    </xf>
    <xf numFmtId="0" fontId="14" fillId="0" borderId="27" xfId="42" applyNumberFormat="1" applyFont="1" applyBorder="1" applyAlignment="1">
      <alignment horizontal="center" vertical="center"/>
    </xf>
    <xf numFmtId="2" fontId="6" fillId="9" borderId="0" xfId="40" applyNumberFormat="1" applyFont="1" applyFill="1" applyAlignment="1">
      <alignment horizontal="center" vertical="top"/>
    </xf>
    <xf numFmtId="0" fontId="20" fillId="9" borderId="6" xfId="40" quotePrefix="1" applyFont="1" applyFill="1" applyBorder="1" applyAlignment="1">
      <alignment horizontal="center" vertical="center" wrapText="1"/>
    </xf>
    <xf numFmtId="2" fontId="6" fillId="9" borderId="0" xfId="40" applyNumberFormat="1" applyFont="1" applyFill="1" applyAlignment="1">
      <alignment horizontal="left" vertical="top" indent="2"/>
    </xf>
    <xf numFmtId="2" fontId="6" fillId="9" borderId="0" xfId="40" applyNumberFormat="1" applyFont="1" applyFill="1" applyAlignment="1">
      <alignment horizontal="left" indent="11"/>
    </xf>
    <xf numFmtId="2" fontId="6" fillId="9" borderId="0" xfId="40" applyNumberFormat="1" applyFont="1" applyFill="1" applyAlignment="1">
      <alignment horizontal="left" indent="2"/>
    </xf>
    <xf numFmtId="2" fontId="6" fillId="9" borderId="0" xfId="40" applyNumberFormat="1" applyFont="1" applyFill="1" applyAlignment="1">
      <alignment horizontal="left" vertical="center" indent="2"/>
    </xf>
    <xf numFmtId="2" fontId="6" fillId="9" borderId="0" xfId="40" applyNumberFormat="1" applyFont="1" applyFill="1" applyAlignment="1">
      <alignment horizontal="left" indent="5"/>
    </xf>
    <xf numFmtId="2" fontId="6" fillId="9" borderId="0" xfId="40" applyNumberFormat="1" applyFont="1" applyFill="1" applyAlignment="1">
      <alignment horizontal="left" vertical="center"/>
    </xf>
    <xf numFmtId="0" fontId="20" fillId="0" borderId="30" xfId="42" applyNumberFormat="1" applyFont="1" applyBorder="1" applyAlignment="1">
      <alignment horizontal="center" vertical="center" wrapText="1"/>
    </xf>
    <xf numFmtId="0" fontId="20" fillId="0" borderId="0" xfId="42" applyNumberFormat="1" applyFont="1" applyAlignment="1">
      <alignment horizontal="center" vertical="center" wrapText="1"/>
    </xf>
    <xf numFmtId="0" fontId="20" fillId="0" borderId="33" xfId="42" applyNumberFormat="1" applyFont="1" applyBorder="1" applyAlignment="1">
      <alignment horizontal="center" vertical="center" wrapText="1"/>
    </xf>
    <xf numFmtId="0" fontId="20" fillId="0" borderId="30" xfId="42" quotePrefix="1" applyNumberFormat="1" applyFont="1" applyBorder="1" applyAlignment="1">
      <alignment horizontal="center" vertical="center" wrapText="1"/>
    </xf>
    <xf numFmtId="0" fontId="57" fillId="0" borderId="30" xfId="42" quotePrefix="1" applyNumberFormat="1" applyFont="1" applyBorder="1" applyAlignment="1">
      <alignment horizontal="center" vertical="center" wrapText="1"/>
    </xf>
    <xf numFmtId="0" fontId="53" fillId="0" borderId="12" xfId="42" applyNumberFormat="1" applyFont="1" applyBorder="1" applyAlignment="1">
      <alignment horizontal="center" vertical="center"/>
    </xf>
    <xf numFmtId="0" fontId="53" fillId="0" borderId="11" xfId="42" applyNumberFormat="1" applyFont="1" applyBorder="1" applyAlignment="1">
      <alignment horizontal="center" vertical="center"/>
    </xf>
    <xf numFmtId="0" fontId="53" fillId="0" borderId="13" xfId="42" applyNumberFormat="1" applyFont="1" applyBorder="1" applyAlignment="1">
      <alignment horizontal="center" vertical="center"/>
    </xf>
    <xf numFmtId="0" fontId="53" fillId="0" borderId="3" xfId="42" applyNumberFormat="1" applyFont="1" applyBorder="1" applyAlignment="1">
      <alignment horizontal="center" vertical="center"/>
    </xf>
    <xf numFmtId="0" fontId="53" fillId="0" borderId="0" xfId="42" applyNumberFormat="1" applyFont="1" applyAlignment="1">
      <alignment horizontal="center" vertical="center"/>
    </xf>
    <xf numFmtId="0" fontId="53" fillId="0" borderId="14" xfId="42" applyNumberFormat="1" applyFont="1" applyBorder="1" applyAlignment="1">
      <alignment horizontal="center" vertical="center"/>
    </xf>
    <xf numFmtId="0" fontId="53" fillId="0" borderId="19" xfId="42" applyNumberFormat="1" applyFont="1" applyBorder="1" applyAlignment="1">
      <alignment horizontal="center" vertical="center"/>
    </xf>
    <xf numFmtId="0" fontId="53" fillId="0" borderId="18" xfId="42" applyNumberFormat="1" applyFont="1" applyBorder="1" applyAlignment="1">
      <alignment horizontal="center" vertical="center"/>
    </xf>
    <xf numFmtId="0" fontId="53" fillId="0" borderId="27" xfId="42" applyNumberFormat="1" applyFont="1" applyBorder="1" applyAlignment="1">
      <alignment horizontal="center" vertical="center"/>
    </xf>
    <xf numFmtId="0" fontId="14" fillId="5" borderId="7" xfId="72" applyFont="1" applyFill="1" applyBorder="1" applyAlignment="1">
      <alignment horizontal="center" vertical="center"/>
    </xf>
    <xf numFmtId="0" fontId="14" fillId="5" borderId="5" xfId="72" applyFont="1" applyFill="1" applyBorder="1" applyAlignment="1">
      <alignment horizontal="center" vertical="center"/>
    </xf>
    <xf numFmtId="0" fontId="14" fillId="5" borderId="8" xfId="72" applyFont="1" applyFill="1" applyBorder="1" applyAlignment="1">
      <alignment horizontal="center" vertical="center"/>
    </xf>
    <xf numFmtId="0" fontId="31" fillId="5" borderId="7" xfId="68" applyFont="1" applyFill="1" applyBorder="1" applyAlignment="1">
      <alignment horizontal="center" vertical="center"/>
    </xf>
    <xf numFmtId="0" fontId="31" fillId="5" borderId="8" xfId="68" applyFont="1" applyFill="1" applyBorder="1" applyAlignment="1">
      <alignment horizontal="center" vertical="center"/>
    </xf>
    <xf numFmtId="0" fontId="31" fillId="5" borderId="9" xfId="68" applyFont="1" applyFill="1" applyBorder="1" applyAlignment="1">
      <alignment horizontal="center" vertical="center" wrapText="1"/>
    </xf>
    <xf numFmtId="0" fontId="31" fillId="5" borderId="4" xfId="68" applyFont="1" applyFill="1" applyBorder="1" applyAlignment="1">
      <alignment horizontal="center" vertical="center" wrapText="1"/>
    </xf>
    <xf numFmtId="0" fontId="48" fillId="0" borderId="6" xfId="56" applyFont="1" applyBorder="1" applyAlignment="1">
      <alignment horizontal="center" vertical="center"/>
    </xf>
    <xf numFmtId="4" fontId="88" fillId="8" borderId="6" xfId="73" applyNumberFormat="1" applyFont="1" applyFill="1" applyBorder="1" applyAlignment="1">
      <alignment horizontal="left" vertical="center" indent="1"/>
    </xf>
    <xf numFmtId="4" fontId="88" fillId="8" borderId="6" xfId="73" applyNumberFormat="1" applyFont="1" applyFill="1" applyBorder="1" applyAlignment="1">
      <alignment horizontal="center" vertical="center"/>
    </xf>
    <xf numFmtId="0" fontId="17" fillId="3" borderId="0" xfId="73" applyFont="1" applyFill="1" applyAlignment="1">
      <alignment horizontal="center" vertical="center"/>
    </xf>
    <xf numFmtId="4" fontId="17" fillId="3" borderId="0" xfId="73" applyNumberFormat="1" applyFont="1" applyFill="1" applyAlignment="1">
      <alignment horizontal="right" vertical="center"/>
    </xf>
    <xf numFmtId="4" fontId="17" fillId="3" borderId="0" xfId="73" applyNumberFormat="1" applyFont="1" applyFill="1" applyAlignment="1">
      <alignment horizontal="center" vertical="top"/>
    </xf>
    <xf numFmtId="4" fontId="17" fillId="0" borderId="19" xfId="73" applyNumberFormat="1" applyFont="1" applyBorder="1" applyAlignment="1">
      <alignment horizontal="left" vertical="center" indent="1"/>
    </xf>
    <xf numFmtId="4" fontId="17" fillId="0" borderId="18" xfId="73" applyNumberFormat="1" applyFont="1" applyBorder="1" applyAlignment="1">
      <alignment horizontal="left" vertical="center" indent="1"/>
    </xf>
    <xf numFmtId="4" fontId="17" fillId="0" borderId="27" xfId="73" applyNumberFormat="1" applyFont="1" applyBorder="1" applyAlignment="1">
      <alignment horizontal="left" vertical="center" indent="1"/>
    </xf>
    <xf numFmtId="4" fontId="17" fillId="0" borderId="7" xfId="73" applyNumberFormat="1" applyFont="1" applyBorder="1" applyAlignment="1">
      <alignment horizontal="left" vertical="center" indent="1"/>
    </xf>
    <xf numFmtId="4" fontId="17" fillId="0" borderId="5" xfId="73" applyNumberFormat="1" applyFont="1" applyBorder="1" applyAlignment="1">
      <alignment horizontal="left" vertical="center" indent="1"/>
    </xf>
    <xf numFmtId="4" fontId="17" fillId="0" borderId="8" xfId="73" applyNumberFormat="1" applyFont="1" applyBorder="1" applyAlignment="1">
      <alignment horizontal="left" vertical="center" indent="1"/>
    </xf>
    <xf numFmtId="0" fontId="17" fillId="3" borderId="9" xfId="73" applyFont="1" applyFill="1" applyBorder="1" applyAlignment="1">
      <alignment horizontal="center" vertical="center" textRotation="90" wrapText="1"/>
    </xf>
    <xf numFmtId="0" fontId="17" fillId="3" borderId="1" xfId="73" applyFont="1" applyFill="1" applyBorder="1" applyAlignment="1">
      <alignment horizontal="center" vertical="center" textRotation="90" wrapText="1"/>
    </xf>
    <xf numFmtId="0" fontId="17" fillId="3" borderId="4" xfId="73" applyFont="1" applyFill="1" applyBorder="1" applyAlignment="1">
      <alignment horizontal="center" vertical="center" textRotation="90" wrapText="1"/>
    </xf>
    <xf numFmtId="0" fontId="17" fillId="3" borderId="10" xfId="73" applyFont="1" applyFill="1" applyBorder="1" applyAlignment="1">
      <alignment horizontal="center" vertical="center" textRotation="90" wrapText="1"/>
    </xf>
    <xf numFmtId="0" fontId="17" fillId="3" borderId="9" xfId="73" applyFont="1" applyFill="1" applyBorder="1" applyAlignment="1">
      <alignment horizontal="center" vertical="center" textRotation="90"/>
    </xf>
    <xf numFmtId="0" fontId="17" fillId="3" borderId="1" xfId="73" applyFont="1" applyFill="1" applyBorder="1" applyAlignment="1">
      <alignment horizontal="center" vertical="center" textRotation="90"/>
    </xf>
    <xf numFmtId="0" fontId="17" fillId="3" borderId="10" xfId="73" applyFont="1" applyFill="1" applyBorder="1" applyAlignment="1">
      <alignment horizontal="center" vertical="center" textRotation="90"/>
    </xf>
    <xf numFmtId="4" fontId="17" fillId="3" borderId="0" xfId="73" applyNumberFormat="1" applyFont="1" applyFill="1" applyAlignment="1">
      <alignment horizontal="left" vertical="top" indent="2"/>
    </xf>
    <xf numFmtId="4" fontId="17" fillId="3" borderId="0" xfId="73" applyNumberFormat="1" applyFont="1" applyFill="1" applyAlignment="1">
      <alignment horizontal="center" vertical="center"/>
    </xf>
    <xf numFmtId="0" fontId="17" fillId="3" borderId="48" xfId="73" applyFont="1" applyFill="1" applyBorder="1" applyAlignment="1">
      <alignment horizontal="center" vertical="center" textRotation="90"/>
    </xf>
    <xf numFmtId="0" fontId="17" fillId="3" borderId="4" xfId="73" applyFont="1" applyFill="1" applyBorder="1" applyAlignment="1">
      <alignment horizontal="center" vertical="center" textRotation="90"/>
    </xf>
    <xf numFmtId="0" fontId="17" fillId="3" borderId="6" xfId="73" applyFont="1" applyFill="1" applyBorder="1" applyAlignment="1">
      <alignment horizontal="center" vertical="center" textRotation="90"/>
    </xf>
    <xf numFmtId="0" fontId="17" fillId="3" borderId="17" xfId="73" applyFont="1" applyFill="1" applyBorder="1" applyAlignment="1">
      <alignment horizontal="center" vertical="center" textRotation="90"/>
    </xf>
    <xf numFmtId="0" fontId="17" fillId="3" borderId="45" xfId="73" applyFont="1" applyFill="1" applyBorder="1" applyAlignment="1">
      <alignment horizontal="center" vertical="center" textRotation="90"/>
    </xf>
    <xf numFmtId="0" fontId="17" fillId="3" borderId="45" xfId="73" applyFont="1" applyFill="1" applyBorder="1" applyAlignment="1">
      <alignment horizontal="center" vertical="center" textRotation="90" wrapText="1"/>
    </xf>
    <xf numFmtId="4" fontId="16" fillId="3" borderId="0" xfId="73" applyNumberFormat="1" applyFont="1" applyFill="1" applyAlignment="1">
      <alignment horizontal="center" vertical="center"/>
    </xf>
    <xf numFmtId="4" fontId="17" fillId="3" borderId="0" xfId="73" applyNumberFormat="1" applyFont="1" applyFill="1" applyAlignment="1">
      <alignment horizontal="center"/>
    </xf>
    <xf numFmtId="0" fontId="17" fillId="10" borderId="9" xfId="73" applyFont="1" applyFill="1" applyBorder="1" applyAlignment="1">
      <alignment horizontal="center" vertical="center" textRotation="90" wrapText="1"/>
    </xf>
    <xf numFmtId="0" fontId="17" fillId="10" borderId="1" xfId="73" applyFont="1" applyFill="1" applyBorder="1" applyAlignment="1">
      <alignment horizontal="center" vertical="center" textRotation="90" wrapText="1"/>
    </xf>
    <xf numFmtId="0" fontId="17" fillId="10" borderId="4" xfId="73" applyFont="1" applyFill="1" applyBorder="1" applyAlignment="1">
      <alignment horizontal="center" vertical="center" textRotation="90" wrapText="1"/>
    </xf>
    <xf numFmtId="0" fontId="17" fillId="3" borderId="3" xfId="73" applyFont="1" applyFill="1" applyBorder="1" applyAlignment="1">
      <alignment horizontal="center" vertical="center" textRotation="90" wrapText="1"/>
    </xf>
    <xf numFmtId="0" fontId="17" fillId="12" borderId="45" xfId="73" applyFont="1" applyFill="1" applyBorder="1" applyAlignment="1">
      <alignment horizontal="center" vertical="center" textRotation="90"/>
    </xf>
    <xf numFmtId="0" fontId="17" fillId="12" borderId="1" xfId="73" applyFont="1" applyFill="1" applyBorder="1" applyAlignment="1">
      <alignment horizontal="center" vertical="center" textRotation="90"/>
    </xf>
    <xf numFmtId="0" fontId="17" fillId="12" borderId="4" xfId="73" applyFont="1" applyFill="1" applyBorder="1" applyAlignment="1">
      <alignment horizontal="center" vertical="center" textRotation="90"/>
    </xf>
    <xf numFmtId="49" fontId="57" fillId="3" borderId="52" xfId="42" quotePrefix="1" applyNumberFormat="1" applyFont="1" applyFill="1" applyBorder="1" applyAlignment="1">
      <alignment horizontal="center" vertical="center" wrapText="1"/>
    </xf>
    <xf numFmtId="49" fontId="57" fillId="3" borderId="51" xfId="42" applyNumberFormat="1" applyFont="1" applyFill="1" applyBorder="1" applyAlignment="1">
      <alignment horizontal="center" vertical="center" wrapText="1"/>
    </xf>
    <xf numFmtId="49" fontId="57" fillId="3" borderId="50" xfId="42" applyNumberFormat="1" applyFont="1" applyFill="1" applyBorder="1" applyAlignment="1">
      <alignment horizontal="center" vertical="center" wrapText="1"/>
    </xf>
    <xf numFmtId="0" fontId="25" fillId="8" borderId="3" xfId="73" applyFont="1" applyFill="1" applyBorder="1" applyAlignment="1">
      <alignment horizontal="center" vertical="center"/>
    </xf>
    <xf numFmtId="0" fontId="25" fillId="8" borderId="0" xfId="73" applyFont="1" applyFill="1" applyAlignment="1">
      <alignment horizontal="center" vertical="center"/>
    </xf>
    <xf numFmtId="0" fontId="25" fillId="8" borderId="14" xfId="73" applyFont="1" applyFill="1" applyBorder="1" applyAlignment="1">
      <alignment horizontal="center" vertical="center"/>
    </xf>
    <xf numFmtId="0" fontId="25" fillId="8" borderId="44" xfId="73" applyFont="1" applyFill="1" applyBorder="1" applyAlignment="1">
      <alignment horizontal="center" vertical="center"/>
    </xf>
    <xf numFmtId="0" fontId="25" fillId="8" borderId="43" xfId="73" applyFont="1" applyFill="1" applyBorder="1" applyAlignment="1">
      <alignment horizontal="center" vertical="center"/>
    </xf>
    <xf numFmtId="0" fontId="25" fillId="8" borderId="49" xfId="73" applyFont="1" applyFill="1" applyBorder="1" applyAlignment="1">
      <alignment horizontal="center" vertical="center"/>
    </xf>
    <xf numFmtId="0" fontId="25" fillId="8" borderId="3" xfId="73" applyFont="1" applyFill="1" applyBorder="1" applyAlignment="1">
      <alignment horizontal="center" vertical="center" shrinkToFit="1"/>
    </xf>
    <xf numFmtId="0" fontId="25" fillId="8" borderId="0" xfId="73" applyFont="1" applyFill="1" applyAlignment="1">
      <alignment horizontal="center" vertical="center" shrinkToFit="1"/>
    </xf>
    <xf numFmtId="0" fontId="25" fillId="8" borderId="1" xfId="73" applyFont="1" applyFill="1" applyBorder="1" applyAlignment="1">
      <alignment horizontal="center" vertical="center" wrapText="1"/>
    </xf>
    <xf numFmtId="0" fontId="25" fillId="8" borderId="10" xfId="73" applyFont="1" applyFill="1" applyBorder="1" applyAlignment="1">
      <alignment horizontal="center" vertical="center" wrapText="1"/>
    </xf>
    <xf numFmtId="0" fontId="25" fillId="8" borderId="4" xfId="73" applyFont="1" applyFill="1" applyBorder="1" applyAlignment="1">
      <alignment horizontal="center" vertical="center"/>
    </xf>
    <xf numFmtId="0" fontId="14" fillId="5" borderId="7" xfId="76" applyFont="1" applyFill="1" applyBorder="1" applyAlignment="1">
      <alignment horizontal="center" vertical="center"/>
    </xf>
    <xf numFmtId="0" fontId="14" fillId="5" borderId="5" xfId="76" applyFont="1" applyFill="1" applyBorder="1" applyAlignment="1">
      <alignment horizontal="center" vertical="center"/>
    </xf>
    <xf numFmtId="0" fontId="14" fillId="5" borderId="8" xfId="76" applyFont="1" applyFill="1" applyBorder="1" applyAlignment="1">
      <alignment horizontal="center" vertical="center"/>
    </xf>
    <xf numFmtId="0" fontId="31" fillId="5" borderId="7" xfId="75" applyFont="1" applyFill="1" applyBorder="1" applyAlignment="1">
      <alignment horizontal="center" vertical="center"/>
    </xf>
    <xf numFmtId="0" fontId="31" fillId="5" borderId="8" xfId="75" applyFont="1" applyFill="1" applyBorder="1" applyAlignment="1">
      <alignment horizontal="center" vertical="center"/>
    </xf>
    <xf numFmtId="0" fontId="31" fillId="5" borderId="9" xfId="75" applyFont="1" applyFill="1" applyBorder="1" applyAlignment="1">
      <alignment horizontal="center" vertical="center" wrapText="1"/>
    </xf>
    <xf numFmtId="0" fontId="31" fillId="5" borderId="4" xfId="75" applyFont="1" applyFill="1" applyBorder="1" applyAlignment="1">
      <alignment horizontal="center" vertical="center" wrapText="1"/>
    </xf>
    <xf numFmtId="0" fontId="17" fillId="12" borderId="45" xfId="77" applyFont="1" applyFill="1" applyBorder="1" applyAlignment="1">
      <alignment horizontal="center" vertical="center" textRotation="90"/>
    </xf>
    <xf numFmtId="0" fontId="17" fillId="12" borderId="1" xfId="77" applyFont="1" applyFill="1" applyBorder="1" applyAlignment="1">
      <alignment horizontal="center" vertical="center" textRotation="90"/>
    </xf>
    <xf numFmtId="0" fontId="17" fillId="12" borderId="4" xfId="77" applyFont="1" applyFill="1" applyBorder="1" applyAlignment="1">
      <alignment horizontal="center" vertical="center" textRotation="90"/>
    </xf>
    <xf numFmtId="4" fontId="16" fillId="3" borderId="0" xfId="77" applyNumberFormat="1" applyFont="1" applyFill="1" applyAlignment="1">
      <alignment horizontal="center" vertical="center"/>
    </xf>
    <xf numFmtId="0" fontId="17" fillId="10" borderId="9" xfId="77" applyFont="1" applyFill="1" applyBorder="1" applyAlignment="1">
      <alignment horizontal="center" vertical="center" textRotation="90" wrapText="1"/>
    </xf>
    <xf numFmtId="0" fontId="17" fillId="10" borderId="1" xfId="77" applyFont="1" applyFill="1" applyBorder="1" applyAlignment="1">
      <alignment horizontal="center" vertical="center" textRotation="90" wrapText="1"/>
    </xf>
    <xf numFmtId="0" fontId="17" fillId="10" borderId="4" xfId="77" applyFont="1" applyFill="1" applyBorder="1" applyAlignment="1">
      <alignment horizontal="center" vertical="center" textRotation="90" wrapText="1"/>
    </xf>
    <xf numFmtId="0" fontId="23" fillId="8" borderId="15" xfId="69" applyFont="1" applyFill="1" applyBorder="1" applyAlignment="1" applyProtection="1">
      <alignment horizontal="center" vertical="center"/>
      <protection locked="0"/>
    </xf>
    <xf numFmtId="0" fontId="23" fillId="8" borderId="16" xfId="69" applyFont="1" applyFill="1" applyBorder="1" applyAlignment="1" applyProtection="1">
      <alignment horizontal="center" vertical="center"/>
      <protection locked="0"/>
    </xf>
    <xf numFmtId="0" fontId="18" fillId="3" borderId="12" xfId="77" applyFont="1" applyFill="1" applyBorder="1" applyAlignment="1">
      <alignment horizontal="center" vertical="center"/>
    </xf>
    <xf numFmtId="0" fontId="18" fillId="3" borderId="11" xfId="77" applyFont="1" applyFill="1" applyBorder="1" applyAlignment="1">
      <alignment horizontal="center" vertical="center"/>
    </xf>
    <xf numFmtId="0" fontId="18" fillId="3" borderId="13" xfId="77" applyFont="1" applyFill="1" applyBorder="1" applyAlignment="1">
      <alignment horizontal="center" vertical="center"/>
    </xf>
    <xf numFmtId="0" fontId="18" fillId="3" borderId="44" xfId="77" applyFont="1" applyFill="1" applyBorder="1" applyAlignment="1">
      <alignment horizontal="center" vertical="center"/>
    </xf>
    <xf numFmtId="0" fontId="18" fillId="3" borderId="43" xfId="77" applyFont="1" applyFill="1" applyBorder="1" applyAlignment="1">
      <alignment horizontal="center" vertical="center"/>
    </xf>
    <xf numFmtId="0" fontId="18" fillId="3" borderId="49" xfId="77" applyFont="1" applyFill="1" applyBorder="1" applyAlignment="1">
      <alignment horizontal="center" vertical="center"/>
    </xf>
    <xf numFmtId="0" fontId="18" fillId="3" borderId="12" xfId="77" applyFont="1" applyFill="1" applyBorder="1" applyAlignment="1">
      <alignment horizontal="center" vertical="center" shrinkToFit="1"/>
    </xf>
    <xf numFmtId="0" fontId="18" fillId="3" borderId="11" xfId="77" applyFont="1" applyFill="1" applyBorder="1" applyAlignment="1">
      <alignment horizontal="center" vertical="center" shrinkToFit="1"/>
    </xf>
    <xf numFmtId="0" fontId="18" fillId="3" borderId="3" xfId="77" applyFont="1" applyFill="1" applyBorder="1" applyAlignment="1">
      <alignment horizontal="center" vertical="center" shrinkToFit="1"/>
    </xf>
    <xf numFmtId="0" fontId="18" fillId="3" borderId="0" xfId="77" applyFont="1" applyFill="1" applyAlignment="1">
      <alignment horizontal="center" vertical="center" shrinkToFit="1"/>
    </xf>
    <xf numFmtId="0" fontId="18" fillId="3" borderId="9" xfId="77" applyFont="1" applyFill="1" applyBorder="1" applyAlignment="1">
      <alignment horizontal="center" vertical="center" wrapText="1"/>
    </xf>
    <xf numFmtId="0" fontId="18" fillId="3" borderId="10" xfId="77" applyFont="1" applyFill="1" applyBorder="1" applyAlignment="1">
      <alignment horizontal="center" vertical="center" wrapText="1"/>
    </xf>
    <xf numFmtId="0" fontId="18" fillId="3" borderId="1" xfId="77" applyFont="1" applyFill="1" applyBorder="1" applyAlignment="1">
      <alignment horizontal="center" vertical="center" wrapText="1"/>
    </xf>
    <xf numFmtId="0" fontId="18" fillId="3" borderId="6" xfId="77" applyFont="1" applyFill="1" applyBorder="1" applyAlignment="1">
      <alignment horizontal="center" vertical="center"/>
    </xf>
    <xf numFmtId="49" fontId="57" fillId="3" borderId="3" xfId="42" quotePrefix="1" applyNumberFormat="1" applyFont="1" applyFill="1" applyBorder="1" applyAlignment="1">
      <alignment horizontal="center" vertical="center" wrapText="1"/>
    </xf>
    <xf numFmtId="49" fontId="57" fillId="3" borderId="0" xfId="42" quotePrefix="1" applyNumberFormat="1" applyFont="1" applyFill="1" applyAlignment="1">
      <alignment horizontal="center" vertical="center" wrapText="1"/>
    </xf>
    <xf numFmtId="49" fontId="57" fillId="3" borderId="14" xfId="42" quotePrefix="1" applyNumberFormat="1" applyFont="1" applyFill="1" applyBorder="1" applyAlignment="1">
      <alignment horizontal="center" vertical="center" wrapText="1"/>
    </xf>
    <xf numFmtId="0" fontId="17" fillId="3" borderId="9" xfId="77" applyFont="1" applyFill="1" applyBorder="1" applyAlignment="1">
      <alignment horizontal="center" vertical="center" textRotation="90" wrapText="1"/>
    </xf>
    <xf numFmtId="0" fontId="17" fillId="3" borderId="1" xfId="77" applyFont="1" applyFill="1" applyBorder="1" applyAlignment="1">
      <alignment horizontal="center" vertical="center" textRotation="90" wrapText="1"/>
    </xf>
    <xf numFmtId="0" fontId="17" fillId="3" borderId="4" xfId="77" applyFont="1" applyFill="1" applyBorder="1" applyAlignment="1">
      <alignment horizontal="center" vertical="center" textRotation="90" wrapText="1"/>
    </xf>
    <xf numFmtId="0" fontId="17" fillId="3" borderId="1" xfId="77" applyFont="1" applyFill="1" applyBorder="1" applyAlignment="1">
      <alignment horizontal="center" vertical="center" textRotation="90"/>
    </xf>
    <xf numFmtId="0" fontId="17" fillId="3" borderId="10" xfId="77" applyFont="1" applyFill="1" applyBorder="1" applyAlignment="1">
      <alignment horizontal="center" vertical="center" textRotation="90"/>
    </xf>
    <xf numFmtId="0" fontId="17" fillId="3" borderId="3" xfId="77" applyFont="1" applyFill="1" applyBorder="1" applyAlignment="1">
      <alignment horizontal="center" vertical="center" textRotation="90" wrapText="1"/>
    </xf>
    <xf numFmtId="4" fontId="17" fillId="3" borderId="0" xfId="77" applyNumberFormat="1" applyFont="1" applyFill="1" applyAlignment="1">
      <alignment horizontal="center" vertical="center"/>
    </xf>
    <xf numFmtId="0" fontId="17" fillId="3" borderId="45" xfId="77" applyFont="1" applyFill="1" applyBorder="1" applyAlignment="1">
      <alignment horizontal="center" vertical="center" textRotation="90" wrapText="1"/>
    </xf>
    <xf numFmtId="4" fontId="17" fillId="3" borderId="0" xfId="77" applyNumberFormat="1" applyFont="1" applyFill="1" applyAlignment="1">
      <alignment horizontal="center"/>
    </xf>
    <xf numFmtId="0" fontId="17" fillId="3" borderId="10" xfId="77" applyFont="1" applyFill="1" applyBorder="1" applyAlignment="1">
      <alignment horizontal="center" vertical="center" textRotation="90" wrapText="1"/>
    </xf>
    <xf numFmtId="0" fontId="17" fillId="3" borderId="48" xfId="77" applyFont="1" applyFill="1" applyBorder="1" applyAlignment="1">
      <alignment horizontal="center" vertical="center" textRotation="90"/>
    </xf>
    <xf numFmtId="0" fontId="17" fillId="3" borderId="4" xfId="77" applyFont="1" applyFill="1" applyBorder="1" applyAlignment="1">
      <alignment horizontal="center" vertical="center" textRotation="90"/>
    </xf>
    <xf numFmtId="0" fontId="17" fillId="3" borderId="6" xfId="77" applyFont="1" applyFill="1" applyBorder="1" applyAlignment="1">
      <alignment horizontal="center" vertical="center" textRotation="90"/>
    </xf>
    <xf numFmtId="0" fontId="17" fillId="3" borderId="9" xfId="77" applyFont="1" applyFill="1" applyBorder="1" applyAlignment="1">
      <alignment horizontal="center" vertical="center" textRotation="90"/>
    </xf>
    <xf numFmtId="0" fontId="17" fillId="3" borderId="17" xfId="77" applyFont="1" applyFill="1" applyBorder="1" applyAlignment="1">
      <alignment horizontal="center" vertical="center" textRotation="90"/>
    </xf>
    <xf numFmtId="0" fontId="17" fillId="3" borderId="45" xfId="77" applyFont="1" applyFill="1" applyBorder="1" applyAlignment="1">
      <alignment horizontal="center" vertical="center" textRotation="90"/>
    </xf>
    <xf numFmtId="4" fontId="17" fillId="3" borderId="0" xfId="77" applyNumberFormat="1" applyFont="1" applyFill="1" applyAlignment="1">
      <alignment horizontal="left" vertical="top" indent="2"/>
    </xf>
    <xf numFmtId="4" fontId="100" fillId="2" borderId="6" xfId="77" applyNumberFormat="1" applyFont="1" applyFill="1" applyBorder="1" applyAlignment="1">
      <alignment horizontal="left" vertical="center" indent="1"/>
    </xf>
    <xf numFmtId="4" fontId="100" fillId="2" borderId="6" xfId="77" applyNumberFormat="1" applyFont="1" applyFill="1" applyBorder="1" applyAlignment="1">
      <alignment horizontal="center" vertical="center"/>
    </xf>
    <xf numFmtId="0" fontId="17" fillId="3" borderId="0" xfId="77" applyFont="1" applyFill="1" applyAlignment="1">
      <alignment horizontal="center" vertical="center"/>
    </xf>
    <xf numFmtId="4" fontId="17" fillId="3" borderId="0" xfId="77" applyNumberFormat="1" applyFont="1" applyFill="1" applyAlignment="1">
      <alignment horizontal="right" vertical="center"/>
    </xf>
    <xf numFmtId="4" fontId="17" fillId="3" borderId="0" xfId="77" applyNumberFormat="1" applyFont="1" applyFill="1" applyAlignment="1">
      <alignment horizontal="center" vertical="top"/>
    </xf>
    <xf numFmtId="4" fontId="17" fillId="0" borderId="19" xfId="77" applyNumberFormat="1" applyFont="1" applyBorder="1" applyAlignment="1">
      <alignment horizontal="left" vertical="center" indent="1"/>
    </xf>
    <xf numFmtId="4" fontId="17" fillId="0" borderId="18" xfId="77" applyNumberFormat="1" applyFont="1" applyBorder="1" applyAlignment="1">
      <alignment horizontal="left" vertical="center" indent="1"/>
    </xf>
    <xf numFmtId="4" fontId="17" fillId="0" borderId="27" xfId="77" applyNumberFormat="1" applyFont="1" applyBorder="1" applyAlignment="1">
      <alignment horizontal="left" vertical="center" indent="1"/>
    </xf>
    <xf numFmtId="4" fontId="17" fillId="0" borderId="7" xfId="77" applyNumberFormat="1" applyFont="1" applyBorder="1" applyAlignment="1">
      <alignment horizontal="left" vertical="center" indent="1"/>
    </xf>
    <xf numFmtId="4" fontId="17" fillId="0" borderId="5" xfId="77" applyNumberFormat="1" applyFont="1" applyBorder="1" applyAlignment="1">
      <alignment horizontal="left" vertical="center" indent="1"/>
    </xf>
    <xf numFmtId="4" fontId="17" fillId="0" borderId="8" xfId="77" applyNumberFormat="1" applyFont="1" applyBorder="1" applyAlignment="1">
      <alignment horizontal="left" vertical="center" indent="1"/>
    </xf>
    <xf numFmtId="166" fontId="52" fillId="8" borderId="6" xfId="42" applyFont="1" applyFill="1" applyBorder="1" applyAlignment="1">
      <alignment horizontal="center" vertical="center"/>
    </xf>
    <xf numFmtId="166" fontId="52" fillId="8" borderId="55" xfId="42" applyFont="1" applyFill="1" applyBorder="1" applyAlignment="1">
      <alignment horizontal="center" vertical="center"/>
    </xf>
    <xf numFmtId="49" fontId="23" fillId="7" borderId="40" xfId="42" applyNumberFormat="1" applyFont="1" applyFill="1" applyBorder="1" applyAlignment="1">
      <alignment horizontal="center" vertical="center"/>
    </xf>
    <xf numFmtId="49" fontId="23" fillId="7" borderId="39" xfId="42" applyNumberFormat="1" applyFont="1" applyFill="1" applyBorder="1" applyAlignment="1">
      <alignment horizontal="center" vertical="center"/>
    </xf>
    <xf numFmtId="49" fontId="23" fillId="7" borderId="38" xfId="42" applyNumberFormat="1" applyFont="1" applyFill="1" applyBorder="1" applyAlignment="1">
      <alignment horizontal="center" vertical="center"/>
    </xf>
    <xf numFmtId="49" fontId="57" fillId="0" borderId="30" xfId="55" applyNumberFormat="1" applyFont="1" applyBorder="1" applyAlignment="1">
      <alignment horizontal="right" vertical="center"/>
    </xf>
    <xf numFmtId="0" fontId="57" fillId="0" borderId="30" xfId="55" applyFont="1" applyBorder="1" applyAlignment="1">
      <alignment horizontal="right" vertical="center"/>
    </xf>
    <xf numFmtId="0" fontId="57" fillId="0" borderId="0" xfId="42" quotePrefix="1" applyNumberFormat="1" applyFont="1" applyAlignment="1">
      <alignment horizontal="center" vertical="center" wrapText="1"/>
    </xf>
    <xf numFmtId="0" fontId="23" fillId="8" borderId="30" xfId="55" applyFont="1" applyFill="1" applyBorder="1" applyAlignment="1">
      <alignment horizontal="center" vertical="center"/>
    </xf>
    <xf numFmtId="0" fontId="23" fillId="8" borderId="0" xfId="55" applyFont="1" applyFill="1" applyAlignment="1">
      <alignment horizontal="center" vertical="center"/>
    </xf>
    <xf numFmtId="0" fontId="23" fillId="8" borderId="33" xfId="55" applyFont="1" applyFill="1" applyBorder="1" applyAlignment="1">
      <alignment horizontal="center" vertical="center"/>
    </xf>
    <xf numFmtId="183" fontId="13" fillId="0" borderId="59" xfId="42" applyNumberFormat="1" applyFont="1" applyBorder="1" applyAlignment="1">
      <alignment horizontal="center" vertical="center"/>
    </xf>
    <xf numFmtId="183" fontId="13" fillId="0" borderId="58" xfId="42" applyNumberFormat="1" applyFont="1" applyBorder="1" applyAlignment="1">
      <alignment horizontal="center" vertical="center"/>
    </xf>
    <xf numFmtId="166" fontId="25" fillId="8" borderId="56" xfId="42" applyFont="1" applyFill="1" applyBorder="1" applyAlignment="1">
      <alignment horizontal="center" vertical="center"/>
    </xf>
    <xf numFmtId="0" fontId="48" fillId="0" borderId="7" xfId="56" applyFont="1" applyBorder="1" applyAlignment="1">
      <alignment horizontal="center" vertical="center"/>
    </xf>
    <xf numFmtId="0" fontId="48" fillId="0" borderId="5" xfId="56" applyFont="1" applyBorder="1" applyAlignment="1">
      <alignment horizontal="center" vertical="center"/>
    </xf>
    <xf numFmtId="0" fontId="48" fillId="0" borderId="8" xfId="56" applyFont="1" applyBorder="1" applyAlignment="1">
      <alignment horizontal="center" vertical="center"/>
    </xf>
    <xf numFmtId="2" fontId="23" fillId="7" borderId="12" xfId="55" applyNumberFormat="1" applyFont="1" applyFill="1" applyBorder="1" applyAlignment="1">
      <alignment horizontal="center" vertical="center" wrapText="1"/>
    </xf>
    <xf numFmtId="2" fontId="23" fillId="7" borderId="11" xfId="55" applyNumberFormat="1" applyFont="1" applyFill="1" applyBorder="1" applyAlignment="1">
      <alignment horizontal="center" vertical="center" wrapText="1"/>
    </xf>
    <xf numFmtId="2" fontId="23" fillId="7" borderId="13" xfId="55" applyNumberFormat="1" applyFont="1" applyFill="1" applyBorder="1" applyAlignment="1">
      <alignment horizontal="center" vertical="center" wrapText="1"/>
    </xf>
    <xf numFmtId="2" fontId="23" fillId="8" borderId="15" xfId="69" applyNumberFormat="1" applyFont="1" applyFill="1" applyBorder="1" applyAlignment="1" applyProtection="1">
      <alignment horizontal="center" vertical="center"/>
      <protection locked="0"/>
    </xf>
    <xf numFmtId="2" fontId="23" fillId="8" borderId="2" xfId="69" applyNumberFormat="1" applyFont="1" applyFill="1" applyBorder="1" applyAlignment="1" applyProtection="1">
      <alignment horizontal="center" vertical="center"/>
      <protection locked="0"/>
    </xf>
    <xf numFmtId="2" fontId="23" fillId="8" borderId="16" xfId="69" applyNumberFormat="1" applyFont="1" applyFill="1" applyBorder="1" applyAlignment="1" applyProtection="1">
      <alignment horizontal="center" vertical="center"/>
      <protection locked="0"/>
    </xf>
    <xf numFmtId="2" fontId="57" fillId="0" borderId="3" xfId="42" quotePrefix="1" applyNumberFormat="1" applyFont="1" applyBorder="1" applyAlignment="1">
      <alignment horizontal="center" vertical="center" wrapText="1"/>
    </xf>
    <xf numFmtId="2" fontId="57" fillId="0" borderId="0" xfId="42" applyNumberFormat="1" applyFont="1" applyAlignment="1">
      <alignment horizontal="center" vertical="center" wrapText="1"/>
    </xf>
    <xf numFmtId="2" fontId="57" fillId="0" borderId="14" xfId="42" applyNumberFormat="1" applyFont="1" applyBorder="1" applyAlignment="1">
      <alignment horizontal="center" vertical="center" wrapText="1"/>
    </xf>
    <xf numFmtId="0" fontId="99" fillId="0" borderId="0" xfId="55" applyFont="1" applyAlignment="1">
      <alignment horizontal="center" wrapText="1"/>
    </xf>
    <xf numFmtId="0" fontId="23" fillId="7" borderId="12" xfId="55" applyFont="1" applyFill="1" applyBorder="1" applyAlignment="1">
      <alignment horizontal="center" wrapText="1"/>
    </xf>
    <xf numFmtId="0" fontId="23" fillId="7" borderId="11" xfId="55" applyFont="1" applyFill="1" applyBorder="1" applyAlignment="1">
      <alignment horizontal="center" wrapText="1"/>
    </xf>
    <xf numFmtId="0" fontId="23" fillId="7" borderId="13" xfId="55" applyFont="1" applyFill="1" applyBorder="1" applyAlignment="1">
      <alignment horizontal="center" wrapText="1"/>
    </xf>
    <xf numFmtId="0" fontId="23" fillId="8" borderId="15" xfId="55" applyFont="1" applyFill="1" applyBorder="1" applyAlignment="1">
      <alignment horizontal="center" vertical="center" wrapText="1"/>
    </xf>
    <xf numFmtId="0" fontId="23" fillId="8" borderId="2" xfId="55" applyFont="1" applyFill="1" applyBorder="1" applyAlignment="1">
      <alignment horizontal="center" vertical="center" wrapText="1"/>
    </xf>
    <xf numFmtId="0" fontId="23" fillId="8" borderId="16" xfId="55" applyFont="1" applyFill="1" applyBorder="1" applyAlignment="1">
      <alignment horizontal="center" vertical="center" wrapText="1"/>
    </xf>
    <xf numFmtId="0" fontId="13" fillId="0" borderId="12" xfId="42" applyNumberFormat="1" applyFont="1" applyBorder="1" applyAlignment="1">
      <alignment horizontal="center"/>
    </xf>
    <xf numFmtId="0" fontId="13" fillId="0" borderId="11" xfId="42" applyNumberFormat="1" applyFont="1" applyBorder="1" applyAlignment="1">
      <alignment horizontal="center"/>
    </xf>
    <xf numFmtId="0" fontId="13" fillId="0" borderId="13" xfId="42" applyNumberFormat="1" applyFont="1" applyBorder="1" applyAlignment="1">
      <alignment horizontal="center"/>
    </xf>
    <xf numFmtId="0" fontId="13" fillId="0" borderId="3" xfId="42" applyNumberFormat="1" applyFont="1" applyBorder="1" applyAlignment="1">
      <alignment horizontal="center"/>
    </xf>
    <xf numFmtId="0" fontId="13" fillId="0" borderId="0" xfId="42" applyNumberFormat="1" applyFont="1" applyAlignment="1">
      <alignment horizontal="center"/>
    </xf>
    <xf numFmtId="0" fontId="13" fillId="0" borderId="14" xfId="42" applyNumberFormat="1" applyFont="1" applyBorder="1" applyAlignment="1">
      <alignment horizontal="center"/>
    </xf>
    <xf numFmtId="0" fontId="13" fillId="0" borderId="19" xfId="42" applyNumberFormat="1" applyFont="1" applyBorder="1" applyAlignment="1">
      <alignment horizontal="center"/>
    </xf>
    <xf numFmtId="0" fontId="13" fillId="0" borderId="18" xfId="42" applyNumberFormat="1" applyFont="1" applyBorder="1" applyAlignment="1">
      <alignment horizontal="center"/>
    </xf>
    <xf numFmtId="0" fontId="13" fillId="0" borderId="27" xfId="42" applyNumberFormat="1" applyFont="1" applyBorder="1" applyAlignment="1">
      <alignment horizontal="center"/>
    </xf>
    <xf numFmtId="0" fontId="20" fillId="0" borderId="14" xfId="42" quotePrefix="1" applyNumberFormat="1" applyFont="1" applyBorder="1" applyAlignment="1">
      <alignment horizontal="center" vertical="center" wrapText="1"/>
    </xf>
    <xf numFmtId="0" fontId="17" fillId="3" borderId="11" xfId="73" applyFont="1" applyFill="1" applyBorder="1" applyAlignment="1">
      <alignment horizontal="center" vertical="center"/>
    </xf>
    <xf numFmtId="4" fontId="100" fillId="2" borderId="6" xfId="73" applyNumberFormat="1" applyFont="1" applyFill="1" applyBorder="1" applyAlignment="1">
      <alignment horizontal="center" vertical="center"/>
    </xf>
    <xf numFmtId="4" fontId="17" fillId="3" borderId="11" xfId="73" applyNumberFormat="1" applyFont="1" applyFill="1" applyBorder="1" applyAlignment="1">
      <alignment horizontal="right" vertical="center"/>
    </xf>
    <xf numFmtId="4" fontId="100" fillId="2" borderId="6" xfId="73" applyNumberFormat="1" applyFont="1" applyFill="1" applyBorder="1" applyAlignment="1">
      <alignment horizontal="left" vertical="center" indent="1"/>
    </xf>
    <xf numFmtId="0" fontId="17" fillId="3" borderId="3" xfId="73" applyFont="1" applyFill="1" applyBorder="1" applyAlignment="1">
      <alignment horizontal="center" vertical="center" textRotation="90"/>
    </xf>
    <xf numFmtId="0" fontId="17" fillId="13" borderId="1" xfId="73" applyFont="1" applyFill="1" applyBorder="1" applyAlignment="1">
      <alignment horizontal="center" vertical="center" textRotation="90" wrapText="1"/>
    </xf>
    <xf numFmtId="0" fontId="17" fillId="13" borderId="4" xfId="73" applyFont="1" applyFill="1" applyBorder="1" applyAlignment="1">
      <alignment horizontal="center" vertical="center" textRotation="90" wrapText="1"/>
    </xf>
    <xf numFmtId="0" fontId="18" fillId="3" borderId="12" xfId="73" applyFont="1" applyFill="1" applyBorder="1" applyAlignment="1">
      <alignment horizontal="center" vertical="center"/>
    </xf>
    <xf numFmtId="0" fontId="18" fillId="3" borderId="11" xfId="73" applyFont="1" applyFill="1" applyBorder="1" applyAlignment="1">
      <alignment horizontal="center" vertical="center"/>
    </xf>
    <xf numFmtId="0" fontId="18" fillId="3" borderId="13" xfId="73" applyFont="1" applyFill="1" applyBorder="1" applyAlignment="1">
      <alignment horizontal="center" vertical="center"/>
    </xf>
    <xf numFmtId="0" fontId="18" fillId="3" borderId="44" xfId="73" applyFont="1" applyFill="1" applyBorder="1" applyAlignment="1">
      <alignment horizontal="center" vertical="center"/>
    </xf>
    <xf numFmtId="0" fontId="18" fillId="3" borderId="43" xfId="73" applyFont="1" applyFill="1" applyBorder="1" applyAlignment="1">
      <alignment horizontal="center" vertical="center"/>
    </xf>
    <xf numFmtId="0" fontId="18" fillId="3" borderId="49" xfId="73" applyFont="1" applyFill="1" applyBorder="1" applyAlignment="1">
      <alignment horizontal="center" vertical="center"/>
    </xf>
    <xf numFmtId="0" fontId="18" fillId="3" borderId="12" xfId="73" applyFont="1" applyFill="1" applyBorder="1" applyAlignment="1">
      <alignment horizontal="center" vertical="center" shrinkToFit="1"/>
    </xf>
    <xf numFmtId="0" fontId="18" fillId="3" borderId="11" xfId="73" applyFont="1" applyFill="1" applyBorder="1" applyAlignment="1">
      <alignment horizontal="center" vertical="center" shrinkToFit="1"/>
    </xf>
    <xf numFmtId="0" fontId="18" fillId="3" borderId="3" xfId="73" applyFont="1" applyFill="1" applyBorder="1" applyAlignment="1">
      <alignment horizontal="center" vertical="center" shrinkToFit="1"/>
    </xf>
    <xf numFmtId="0" fontId="18" fillId="3" borderId="0" xfId="73" applyFont="1" applyFill="1" applyAlignment="1">
      <alignment horizontal="center" vertical="center" shrinkToFit="1"/>
    </xf>
    <xf numFmtId="0" fontId="18" fillId="3" borderId="9" xfId="73" applyFont="1" applyFill="1" applyBorder="1" applyAlignment="1">
      <alignment horizontal="center" vertical="center" wrapText="1"/>
    </xf>
    <xf numFmtId="0" fontId="18" fillId="3" borderId="10" xfId="73" applyFont="1" applyFill="1" applyBorder="1" applyAlignment="1">
      <alignment horizontal="center" vertical="center" wrapText="1"/>
    </xf>
    <xf numFmtId="0" fontId="18" fillId="3" borderId="4" xfId="73" applyFont="1" applyFill="1" applyBorder="1" applyAlignment="1">
      <alignment horizontal="center" vertical="center" wrapText="1"/>
    </xf>
    <xf numFmtId="0" fontId="18" fillId="3" borderId="6" xfId="73" applyFont="1" applyFill="1" applyBorder="1" applyAlignment="1">
      <alignment horizontal="center" vertical="center"/>
    </xf>
    <xf numFmtId="45" fontId="20" fillId="3" borderId="3" xfId="42" quotePrefix="1" applyNumberFormat="1" applyFont="1" applyFill="1" applyBorder="1" applyAlignment="1">
      <alignment horizontal="center" vertical="center" wrapText="1"/>
    </xf>
    <xf numFmtId="45" fontId="20" fillId="3" borderId="0" xfId="42" quotePrefix="1" applyNumberFormat="1" applyFont="1" applyFill="1" applyAlignment="1">
      <alignment horizontal="center" vertical="center" wrapText="1"/>
    </xf>
    <xf numFmtId="45" fontId="20" fillId="3" borderId="14" xfId="42" quotePrefix="1" applyNumberFormat="1" applyFont="1" applyFill="1" applyBorder="1" applyAlignment="1">
      <alignment horizontal="center" vertical="center" wrapText="1"/>
    </xf>
    <xf numFmtId="0" fontId="20" fillId="0" borderId="14" xfId="42" applyNumberFormat="1" applyFont="1" applyBorder="1" applyAlignment="1">
      <alignment horizontal="center" vertical="center" wrapText="1"/>
    </xf>
    <xf numFmtId="0" fontId="17" fillId="13" borderId="1" xfId="73" applyFont="1" applyFill="1" applyBorder="1" applyAlignment="1">
      <alignment horizontal="center" vertical="center" textRotation="90"/>
    </xf>
    <xf numFmtId="0" fontId="17" fillId="13" borderId="4" xfId="73" applyFont="1" applyFill="1" applyBorder="1" applyAlignment="1">
      <alignment horizontal="center" vertical="center" textRotation="90"/>
    </xf>
    <xf numFmtId="0" fontId="17" fillId="14" borderId="1" xfId="73" applyFont="1" applyFill="1" applyBorder="1" applyAlignment="1">
      <alignment horizontal="center" vertical="center" textRotation="90" wrapText="1"/>
    </xf>
    <xf numFmtId="0" fontId="17" fillId="14" borderId="4" xfId="73" applyFont="1" applyFill="1" applyBorder="1" applyAlignment="1">
      <alignment horizontal="center" vertical="center" textRotation="90" wrapText="1"/>
    </xf>
    <xf numFmtId="0" fontId="18" fillId="3" borderId="1" xfId="73" applyFont="1" applyFill="1" applyBorder="1" applyAlignment="1">
      <alignment horizontal="center" vertical="center" wrapText="1"/>
    </xf>
    <xf numFmtId="4" fontId="17" fillId="3" borderId="0" xfId="73" applyNumberFormat="1" applyFont="1" applyFill="1" applyAlignment="1">
      <alignment horizontal="left" vertical="center"/>
    </xf>
    <xf numFmtId="0" fontId="23" fillId="7" borderId="15" xfId="55" applyFont="1" applyFill="1" applyBorder="1" applyAlignment="1">
      <alignment horizontal="center" vertical="center" wrapText="1"/>
    </xf>
    <xf numFmtId="0" fontId="23" fillId="7" borderId="2" xfId="55" applyFont="1" applyFill="1" applyBorder="1" applyAlignment="1">
      <alignment horizontal="center" vertical="center" wrapText="1"/>
    </xf>
    <xf numFmtId="0" fontId="23" fillId="7" borderId="16" xfId="55" applyFont="1" applyFill="1" applyBorder="1" applyAlignment="1">
      <alignment horizontal="center" vertical="center" wrapText="1"/>
    </xf>
    <xf numFmtId="45" fontId="57" fillId="3" borderId="15" xfId="42" quotePrefix="1" applyNumberFormat="1" applyFont="1" applyFill="1" applyBorder="1" applyAlignment="1">
      <alignment horizontal="center" vertical="center" wrapText="1"/>
    </xf>
    <xf numFmtId="45" fontId="57" fillId="3" borderId="2" xfId="42" applyNumberFormat="1" applyFont="1" applyFill="1" applyBorder="1" applyAlignment="1">
      <alignment horizontal="center" vertical="center" wrapText="1"/>
    </xf>
    <xf numFmtId="45" fontId="57" fillId="3" borderId="16" xfId="42" applyNumberFormat="1" applyFont="1" applyFill="1" applyBorder="1" applyAlignment="1">
      <alignment horizontal="center" vertical="center" wrapText="1"/>
    </xf>
    <xf numFmtId="0" fontId="18" fillId="3" borderId="3" xfId="73" applyFont="1" applyFill="1" applyBorder="1" applyAlignment="1">
      <alignment horizontal="center" vertical="center"/>
    </xf>
    <xf numFmtId="0" fontId="18" fillId="3" borderId="0" xfId="73" applyFont="1" applyFill="1" applyAlignment="1">
      <alignment horizontal="center" vertical="center"/>
    </xf>
    <xf numFmtId="0" fontId="18" fillId="3" borderId="14" xfId="73" applyFont="1" applyFill="1" applyBorder="1" applyAlignment="1">
      <alignment horizontal="center" vertical="center"/>
    </xf>
    <xf numFmtId="0" fontId="18" fillId="3" borderId="4" xfId="73" applyFont="1" applyFill="1" applyBorder="1" applyAlignment="1">
      <alignment horizontal="center" vertical="center"/>
    </xf>
    <xf numFmtId="0" fontId="57" fillId="0" borderId="3" xfId="42" quotePrefix="1" applyNumberFormat="1" applyFont="1" applyBorder="1" applyAlignment="1">
      <alignment horizontal="center" vertical="center" wrapText="1"/>
    </xf>
    <xf numFmtId="0" fontId="57" fillId="0" borderId="14" xfId="42" applyNumberFormat="1" applyFont="1" applyBorder="1" applyAlignment="1">
      <alignment horizontal="center" vertical="center" wrapText="1"/>
    </xf>
    <xf numFmtId="0" fontId="61" fillId="0" borderId="7" xfId="56" applyFont="1" applyBorder="1" applyAlignment="1">
      <alignment horizontal="center" vertical="center"/>
    </xf>
    <xf numFmtId="0" fontId="61" fillId="0" borderId="5" xfId="56" applyFont="1" applyBorder="1" applyAlignment="1">
      <alignment horizontal="center" vertical="center"/>
    </xf>
    <xf numFmtId="0" fontId="61" fillId="0" borderId="18" xfId="56" applyFont="1" applyBorder="1" applyAlignment="1">
      <alignment horizontal="center" vertical="center"/>
    </xf>
    <xf numFmtId="0" fontId="61" fillId="0" borderId="8" xfId="56" applyFont="1" applyBorder="1" applyAlignment="1">
      <alignment horizontal="center" vertical="center"/>
    </xf>
    <xf numFmtId="4" fontId="61" fillId="0" borderId="9" xfId="56" applyNumberFormat="1" applyFont="1" applyBorder="1" applyAlignment="1">
      <alignment horizontal="center" vertical="center"/>
    </xf>
    <xf numFmtId="4" fontId="61" fillId="0" borderId="1" xfId="56" applyNumberFormat="1" applyFont="1" applyBorder="1" applyAlignment="1">
      <alignment horizontal="center" vertical="center"/>
    </xf>
    <xf numFmtId="4" fontId="61" fillId="0" borderId="13" xfId="56" applyNumberFormat="1" applyFont="1" applyBorder="1" applyAlignment="1">
      <alignment horizontal="center" vertical="center"/>
    </xf>
    <xf numFmtId="4" fontId="61" fillId="0" borderId="27" xfId="56" applyNumberFormat="1" applyFont="1" applyBorder="1" applyAlignment="1">
      <alignment horizontal="center" vertical="center"/>
    </xf>
    <xf numFmtId="4" fontId="61" fillId="0" borderId="4" xfId="56" applyNumberFormat="1" applyFont="1" applyBorder="1" applyAlignment="1">
      <alignment horizontal="center" vertical="center"/>
    </xf>
    <xf numFmtId="0" fontId="23" fillId="8" borderId="63" xfId="69" applyFont="1" applyFill="1" applyBorder="1" applyAlignment="1" applyProtection="1">
      <alignment horizontal="center" vertical="center"/>
      <protection locked="0"/>
    </xf>
    <xf numFmtId="0" fontId="23" fillId="8" borderId="39" xfId="69" applyFont="1" applyFill="1" applyBorder="1" applyAlignment="1" applyProtection="1">
      <alignment horizontal="center" vertical="center"/>
      <protection locked="0"/>
    </xf>
    <xf numFmtId="0" fontId="23" fillId="8" borderId="62" xfId="69" applyFont="1" applyFill="1" applyBorder="1" applyAlignment="1" applyProtection="1">
      <alignment horizontal="center" vertical="center"/>
      <protection locked="0"/>
    </xf>
    <xf numFmtId="0" fontId="17" fillId="0" borderId="9" xfId="73" applyFont="1" applyBorder="1" applyAlignment="1">
      <alignment horizontal="center" vertical="center" textRotation="90" wrapText="1"/>
    </xf>
    <xf numFmtId="0" fontId="17" fillId="0" borderId="1" xfId="73" applyFont="1" applyBorder="1" applyAlignment="1">
      <alignment horizontal="center" vertical="center" textRotation="90" wrapText="1"/>
    </xf>
    <xf numFmtId="0" fontId="17" fillId="0" borderId="4" xfId="73" applyFont="1" applyBorder="1" applyAlignment="1">
      <alignment horizontal="center" vertical="center" textRotation="90" wrapText="1"/>
    </xf>
    <xf numFmtId="0" fontId="6" fillId="0" borderId="7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5" borderId="6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78">
    <cellStyle name="Dia" xfId="1" xr:uid="{00000000-0005-0000-0000-000000000000}"/>
    <cellStyle name="Encabez1" xfId="2" xr:uid="{00000000-0005-0000-0000-000001000000}"/>
    <cellStyle name="Encabez2" xfId="3" xr:uid="{00000000-0005-0000-0000-000002000000}"/>
    <cellStyle name="Euro" xfId="4" xr:uid="{00000000-0005-0000-0000-000003000000}"/>
    <cellStyle name="Euro 10" xfId="5" xr:uid="{00000000-0005-0000-0000-000004000000}"/>
    <cellStyle name="Euro 11" xfId="6" xr:uid="{00000000-0005-0000-0000-000005000000}"/>
    <cellStyle name="Euro 12" xfId="7" xr:uid="{00000000-0005-0000-0000-000006000000}"/>
    <cellStyle name="Euro 13" xfId="8" xr:uid="{00000000-0005-0000-0000-000007000000}"/>
    <cellStyle name="Euro 14" xfId="9" xr:uid="{00000000-0005-0000-0000-000008000000}"/>
    <cellStyle name="Euro 15" xfId="10" xr:uid="{00000000-0005-0000-0000-000009000000}"/>
    <cellStyle name="Euro 2" xfId="11" xr:uid="{00000000-0005-0000-0000-00000A000000}"/>
    <cellStyle name="Euro 3" xfId="12" xr:uid="{00000000-0005-0000-0000-00000B000000}"/>
    <cellStyle name="Euro 4" xfId="13" xr:uid="{00000000-0005-0000-0000-00000C000000}"/>
    <cellStyle name="Euro 5" xfId="14" xr:uid="{00000000-0005-0000-0000-00000D000000}"/>
    <cellStyle name="Euro 6" xfId="15" xr:uid="{00000000-0005-0000-0000-00000E000000}"/>
    <cellStyle name="Euro 7" xfId="16" xr:uid="{00000000-0005-0000-0000-00000F000000}"/>
    <cellStyle name="Euro 8" xfId="17" xr:uid="{00000000-0005-0000-0000-000010000000}"/>
    <cellStyle name="Euro 9" xfId="18" xr:uid="{00000000-0005-0000-0000-000011000000}"/>
    <cellStyle name="Fijo" xfId="19" xr:uid="{00000000-0005-0000-0000-000012000000}"/>
    <cellStyle name="Financiero" xfId="20" xr:uid="{00000000-0005-0000-0000-000013000000}"/>
    <cellStyle name="Millares [0] 2" xfId="21" xr:uid="{00000000-0005-0000-0000-000014000000}"/>
    <cellStyle name="Millares 2" xfId="22" xr:uid="{00000000-0005-0000-0000-000015000000}"/>
    <cellStyle name="Millares 2 2" xfId="23" xr:uid="{00000000-0005-0000-0000-000016000000}"/>
    <cellStyle name="Millares 2 3" xfId="24" xr:uid="{00000000-0005-0000-0000-000017000000}"/>
    <cellStyle name="Millares 2 4" xfId="25" xr:uid="{00000000-0005-0000-0000-000018000000}"/>
    <cellStyle name="Millares 2 5" xfId="26" xr:uid="{00000000-0005-0000-0000-000019000000}"/>
    <cellStyle name="Millares 2 6" xfId="27" xr:uid="{00000000-0005-0000-0000-00001A000000}"/>
    <cellStyle name="Millares 2 7" xfId="28" xr:uid="{00000000-0005-0000-0000-00001B000000}"/>
    <cellStyle name="Millares 2 8" xfId="29" xr:uid="{00000000-0005-0000-0000-00001C000000}"/>
    <cellStyle name="Millares 2 9" xfId="30" xr:uid="{00000000-0005-0000-0000-00001D000000}"/>
    <cellStyle name="Millares 2_Metrado" xfId="31" xr:uid="{00000000-0005-0000-0000-00001E000000}"/>
    <cellStyle name="Millares 3" xfId="32" xr:uid="{00000000-0005-0000-0000-00001F000000}"/>
    <cellStyle name="Millares 4" xfId="33" xr:uid="{00000000-0005-0000-0000-000020000000}"/>
    <cellStyle name="Millares 5" xfId="63" xr:uid="{00000000-0005-0000-0000-000021000000}"/>
    <cellStyle name="Monetario" xfId="34" xr:uid="{00000000-0005-0000-0000-000022000000}"/>
    <cellStyle name="Normal" xfId="0" builtinId="0"/>
    <cellStyle name="Normal 10" xfId="35" xr:uid="{00000000-0005-0000-0000-000024000000}"/>
    <cellStyle name="Normal 10 2" xfId="36" xr:uid="{00000000-0005-0000-0000-000025000000}"/>
    <cellStyle name="Normal 10 2 2 2 2 15 2 2 3" xfId="68" xr:uid="{00CD0A09-0268-466B-B7C1-C86AE833BBD1}"/>
    <cellStyle name="Normal 10 3" xfId="59" xr:uid="{00000000-0005-0000-0000-000026000000}"/>
    <cellStyle name="Normal 11" xfId="56" xr:uid="{00000000-0005-0000-0000-000027000000}"/>
    <cellStyle name="Normal 11 2" xfId="64" xr:uid="{00000000-0005-0000-0000-000028000000}"/>
    <cellStyle name="Normal 11 2 2" xfId="66" xr:uid="{38E2D61C-7CB0-4714-AF69-319F022FE46B}"/>
    <cellStyle name="Normal 12" xfId="58" xr:uid="{00000000-0005-0000-0000-000029000000}"/>
    <cellStyle name="Normal 13" xfId="67" xr:uid="{FDAEB056-8BD8-41E3-93CA-EC936E2425C4}"/>
    <cellStyle name="Normal 14" xfId="75" xr:uid="{EA3878B1-9EBA-4DCA-B438-010861FF27D1}"/>
    <cellStyle name="Normal 19" xfId="57" xr:uid="{00000000-0005-0000-0000-00002A000000}"/>
    <cellStyle name="Normal 19 2" xfId="72" xr:uid="{33F12074-6659-446B-8EFF-5AC1642CF6E8}"/>
    <cellStyle name="Normal 19 3" xfId="76" xr:uid="{66EEE837-1EED-4DAA-AD5D-6613DF0BB371}"/>
    <cellStyle name="Normal 2" xfId="37" xr:uid="{00000000-0005-0000-0000-00002B000000}"/>
    <cellStyle name="Normal 2 2" xfId="38" xr:uid="{00000000-0005-0000-0000-00002C000000}"/>
    <cellStyle name="Normal 2 2 2" xfId="39" xr:uid="{00000000-0005-0000-0000-00002D000000}"/>
    <cellStyle name="Normal 2 2 2 2" xfId="40" xr:uid="{00000000-0005-0000-0000-00002E000000}"/>
    <cellStyle name="Normal 2 2 2 3" xfId="41" xr:uid="{00000000-0005-0000-0000-00002F000000}"/>
    <cellStyle name="Normal 2 2 2 4" xfId="61" xr:uid="{00000000-0005-0000-0000-000030000000}"/>
    <cellStyle name="Normal 2 2 3" xfId="60" xr:uid="{00000000-0005-0000-0000-000031000000}"/>
    <cellStyle name="Normal 2 3" xfId="42" xr:uid="{00000000-0005-0000-0000-000032000000}"/>
    <cellStyle name="Normal 2 4" xfId="43" xr:uid="{00000000-0005-0000-0000-000033000000}"/>
    <cellStyle name="Normal 2 5" xfId="44" xr:uid="{00000000-0005-0000-0000-000034000000}"/>
    <cellStyle name="Normal 2 6" xfId="65" xr:uid="{69114A55-8CB5-473A-9E2D-6B9D1CA23662}"/>
    <cellStyle name="Normal 2_Metrado" xfId="45" xr:uid="{00000000-0005-0000-0000-000035000000}"/>
    <cellStyle name="Normal 3" xfId="46" xr:uid="{00000000-0005-0000-0000-000036000000}"/>
    <cellStyle name="Normal 3 2" xfId="73" xr:uid="{9A048541-064A-44B4-BC17-1A8FE38F3C08}"/>
    <cellStyle name="Normal 3 3" xfId="77" xr:uid="{740CBED7-058B-4D9D-800F-8C09280B4788}"/>
    <cellStyle name="Normal 4" xfId="47" xr:uid="{00000000-0005-0000-0000-000037000000}"/>
    <cellStyle name="Normal 5" xfId="48" xr:uid="{00000000-0005-0000-0000-000038000000}"/>
    <cellStyle name="Normal 5 2" xfId="49" xr:uid="{00000000-0005-0000-0000-000039000000}"/>
    <cellStyle name="Normal 5 3" xfId="62" xr:uid="{00000000-0005-0000-0000-00003A000000}"/>
    <cellStyle name="Normal 6" xfId="50" xr:uid="{00000000-0005-0000-0000-00003B000000}"/>
    <cellStyle name="Normal 7" xfId="51" xr:uid="{00000000-0005-0000-0000-00003C000000}"/>
    <cellStyle name="Normal 7 2" xfId="52" xr:uid="{00000000-0005-0000-0000-00003D000000}"/>
    <cellStyle name="Normal 7 2 2" xfId="70" xr:uid="{A07E56E6-9AEC-47C2-B0D7-5A3971C39F45}"/>
    <cellStyle name="Normal 8" xfId="53" xr:uid="{00000000-0005-0000-0000-00003E000000}"/>
    <cellStyle name="Normal 8 2" xfId="71" xr:uid="{EC821A91-3452-49EC-B227-BF057AECE48F}"/>
    <cellStyle name="Normal 9" xfId="54" xr:uid="{00000000-0005-0000-0000-00003F000000}"/>
    <cellStyle name="Normal_Hoja1 2" xfId="55" xr:uid="{00000000-0005-0000-0000-000040000000}"/>
    <cellStyle name="Normal_METRADO CANALES 2" xfId="74" xr:uid="{ACAF6A02-5854-45E9-AF7D-508D2416F455}"/>
    <cellStyle name="Normal_Pre-filtro 1" xfId="69" xr:uid="{164EB6A3-0093-4594-A785-824BB48C69D9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Narrow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2" defaultTableStyle="TableStyleMedium9" defaultPivotStyle="PivotStyleLight16">
    <tableStyle name="Estilo de tabla 1" pivot="0" count="0" xr9:uid="{00000000-0011-0000-FFFF-FFFF00000000}"/>
    <tableStyle name="Estilo de tabla dinámica 1" table="0" count="0" xr9:uid="{00000000-0011-0000-FFFF-FFFF01000000}"/>
  </tableStyles>
  <colors>
    <mruColors>
      <color rgb="FF0000FF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24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3" Type="http://schemas.openxmlformats.org/officeDocument/2006/relationships/externalLink" Target="externalLinks/externalLink27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externalLink" Target="externalLinks/externalLink22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externalLink" Target="externalLinks/externalLink23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52" Type="http://schemas.openxmlformats.org/officeDocument/2006/relationships/externalLink" Target="externalLinks/externalLink2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" Type="http://schemas.openxmlformats.org/officeDocument/2006/relationships/image" Target="../media/image4.jpeg"/><Relationship Id="rId16" Type="http://schemas.openxmlformats.org/officeDocument/2006/relationships/image" Target="../media/image18.png"/><Relationship Id="rId1" Type="http://schemas.openxmlformats.org/officeDocument/2006/relationships/image" Target="../media/image3.jpe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emf"/><Relationship Id="rId1" Type="http://schemas.openxmlformats.org/officeDocument/2006/relationships/image" Target="../media/image20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emf"/><Relationship Id="rId1" Type="http://schemas.openxmlformats.org/officeDocument/2006/relationships/image" Target="../media/image20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0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0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jpeg"/><Relationship Id="rId1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209807</xdr:colOff>
      <xdr:row>6</xdr:row>
      <xdr:rowOff>226635</xdr:rowOff>
    </xdr:from>
    <xdr:ext cx="3238857" cy="2741409"/>
    <xdr:pic>
      <xdr:nvPicPr>
        <xdr:cNvPr id="2" name="Imagen 1">
          <a:extLst>
            <a:ext uri="{FF2B5EF4-FFF2-40B4-BE49-F238E27FC236}">
              <a16:creationId xmlns:a16="http://schemas.microsoft.com/office/drawing/2014/main" id="{5FE94C0A-EBDC-46FC-93CA-03C23D3AB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0407" y="1278195"/>
          <a:ext cx="3238857" cy="2741409"/>
        </a:xfrm>
        <a:prstGeom prst="rect">
          <a:avLst/>
        </a:prstGeom>
      </xdr:spPr>
    </xdr:pic>
    <xdr:clientData/>
  </xdr:oneCellAnchor>
  <xdr:oneCellAnchor>
    <xdr:from>
      <xdr:col>1</xdr:col>
      <xdr:colOff>3662876</xdr:colOff>
      <xdr:row>7</xdr:row>
      <xdr:rowOff>101287</xdr:rowOff>
    </xdr:from>
    <xdr:ext cx="4093081" cy="2501721"/>
    <xdr:pic>
      <xdr:nvPicPr>
        <xdr:cNvPr id="3" name="Imagen 2">
          <a:extLst>
            <a:ext uri="{FF2B5EF4-FFF2-40B4-BE49-F238E27FC236}">
              <a16:creationId xmlns:a16="http://schemas.microsoft.com/office/drawing/2014/main" id="{D759FD99-D0EF-4ABA-B1CC-8BBB616AA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8856" y="1381447"/>
          <a:ext cx="4093081" cy="250172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607284</xdr:colOff>
      <xdr:row>8</xdr:row>
      <xdr:rowOff>102902</xdr:rowOff>
    </xdr:from>
    <xdr:to>
      <xdr:col>6</xdr:col>
      <xdr:colOff>156739</xdr:colOff>
      <xdr:row>13</xdr:row>
      <xdr:rowOff>24115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6B003798-44BA-4D15-AA7A-AA3FCA19B41A}"/>
            </a:ext>
          </a:extLst>
        </xdr:cNvPr>
        <xdr:cNvGrpSpPr/>
      </xdr:nvGrpSpPr>
      <xdr:grpSpPr>
        <a:xfrm>
          <a:off x="4532739" y="1834720"/>
          <a:ext cx="213318" cy="859281"/>
          <a:chOff x="3663416" y="12887164"/>
          <a:chExt cx="543483" cy="518235"/>
        </a:xfrm>
      </xdr:grpSpPr>
      <xdr:cxnSp macro="">
        <xdr:nvCxnSpPr>
          <xdr:cNvPr id="3" name="Conector recto 2">
            <a:extLst>
              <a:ext uri="{FF2B5EF4-FFF2-40B4-BE49-F238E27FC236}">
                <a16:creationId xmlns:a16="http://schemas.microsoft.com/office/drawing/2014/main" id="{5A330C07-C002-4649-9C1F-678CC827A150}"/>
              </a:ext>
            </a:extLst>
          </xdr:cNvPr>
          <xdr:cNvCxnSpPr/>
        </xdr:nvCxnSpPr>
        <xdr:spPr>
          <a:xfrm flipV="1">
            <a:off x="3663416" y="13403993"/>
            <a:ext cx="535708" cy="140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Conector recto 3">
            <a:extLst>
              <a:ext uri="{FF2B5EF4-FFF2-40B4-BE49-F238E27FC236}">
                <a16:creationId xmlns:a16="http://schemas.microsoft.com/office/drawing/2014/main" id="{18F6BCE7-FDD0-4901-AE98-B2EDBDA26877}"/>
              </a:ext>
            </a:extLst>
          </xdr:cNvPr>
          <xdr:cNvCxnSpPr/>
        </xdr:nvCxnSpPr>
        <xdr:spPr>
          <a:xfrm>
            <a:off x="4206671" y="12887164"/>
            <a:ext cx="228" cy="51682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722226</xdr:colOff>
      <xdr:row>15</xdr:row>
      <xdr:rowOff>41868</xdr:rowOff>
    </xdr:from>
    <xdr:to>
      <xdr:col>4</xdr:col>
      <xdr:colOff>198873</xdr:colOff>
      <xdr:row>16</xdr:row>
      <xdr:rowOff>62802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2FEE2982-7450-4924-839C-1A195519883D}"/>
            </a:ext>
          </a:extLst>
        </xdr:cNvPr>
        <xdr:cNvCxnSpPr/>
      </xdr:nvCxnSpPr>
      <xdr:spPr>
        <a:xfrm flipV="1">
          <a:off x="3099666" y="2785068"/>
          <a:ext cx="269127" cy="20381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191200</xdr:colOff>
      <xdr:row>15</xdr:row>
      <xdr:rowOff>20934</xdr:rowOff>
    </xdr:from>
    <xdr:to>
      <xdr:col>6</xdr:col>
      <xdr:colOff>261675</xdr:colOff>
      <xdr:row>15</xdr:row>
      <xdr:rowOff>31659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50C7447C-5354-479F-913C-1AF50989E01C}"/>
            </a:ext>
          </a:extLst>
        </xdr:cNvPr>
        <xdr:cNvCxnSpPr/>
      </xdr:nvCxnSpPr>
      <xdr:spPr>
        <a:xfrm flipV="1">
          <a:off x="3361120" y="2764134"/>
          <a:ext cx="1655435" cy="10725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576560</xdr:colOff>
      <xdr:row>18</xdr:row>
      <xdr:rowOff>1972</xdr:rowOff>
    </xdr:from>
    <xdr:to>
      <xdr:col>6</xdr:col>
      <xdr:colOff>114847</xdr:colOff>
      <xdr:row>22</xdr:row>
      <xdr:rowOff>106065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3D42E95C-0FDD-4638-8E1F-26321FD86BE4}"/>
            </a:ext>
          </a:extLst>
        </xdr:cNvPr>
        <xdr:cNvGrpSpPr/>
      </xdr:nvGrpSpPr>
      <xdr:grpSpPr>
        <a:xfrm rot="10800000">
          <a:off x="4502015" y="3609927"/>
          <a:ext cx="202150" cy="854547"/>
          <a:chOff x="3663416" y="12887164"/>
          <a:chExt cx="543483" cy="518235"/>
        </a:xfrm>
      </xdr:grpSpPr>
      <xdr:cxnSp macro="">
        <xdr:nvCxnSpPr>
          <xdr:cNvPr id="8" name="Conector recto 7">
            <a:extLst>
              <a:ext uri="{FF2B5EF4-FFF2-40B4-BE49-F238E27FC236}">
                <a16:creationId xmlns:a16="http://schemas.microsoft.com/office/drawing/2014/main" id="{996E1ED0-5960-45BA-8D16-E50219AFC47F}"/>
              </a:ext>
            </a:extLst>
          </xdr:cNvPr>
          <xdr:cNvCxnSpPr/>
        </xdr:nvCxnSpPr>
        <xdr:spPr>
          <a:xfrm flipV="1">
            <a:off x="3663416" y="13403993"/>
            <a:ext cx="535708" cy="140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Conector recto 8">
            <a:extLst>
              <a:ext uri="{FF2B5EF4-FFF2-40B4-BE49-F238E27FC236}">
                <a16:creationId xmlns:a16="http://schemas.microsoft.com/office/drawing/2014/main" id="{83D8DD22-6558-4BC5-AD04-A02B25CF09DB}"/>
              </a:ext>
            </a:extLst>
          </xdr:cNvPr>
          <xdr:cNvCxnSpPr/>
        </xdr:nvCxnSpPr>
        <xdr:spPr>
          <a:xfrm>
            <a:off x="4206671" y="12887164"/>
            <a:ext cx="228" cy="51682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527325</xdr:colOff>
      <xdr:row>26</xdr:row>
      <xdr:rowOff>64151</xdr:rowOff>
    </xdr:from>
    <xdr:to>
      <xdr:col>4</xdr:col>
      <xdr:colOff>528340</xdr:colOff>
      <xdr:row>27</xdr:row>
      <xdr:rowOff>154581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9EA223A8-8C20-40C1-A027-FDFB2D2272CE}"/>
            </a:ext>
          </a:extLst>
        </xdr:cNvPr>
        <xdr:cNvCxnSpPr/>
      </xdr:nvCxnSpPr>
      <xdr:spPr>
        <a:xfrm flipH="1" flipV="1">
          <a:off x="3697245" y="4819031"/>
          <a:ext cx="1015" cy="27331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519652</xdr:colOff>
      <xdr:row>26</xdr:row>
      <xdr:rowOff>91197</xdr:rowOff>
    </xdr:from>
    <xdr:to>
      <xdr:col>7</xdr:col>
      <xdr:colOff>40532</xdr:colOff>
      <xdr:row>26</xdr:row>
      <xdr:rowOff>92042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EF4E8E47-A3B9-4807-8E8D-232882D7BF0C}"/>
            </a:ext>
          </a:extLst>
        </xdr:cNvPr>
        <xdr:cNvCxnSpPr/>
      </xdr:nvCxnSpPr>
      <xdr:spPr>
        <a:xfrm flipV="1">
          <a:off x="3689572" y="4846077"/>
          <a:ext cx="1898320" cy="845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50195</xdr:colOff>
      <xdr:row>26</xdr:row>
      <xdr:rowOff>76363</xdr:rowOff>
    </xdr:from>
    <xdr:to>
      <xdr:col>7</xdr:col>
      <xdr:colOff>51210</xdr:colOff>
      <xdr:row>27</xdr:row>
      <xdr:rowOff>176810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10583D54-795C-4167-8218-AA90AFD80C76}"/>
            </a:ext>
          </a:extLst>
        </xdr:cNvPr>
        <xdr:cNvCxnSpPr/>
      </xdr:nvCxnSpPr>
      <xdr:spPr>
        <a:xfrm flipH="1" flipV="1">
          <a:off x="5597555" y="4831243"/>
          <a:ext cx="1015" cy="283327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527325</xdr:colOff>
      <xdr:row>32</xdr:row>
      <xdr:rowOff>102251</xdr:rowOff>
    </xdr:from>
    <xdr:to>
      <xdr:col>4</xdr:col>
      <xdr:colOff>528340</xdr:colOff>
      <xdr:row>34</xdr:row>
      <xdr:rowOff>14881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344873ED-8AC9-4ABE-9D49-ECBA5BDF8095}"/>
            </a:ext>
          </a:extLst>
        </xdr:cNvPr>
        <xdr:cNvCxnSpPr/>
      </xdr:nvCxnSpPr>
      <xdr:spPr>
        <a:xfrm flipH="1" flipV="1">
          <a:off x="3697245" y="5954411"/>
          <a:ext cx="1015" cy="27839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519652</xdr:colOff>
      <xdr:row>32</xdr:row>
      <xdr:rowOff>91197</xdr:rowOff>
    </xdr:from>
    <xdr:to>
      <xdr:col>7</xdr:col>
      <xdr:colOff>40532</xdr:colOff>
      <xdr:row>32</xdr:row>
      <xdr:rowOff>92042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720ECDEB-3FB3-47CF-9C59-328567A61AED}"/>
            </a:ext>
          </a:extLst>
        </xdr:cNvPr>
        <xdr:cNvCxnSpPr/>
      </xdr:nvCxnSpPr>
      <xdr:spPr>
        <a:xfrm flipV="1">
          <a:off x="3689572" y="5943357"/>
          <a:ext cx="1898320" cy="845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50195</xdr:colOff>
      <xdr:row>32</xdr:row>
      <xdr:rowOff>76363</xdr:rowOff>
    </xdr:from>
    <xdr:to>
      <xdr:col>7</xdr:col>
      <xdr:colOff>51210</xdr:colOff>
      <xdr:row>33</xdr:row>
      <xdr:rowOff>176810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A578BF4C-337A-4460-8206-C30708041D96}"/>
            </a:ext>
          </a:extLst>
        </xdr:cNvPr>
        <xdr:cNvCxnSpPr/>
      </xdr:nvCxnSpPr>
      <xdr:spPr>
        <a:xfrm flipH="1" flipV="1">
          <a:off x="5597555" y="5928523"/>
          <a:ext cx="1015" cy="283327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582798</xdr:colOff>
      <xdr:row>49</xdr:row>
      <xdr:rowOff>113604</xdr:rowOff>
    </xdr:from>
    <xdr:to>
      <xdr:col>6</xdr:col>
      <xdr:colOff>124633</xdr:colOff>
      <xdr:row>54</xdr:row>
      <xdr:rowOff>34817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6D834D3F-B164-4268-ABB4-0E057A05066D}"/>
            </a:ext>
          </a:extLst>
        </xdr:cNvPr>
        <xdr:cNvGrpSpPr/>
      </xdr:nvGrpSpPr>
      <xdr:grpSpPr>
        <a:xfrm>
          <a:off x="4508253" y="9609740"/>
          <a:ext cx="205698" cy="859282"/>
          <a:chOff x="3663416" y="12887164"/>
          <a:chExt cx="543483" cy="518235"/>
        </a:xfrm>
      </xdr:grpSpPr>
      <xdr:cxnSp macro="">
        <xdr:nvCxnSpPr>
          <xdr:cNvPr id="17" name="Conector recto 16">
            <a:extLst>
              <a:ext uri="{FF2B5EF4-FFF2-40B4-BE49-F238E27FC236}">
                <a16:creationId xmlns:a16="http://schemas.microsoft.com/office/drawing/2014/main" id="{8CBC7C8F-2CF7-4B05-A3C4-03B135937090}"/>
              </a:ext>
            </a:extLst>
          </xdr:cNvPr>
          <xdr:cNvCxnSpPr/>
        </xdr:nvCxnSpPr>
        <xdr:spPr>
          <a:xfrm flipV="1">
            <a:off x="3663416" y="13403993"/>
            <a:ext cx="535708" cy="140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Conector recto 17">
            <a:extLst>
              <a:ext uri="{FF2B5EF4-FFF2-40B4-BE49-F238E27FC236}">
                <a16:creationId xmlns:a16="http://schemas.microsoft.com/office/drawing/2014/main" id="{CA69B498-FBF5-41B3-8FE5-5C8046451528}"/>
              </a:ext>
            </a:extLst>
          </xdr:cNvPr>
          <xdr:cNvCxnSpPr/>
        </xdr:nvCxnSpPr>
        <xdr:spPr>
          <a:xfrm>
            <a:off x="4206671" y="12887164"/>
            <a:ext cx="228" cy="51682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650057</xdr:colOff>
      <xdr:row>55</xdr:row>
      <xdr:rowOff>175552</xdr:rowOff>
    </xdr:from>
    <xdr:to>
      <xdr:col>4</xdr:col>
      <xdr:colOff>651710</xdr:colOff>
      <xdr:row>57</xdr:row>
      <xdr:rowOff>41776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6ED75AF1-BBDE-41CF-941F-03B05EBFBE64}"/>
            </a:ext>
          </a:extLst>
        </xdr:cNvPr>
        <xdr:cNvCxnSpPr/>
      </xdr:nvCxnSpPr>
      <xdr:spPr>
        <a:xfrm flipH="1" flipV="1">
          <a:off x="3819977" y="10233952"/>
          <a:ext cx="1653" cy="23198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634029</xdr:colOff>
      <xdr:row>55</xdr:row>
      <xdr:rowOff>167105</xdr:rowOff>
    </xdr:from>
    <xdr:to>
      <xdr:col>6</xdr:col>
      <xdr:colOff>718553</xdr:colOff>
      <xdr:row>55</xdr:row>
      <xdr:rowOff>182054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2BFA1D3C-8AAF-4AAE-BD09-AF0A7A6840A6}"/>
            </a:ext>
          </a:extLst>
        </xdr:cNvPr>
        <xdr:cNvCxnSpPr/>
      </xdr:nvCxnSpPr>
      <xdr:spPr>
        <a:xfrm flipV="1">
          <a:off x="3803949" y="10225505"/>
          <a:ext cx="1669484" cy="14949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705045</xdr:colOff>
      <xdr:row>55</xdr:row>
      <xdr:rowOff>163697</xdr:rowOff>
    </xdr:from>
    <xdr:to>
      <xdr:col>6</xdr:col>
      <xdr:colOff>706698</xdr:colOff>
      <xdr:row>57</xdr:row>
      <xdr:rowOff>29921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67C9647B-2D22-4E75-AFEC-B98C6C505F9A}"/>
            </a:ext>
          </a:extLst>
        </xdr:cNvPr>
        <xdr:cNvCxnSpPr/>
      </xdr:nvCxnSpPr>
      <xdr:spPr>
        <a:xfrm flipH="1" flipV="1">
          <a:off x="5459925" y="10222097"/>
          <a:ext cx="1653" cy="23198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347378</xdr:colOff>
      <xdr:row>58</xdr:row>
      <xdr:rowOff>100853</xdr:rowOff>
    </xdr:from>
    <xdr:to>
      <xdr:col>6</xdr:col>
      <xdr:colOff>3513</xdr:colOff>
      <xdr:row>62</xdr:row>
      <xdr:rowOff>33272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11F2FA21-827E-4831-BC41-7AAF70FFA2B3}"/>
            </a:ext>
          </a:extLst>
        </xdr:cNvPr>
        <xdr:cNvGrpSpPr/>
      </xdr:nvGrpSpPr>
      <xdr:grpSpPr>
        <a:xfrm>
          <a:off x="4272833" y="11285512"/>
          <a:ext cx="319998" cy="682874"/>
          <a:chOff x="3663416" y="12887164"/>
          <a:chExt cx="543483" cy="518235"/>
        </a:xfrm>
      </xdr:grpSpPr>
      <xdr:cxnSp macro="">
        <xdr:nvCxnSpPr>
          <xdr:cNvPr id="23" name="Conector recto 22">
            <a:extLst>
              <a:ext uri="{FF2B5EF4-FFF2-40B4-BE49-F238E27FC236}">
                <a16:creationId xmlns:a16="http://schemas.microsoft.com/office/drawing/2014/main" id="{29E02434-9698-41D4-835C-6EC5746833E4}"/>
              </a:ext>
            </a:extLst>
          </xdr:cNvPr>
          <xdr:cNvCxnSpPr/>
        </xdr:nvCxnSpPr>
        <xdr:spPr>
          <a:xfrm flipV="1">
            <a:off x="3663416" y="13403993"/>
            <a:ext cx="535708" cy="140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Conector recto 23">
            <a:extLst>
              <a:ext uri="{FF2B5EF4-FFF2-40B4-BE49-F238E27FC236}">
                <a16:creationId xmlns:a16="http://schemas.microsoft.com/office/drawing/2014/main" id="{6B344549-2915-4F90-B296-8859503A087C}"/>
              </a:ext>
            </a:extLst>
          </xdr:cNvPr>
          <xdr:cNvCxnSpPr/>
        </xdr:nvCxnSpPr>
        <xdr:spPr>
          <a:xfrm>
            <a:off x="4206671" y="12887164"/>
            <a:ext cx="228" cy="51682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687203</xdr:colOff>
      <xdr:row>66</xdr:row>
      <xdr:rowOff>132753</xdr:rowOff>
    </xdr:from>
    <xdr:to>
      <xdr:col>4</xdr:col>
      <xdr:colOff>688856</xdr:colOff>
      <xdr:row>67</xdr:row>
      <xdr:rowOff>194067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A5627063-DD51-44BD-8974-A5116C135DDE}"/>
            </a:ext>
          </a:extLst>
        </xdr:cNvPr>
        <xdr:cNvCxnSpPr/>
      </xdr:nvCxnSpPr>
      <xdr:spPr>
        <a:xfrm flipH="1" flipV="1">
          <a:off x="3857123" y="12202833"/>
          <a:ext cx="1653" cy="23657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671175</xdr:colOff>
      <xdr:row>66</xdr:row>
      <xdr:rowOff>124306</xdr:rowOff>
    </xdr:from>
    <xdr:to>
      <xdr:col>6</xdr:col>
      <xdr:colOff>755699</xdr:colOff>
      <xdr:row>66</xdr:row>
      <xdr:rowOff>139255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7A40716C-8E4C-435C-B94F-F280F9A1A166}"/>
            </a:ext>
          </a:extLst>
        </xdr:cNvPr>
        <xdr:cNvCxnSpPr/>
      </xdr:nvCxnSpPr>
      <xdr:spPr>
        <a:xfrm flipV="1">
          <a:off x="3841095" y="12194386"/>
          <a:ext cx="1669484" cy="14949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742191</xdr:colOff>
      <xdr:row>66</xdr:row>
      <xdr:rowOff>120898</xdr:rowOff>
    </xdr:from>
    <xdr:to>
      <xdr:col>6</xdr:col>
      <xdr:colOff>743844</xdr:colOff>
      <xdr:row>67</xdr:row>
      <xdr:rowOff>182212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107FE1E5-B7BD-48E2-8431-437EF0B86BD6}"/>
            </a:ext>
          </a:extLst>
        </xdr:cNvPr>
        <xdr:cNvCxnSpPr/>
      </xdr:nvCxnSpPr>
      <xdr:spPr>
        <a:xfrm flipH="1" flipV="1">
          <a:off x="5497071" y="12190978"/>
          <a:ext cx="1653" cy="24419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286945</xdr:colOff>
      <xdr:row>71</xdr:row>
      <xdr:rowOff>5159</xdr:rowOff>
    </xdr:from>
    <xdr:to>
      <xdr:col>5</xdr:col>
      <xdr:colOff>593877</xdr:colOff>
      <xdr:row>74</xdr:row>
      <xdr:rowOff>124981</xdr:rowOff>
    </xdr:to>
    <xdr:grpSp>
      <xdr:nvGrpSpPr>
        <xdr:cNvPr id="28" name="Grupo 27">
          <a:extLst>
            <a:ext uri="{FF2B5EF4-FFF2-40B4-BE49-F238E27FC236}">
              <a16:creationId xmlns:a16="http://schemas.microsoft.com/office/drawing/2014/main" id="{B06524FB-001F-486B-8C68-548752D0C950}"/>
            </a:ext>
          </a:extLst>
        </xdr:cNvPr>
        <xdr:cNvGrpSpPr/>
      </xdr:nvGrpSpPr>
      <xdr:grpSpPr>
        <a:xfrm>
          <a:off x="4212400" y="13628795"/>
          <a:ext cx="306932" cy="682663"/>
          <a:chOff x="3663416" y="12887164"/>
          <a:chExt cx="543483" cy="518235"/>
        </a:xfrm>
      </xdr:grpSpPr>
      <xdr:cxnSp macro="">
        <xdr:nvCxnSpPr>
          <xdr:cNvPr id="29" name="Conector recto 28">
            <a:extLst>
              <a:ext uri="{FF2B5EF4-FFF2-40B4-BE49-F238E27FC236}">
                <a16:creationId xmlns:a16="http://schemas.microsoft.com/office/drawing/2014/main" id="{5BD38E9D-522A-476B-9AFF-AC9689F8AC30}"/>
              </a:ext>
            </a:extLst>
          </xdr:cNvPr>
          <xdr:cNvCxnSpPr/>
        </xdr:nvCxnSpPr>
        <xdr:spPr>
          <a:xfrm flipV="1">
            <a:off x="3663416" y="13403993"/>
            <a:ext cx="535708" cy="140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Conector recto 29">
            <a:extLst>
              <a:ext uri="{FF2B5EF4-FFF2-40B4-BE49-F238E27FC236}">
                <a16:creationId xmlns:a16="http://schemas.microsoft.com/office/drawing/2014/main" id="{C360C85A-5A57-4A71-82FE-4E67882AD1C9}"/>
              </a:ext>
            </a:extLst>
          </xdr:cNvPr>
          <xdr:cNvCxnSpPr/>
        </xdr:nvCxnSpPr>
        <xdr:spPr>
          <a:xfrm>
            <a:off x="4206671" y="12887164"/>
            <a:ext cx="228" cy="51682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644513</xdr:colOff>
      <xdr:row>78</xdr:row>
      <xdr:rowOff>90062</xdr:rowOff>
    </xdr:from>
    <xdr:to>
      <xdr:col>4</xdr:col>
      <xdr:colOff>646166</xdr:colOff>
      <xdr:row>79</xdr:row>
      <xdr:rowOff>151377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ADFC1419-33CB-40D0-938B-DE8055E57EE3}"/>
            </a:ext>
          </a:extLst>
        </xdr:cNvPr>
        <xdr:cNvCxnSpPr/>
      </xdr:nvCxnSpPr>
      <xdr:spPr>
        <a:xfrm flipH="1" flipV="1">
          <a:off x="3814433" y="14354702"/>
          <a:ext cx="1653" cy="244195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628485</xdr:colOff>
      <xdr:row>78</xdr:row>
      <xdr:rowOff>81615</xdr:rowOff>
    </xdr:from>
    <xdr:to>
      <xdr:col>6</xdr:col>
      <xdr:colOff>713009</xdr:colOff>
      <xdr:row>78</xdr:row>
      <xdr:rowOff>96564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31E41AB4-F6ED-46FF-A1DC-4C4715830687}"/>
            </a:ext>
          </a:extLst>
        </xdr:cNvPr>
        <xdr:cNvCxnSpPr/>
      </xdr:nvCxnSpPr>
      <xdr:spPr>
        <a:xfrm flipV="1">
          <a:off x="3798405" y="14346255"/>
          <a:ext cx="1669484" cy="14949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699501</xdr:colOff>
      <xdr:row>78</xdr:row>
      <xdr:rowOff>78207</xdr:rowOff>
    </xdr:from>
    <xdr:to>
      <xdr:col>6</xdr:col>
      <xdr:colOff>701154</xdr:colOff>
      <xdr:row>79</xdr:row>
      <xdr:rowOff>139522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0A9F37A6-3035-418D-9495-605C16FEF362}"/>
            </a:ext>
          </a:extLst>
        </xdr:cNvPr>
        <xdr:cNvCxnSpPr/>
      </xdr:nvCxnSpPr>
      <xdr:spPr>
        <a:xfrm flipH="1" flipV="1">
          <a:off x="5454381" y="14342847"/>
          <a:ext cx="1653" cy="244195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965</xdr:colOff>
      <xdr:row>83</xdr:row>
      <xdr:rowOff>10017</xdr:rowOff>
    </xdr:from>
    <xdr:to>
      <xdr:col>6</xdr:col>
      <xdr:colOff>227908</xdr:colOff>
      <xdr:row>86</xdr:row>
      <xdr:rowOff>127959</xdr:rowOff>
    </xdr:to>
    <xdr:grpSp>
      <xdr:nvGrpSpPr>
        <xdr:cNvPr id="34" name="Grupo 33">
          <a:extLst>
            <a:ext uri="{FF2B5EF4-FFF2-40B4-BE49-F238E27FC236}">
              <a16:creationId xmlns:a16="http://schemas.microsoft.com/office/drawing/2014/main" id="{F31FB77E-BF66-4E33-B136-BEF910CFF46C}"/>
            </a:ext>
          </a:extLst>
        </xdr:cNvPr>
        <xdr:cNvGrpSpPr/>
      </xdr:nvGrpSpPr>
      <xdr:grpSpPr>
        <a:xfrm>
          <a:off x="4590283" y="15885017"/>
          <a:ext cx="226943" cy="680783"/>
          <a:chOff x="3681169" y="12887164"/>
          <a:chExt cx="535708" cy="516826"/>
        </a:xfrm>
      </xdr:grpSpPr>
      <xdr:cxnSp macro="">
        <xdr:nvCxnSpPr>
          <xdr:cNvPr id="35" name="Conector recto 34">
            <a:extLst>
              <a:ext uri="{FF2B5EF4-FFF2-40B4-BE49-F238E27FC236}">
                <a16:creationId xmlns:a16="http://schemas.microsoft.com/office/drawing/2014/main" id="{1987BC2C-3037-40F8-93F5-51474B4793B5}"/>
              </a:ext>
            </a:extLst>
          </xdr:cNvPr>
          <xdr:cNvCxnSpPr/>
        </xdr:nvCxnSpPr>
        <xdr:spPr>
          <a:xfrm flipV="1">
            <a:off x="3681169" y="12892903"/>
            <a:ext cx="535708" cy="140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Conector recto 35">
            <a:extLst>
              <a:ext uri="{FF2B5EF4-FFF2-40B4-BE49-F238E27FC236}">
                <a16:creationId xmlns:a16="http://schemas.microsoft.com/office/drawing/2014/main" id="{EC719270-F73F-496B-882F-E0BE12B5B1D5}"/>
              </a:ext>
            </a:extLst>
          </xdr:cNvPr>
          <xdr:cNvCxnSpPr/>
        </xdr:nvCxnSpPr>
        <xdr:spPr>
          <a:xfrm>
            <a:off x="4206671" y="12887164"/>
            <a:ext cx="228" cy="51682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667151</xdr:colOff>
      <xdr:row>90</xdr:row>
      <xdr:rowOff>132753</xdr:rowOff>
    </xdr:from>
    <xdr:to>
      <xdr:col>4</xdr:col>
      <xdr:colOff>668804</xdr:colOff>
      <xdr:row>92</xdr:row>
      <xdr:rowOff>3567</xdr:rowOff>
    </xdr:to>
    <xdr:cxnSp macro="">
      <xdr:nvCxnSpPr>
        <xdr:cNvPr id="37" name="Conector recto 36">
          <a:extLst>
            <a:ext uri="{FF2B5EF4-FFF2-40B4-BE49-F238E27FC236}">
              <a16:creationId xmlns:a16="http://schemas.microsoft.com/office/drawing/2014/main" id="{BA14DBDB-7662-40BB-989C-79FE89282CE7}"/>
            </a:ext>
          </a:extLst>
        </xdr:cNvPr>
        <xdr:cNvCxnSpPr/>
      </xdr:nvCxnSpPr>
      <xdr:spPr>
        <a:xfrm flipH="1" flipV="1">
          <a:off x="3837071" y="16591953"/>
          <a:ext cx="1653" cy="23657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742191</xdr:colOff>
      <xdr:row>90</xdr:row>
      <xdr:rowOff>120898</xdr:rowOff>
    </xdr:from>
    <xdr:to>
      <xdr:col>6</xdr:col>
      <xdr:colOff>743844</xdr:colOff>
      <xdr:row>91</xdr:row>
      <xdr:rowOff>182212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52D1D2DC-B84A-4C46-BA65-C32572511D16}"/>
            </a:ext>
          </a:extLst>
        </xdr:cNvPr>
        <xdr:cNvCxnSpPr/>
      </xdr:nvCxnSpPr>
      <xdr:spPr>
        <a:xfrm flipH="1" flipV="1">
          <a:off x="5497071" y="16580098"/>
          <a:ext cx="1653" cy="24419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687203</xdr:colOff>
      <xdr:row>102</xdr:row>
      <xdr:rowOff>132753</xdr:rowOff>
    </xdr:from>
    <xdr:to>
      <xdr:col>4</xdr:col>
      <xdr:colOff>688856</xdr:colOff>
      <xdr:row>103</xdr:row>
      <xdr:rowOff>194067</xdr:rowOff>
    </xdr:to>
    <xdr:cxnSp macro="">
      <xdr:nvCxnSpPr>
        <xdr:cNvPr id="39" name="Conector recto 38">
          <a:extLst>
            <a:ext uri="{FF2B5EF4-FFF2-40B4-BE49-F238E27FC236}">
              <a16:creationId xmlns:a16="http://schemas.microsoft.com/office/drawing/2014/main" id="{24B5F5E1-0EFA-4257-ACDC-D9B0BFCE29AC}"/>
            </a:ext>
          </a:extLst>
        </xdr:cNvPr>
        <xdr:cNvCxnSpPr/>
      </xdr:nvCxnSpPr>
      <xdr:spPr>
        <a:xfrm flipH="1" flipV="1">
          <a:off x="3857123" y="18786513"/>
          <a:ext cx="1653" cy="23657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671175</xdr:colOff>
      <xdr:row>102</xdr:row>
      <xdr:rowOff>124306</xdr:rowOff>
    </xdr:from>
    <xdr:to>
      <xdr:col>6</xdr:col>
      <xdr:colOff>755699</xdr:colOff>
      <xdr:row>102</xdr:row>
      <xdr:rowOff>139255</xdr:rowOff>
    </xdr:to>
    <xdr:cxnSp macro="">
      <xdr:nvCxnSpPr>
        <xdr:cNvPr id="40" name="Conector recto 39">
          <a:extLst>
            <a:ext uri="{FF2B5EF4-FFF2-40B4-BE49-F238E27FC236}">
              <a16:creationId xmlns:a16="http://schemas.microsoft.com/office/drawing/2014/main" id="{BE7E0AF6-0614-4929-8EA6-D295892CDB54}"/>
            </a:ext>
          </a:extLst>
        </xdr:cNvPr>
        <xdr:cNvCxnSpPr/>
      </xdr:nvCxnSpPr>
      <xdr:spPr>
        <a:xfrm flipV="1">
          <a:off x="3841095" y="18778066"/>
          <a:ext cx="1669484" cy="14949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742191</xdr:colOff>
      <xdr:row>102</xdr:row>
      <xdr:rowOff>120898</xdr:rowOff>
    </xdr:from>
    <xdr:to>
      <xdr:col>6</xdr:col>
      <xdr:colOff>743844</xdr:colOff>
      <xdr:row>103</xdr:row>
      <xdr:rowOff>182212</xdr:rowOff>
    </xdr:to>
    <xdr:cxnSp macro="">
      <xdr:nvCxnSpPr>
        <xdr:cNvPr id="41" name="Conector recto 40">
          <a:extLst>
            <a:ext uri="{FF2B5EF4-FFF2-40B4-BE49-F238E27FC236}">
              <a16:creationId xmlns:a16="http://schemas.microsoft.com/office/drawing/2014/main" id="{118B0CD6-E023-4E75-B1ED-5449C228A540}"/>
            </a:ext>
          </a:extLst>
        </xdr:cNvPr>
        <xdr:cNvCxnSpPr/>
      </xdr:nvCxnSpPr>
      <xdr:spPr>
        <a:xfrm flipH="1" flipV="1">
          <a:off x="5497071" y="18774658"/>
          <a:ext cx="1653" cy="24419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3312</xdr:colOff>
      <xdr:row>95</xdr:row>
      <xdr:rowOff>50358</xdr:rowOff>
    </xdr:from>
    <xdr:to>
      <xdr:col>6</xdr:col>
      <xdr:colOff>156193</xdr:colOff>
      <xdr:row>98</xdr:row>
      <xdr:rowOff>168299</xdr:rowOff>
    </xdr:to>
    <xdr:grpSp>
      <xdr:nvGrpSpPr>
        <xdr:cNvPr id="42" name="Grupo 41">
          <a:extLst>
            <a:ext uri="{FF2B5EF4-FFF2-40B4-BE49-F238E27FC236}">
              <a16:creationId xmlns:a16="http://schemas.microsoft.com/office/drawing/2014/main" id="{7BB81E83-2582-4146-B2D9-D50716255BF8}"/>
            </a:ext>
          </a:extLst>
        </xdr:cNvPr>
        <xdr:cNvGrpSpPr/>
      </xdr:nvGrpSpPr>
      <xdr:grpSpPr>
        <a:xfrm>
          <a:off x="4592630" y="18176722"/>
          <a:ext cx="152881" cy="680782"/>
          <a:chOff x="4206671" y="12887164"/>
          <a:chExt cx="553739" cy="516826"/>
        </a:xfrm>
      </xdr:grpSpPr>
      <xdr:cxnSp macro="">
        <xdr:nvCxnSpPr>
          <xdr:cNvPr id="43" name="Conector recto 42">
            <a:extLst>
              <a:ext uri="{FF2B5EF4-FFF2-40B4-BE49-F238E27FC236}">
                <a16:creationId xmlns:a16="http://schemas.microsoft.com/office/drawing/2014/main" id="{ADE31E77-3F8D-47E5-BCC6-31911AFE8E1C}"/>
              </a:ext>
            </a:extLst>
          </xdr:cNvPr>
          <xdr:cNvCxnSpPr/>
        </xdr:nvCxnSpPr>
        <xdr:spPr>
          <a:xfrm flipV="1">
            <a:off x="4224702" y="12892903"/>
            <a:ext cx="535708" cy="140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Conector recto 43">
            <a:extLst>
              <a:ext uri="{FF2B5EF4-FFF2-40B4-BE49-F238E27FC236}">
                <a16:creationId xmlns:a16="http://schemas.microsoft.com/office/drawing/2014/main" id="{4B95162B-3DF5-4DD6-9025-B69A00343CB0}"/>
              </a:ext>
            </a:extLst>
          </xdr:cNvPr>
          <xdr:cNvCxnSpPr/>
        </xdr:nvCxnSpPr>
        <xdr:spPr>
          <a:xfrm>
            <a:off x="4206671" y="12887164"/>
            <a:ext cx="228" cy="51682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3312</xdr:colOff>
      <xdr:row>107</xdr:row>
      <xdr:rowOff>50358</xdr:rowOff>
    </xdr:from>
    <xdr:to>
      <xdr:col>6</xdr:col>
      <xdr:colOff>156193</xdr:colOff>
      <xdr:row>110</xdr:row>
      <xdr:rowOff>168299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3CC4DAC1-DBD9-4976-AB8D-54C67F998325}"/>
            </a:ext>
          </a:extLst>
        </xdr:cNvPr>
        <xdr:cNvGrpSpPr/>
      </xdr:nvGrpSpPr>
      <xdr:grpSpPr>
        <a:xfrm>
          <a:off x="4592630" y="20428085"/>
          <a:ext cx="152881" cy="680782"/>
          <a:chOff x="4206671" y="12887164"/>
          <a:chExt cx="553739" cy="516826"/>
        </a:xfrm>
      </xdr:grpSpPr>
      <xdr:cxnSp macro="">
        <xdr:nvCxnSpPr>
          <xdr:cNvPr id="46" name="Conector recto 45">
            <a:extLst>
              <a:ext uri="{FF2B5EF4-FFF2-40B4-BE49-F238E27FC236}">
                <a16:creationId xmlns:a16="http://schemas.microsoft.com/office/drawing/2014/main" id="{6C1D8E75-695D-4EBD-9335-931229B53EF6}"/>
              </a:ext>
            </a:extLst>
          </xdr:cNvPr>
          <xdr:cNvCxnSpPr/>
        </xdr:nvCxnSpPr>
        <xdr:spPr>
          <a:xfrm flipV="1">
            <a:off x="4224702" y="12892903"/>
            <a:ext cx="535708" cy="140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Conector recto 46">
            <a:extLst>
              <a:ext uri="{FF2B5EF4-FFF2-40B4-BE49-F238E27FC236}">
                <a16:creationId xmlns:a16="http://schemas.microsoft.com/office/drawing/2014/main" id="{7F008A07-C449-41F9-925D-5CAA4DE64986}"/>
              </a:ext>
            </a:extLst>
          </xdr:cNvPr>
          <xdr:cNvCxnSpPr/>
        </xdr:nvCxnSpPr>
        <xdr:spPr>
          <a:xfrm>
            <a:off x="4206671" y="12887164"/>
            <a:ext cx="228" cy="51682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687203</xdr:colOff>
      <xdr:row>114</xdr:row>
      <xdr:rowOff>132753</xdr:rowOff>
    </xdr:from>
    <xdr:to>
      <xdr:col>4</xdr:col>
      <xdr:colOff>688856</xdr:colOff>
      <xdr:row>115</xdr:row>
      <xdr:rowOff>194067</xdr:rowOff>
    </xdr:to>
    <xdr:cxnSp macro="">
      <xdr:nvCxnSpPr>
        <xdr:cNvPr id="48" name="Conector recto 47">
          <a:extLst>
            <a:ext uri="{FF2B5EF4-FFF2-40B4-BE49-F238E27FC236}">
              <a16:creationId xmlns:a16="http://schemas.microsoft.com/office/drawing/2014/main" id="{DE602A00-15E3-4393-8B3C-7DF710A0ED36}"/>
            </a:ext>
          </a:extLst>
        </xdr:cNvPr>
        <xdr:cNvCxnSpPr/>
      </xdr:nvCxnSpPr>
      <xdr:spPr>
        <a:xfrm flipH="1" flipV="1">
          <a:off x="3857123" y="20981073"/>
          <a:ext cx="1653" cy="23657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671175</xdr:colOff>
      <xdr:row>114</xdr:row>
      <xdr:rowOff>124306</xdr:rowOff>
    </xdr:from>
    <xdr:to>
      <xdr:col>6</xdr:col>
      <xdr:colOff>755699</xdr:colOff>
      <xdr:row>114</xdr:row>
      <xdr:rowOff>139255</xdr:rowOff>
    </xdr:to>
    <xdr:cxnSp macro="">
      <xdr:nvCxnSpPr>
        <xdr:cNvPr id="49" name="Conector recto 48">
          <a:extLst>
            <a:ext uri="{FF2B5EF4-FFF2-40B4-BE49-F238E27FC236}">
              <a16:creationId xmlns:a16="http://schemas.microsoft.com/office/drawing/2014/main" id="{0FB5EA5F-77EC-4235-B642-79851FAD80D2}"/>
            </a:ext>
          </a:extLst>
        </xdr:cNvPr>
        <xdr:cNvCxnSpPr/>
      </xdr:nvCxnSpPr>
      <xdr:spPr>
        <a:xfrm flipV="1">
          <a:off x="3841095" y="20972626"/>
          <a:ext cx="1669484" cy="14949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742191</xdr:colOff>
      <xdr:row>114</xdr:row>
      <xdr:rowOff>120898</xdr:rowOff>
    </xdr:from>
    <xdr:to>
      <xdr:col>6</xdr:col>
      <xdr:colOff>743844</xdr:colOff>
      <xdr:row>115</xdr:row>
      <xdr:rowOff>182212</xdr:rowOff>
    </xdr:to>
    <xdr:cxnSp macro="">
      <xdr:nvCxnSpPr>
        <xdr:cNvPr id="50" name="Conector recto 49">
          <a:extLst>
            <a:ext uri="{FF2B5EF4-FFF2-40B4-BE49-F238E27FC236}">
              <a16:creationId xmlns:a16="http://schemas.microsoft.com/office/drawing/2014/main" id="{5D571BF9-8B67-4EAD-BD84-2DA272D4C0DD}"/>
            </a:ext>
          </a:extLst>
        </xdr:cNvPr>
        <xdr:cNvCxnSpPr/>
      </xdr:nvCxnSpPr>
      <xdr:spPr>
        <a:xfrm flipH="1" flipV="1">
          <a:off x="5497071" y="20969218"/>
          <a:ext cx="1653" cy="24419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657125</xdr:colOff>
      <xdr:row>119</xdr:row>
      <xdr:rowOff>38223</xdr:rowOff>
    </xdr:from>
    <xdr:to>
      <xdr:col>4</xdr:col>
      <xdr:colOff>658778</xdr:colOff>
      <xdr:row>120</xdr:row>
      <xdr:rowOff>99537</xdr:rowOff>
    </xdr:to>
    <xdr:cxnSp macro="">
      <xdr:nvCxnSpPr>
        <xdr:cNvPr id="51" name="Conector recto 50">
          <a:extLst>
            <a:ext uri="{FF2B5EF4-FFF2-40B4-BE49-F238E27FC236}">
              <a16:creationId xmlns:a16="http://schemas.microsoft.com/office/drawing/2014/main" id="{17B7847B-6D4E-40C8-B2C6-9BF584EDAEBF}"/>
            </a:ext>
          </a:extLst>
        </xdr:cNvPr>
        <xdr:cNvCxnSpPr/>
      </xdr:nvCxnSpPr>
      <xdr:spPr>
        <a:xfrm flipH="1" flipV="1">
          <a:off x="3827045" y="21800943"/>
          <a:ext cx="1653" cy="24419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641097</xdr:colOff>
      <xdr:row>120</xdr:row>
      <xdr:rowOff>84202</xdr:rowOff>
    </xdr:from>
    <xdr:to>
      <xdr:col>6</xdr:col>
      <xdr:colOff>725621</xdr:colOff>
      <xdr:row>120</xdr:row>
      <xdr:rowOff>99151</xdr:rowOff>
    </xdr:to>
    <xdr:cxnSp macro="">
      <xdr:nvCxnSpPr>
        <xdr:cNvPr id="52" name="Conector recto 51">
          <a:extLst>
            <a:ext uri="{FF2B5EF4-FFF2-40B4-BE49-F238E27FC236}">
              <a16:creationId xmlns:a16="http://schemas.microsoft.com/office/drawing/2014/main" id="{F925671B-4313-40C8-8F8B-8A6CDBDA5726}"/>
            </a:ext>
          </a:extLst>
        </xdr:cNvPr>
        <xdr:cNvCxnSpPr/>
      </xdr:nvCxnSpPr>
      <xdr:spPr>
        <a:xfrm flipV="1">
          <a:off x="3811017" y="22029802"/>
          <a:ext cx="1669484" cy="14949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712113</xdr:colOff>
      <xdr:row>120</xdr:row>
      <xdr:rowOff>80794</xdr:rowOff>
    </xdr:from>
    <xdr:to>
      <xdr:col>6</xdr:col>
      <xdr:colOff>713766</xdr:colOff>
      <xdr:row>121</xdr:row>
      <xdr:rowOff>142108</xdr:rowOff>
    </xdr:to>
    <xdr:cxnSp macro="">
      <xdr:nvCxnSpPr>
        <xdr:cNvPr id="53" name="Conector recto 52">
          <a:extLst>
            <a:ext uri="{FF2B5EF4-FFF2-40B4-BE49-F238E27FC236}">
              <a16:creationId xmlns:a16="http://schemas.microsoft.com/office/drawing/2014/main" id="{A18654CE-0DBD-4BAC-801C-B2859B53B4ED}"/>
            </a:ext>
          </a:extLst>
        </xdr:cNvPr>
        <xdr:cNvCxnSpPr/>
      </xdr:nvCxnSpPr>
      <xdr:spPr>
        <a:xfrm flipH="1" flipV="1">
          <a:off x="5466993" y="22026394"/>
          <a:ext cx="1653" cy="24419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650017</xdr:colOff>
      <xdr:row>126</xdr:row>
      <xdr:rowOff>115191</xdr:rowOff>
    </xdr:from>
    <xdr:to>
      <xdr:col>4</xdr:col>
      <xdr:colOff>651670</xdr:colOff>
      <xdr:row>127</xdr:row>
      <xdr:rowOff>176505</xdr:rowOff>
    </xdr:to>
    <xdr:cxnSp macro="">
      <xdr:nvCxnSpPr>
        <xdr:cNvPr id="54" name="Conector recto 53">
          <a:extLst>
            <a:ext uri="{FF2B5EF4-FFF2-40B4-BE49-F238E27FC236}">
              <a16:creationId xmlns:a16="http://schemas.microsoft.com/office/drawing/2014/main" id="{25332364-D150-4903-82FB-13D2FCED3F56}"/>
            </a:ext>
          </a:extLst>
        </xdr:cNvPr>
        <xdr:cNvCxnSpPr/>
      </xdr:nvCxnSpPr>
      <xdr:spPr>
        <a:xfrm flipH="1" flipV="1">
          <a:off x="3819937" y="23158071"/>
          <a:ext cx="1653" cy="24419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641097</xdr:colOff>
      <xdr:row>126</xdr:row>
      <xdr:rowOff>98418</xdr:rowOff>
    </xdr:from>
    <xdr:to>
      <xdr:col>6</xdr:col>
      <xdr:colOff>725621</xdr:colOff>
      <xdr:row>126</xdr:row>
      <xdr:rowOff>113367</xdr:rowOff>
    </xdr:to>
    <xdr:cxnSp macro="">
      <xdr:nvCxnSpPr>
        <xdr:cNvPr id="55" name="Conector recto 54">
          <a:extLst>
            <a:ext uri="{FF2B5EF4-FFF2-40B4-BE49-F238E27FC236}">
              <a16:creationId xmlns:a16="http://schemas.microsoft.com/office/drawing/2014/main" id="{67D4F1B4-A510-4F87-8206-21413858D2D9}"/>
            </a:ext>
          </a:extLst>
        </xdr:cNvPr>
        <xdr:cNvCxnSpPr/>
      </xdr:nvCxnSpPr>
      <xdr:spPr>
        <a:xfrm flipV="1">
          <a:off x="3811017" y="23141298"/>
          <a:ext cx="1669484" cy="14949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712113</xdr:colOff>
      <xdr:row>125</xdr:row>
      <xdr:rowOff>46474</xdr:rowOff>
    </xdr:from>
    <xdr:to>
      <xdr:col>6</xdr:col>
      <xdr:colOff>713766</xdr:colOff>
      <xdr:row>126</xdr:row>
      <xdr:rowOff>107788</xdr:rowOff>
    </xdr:to>
    <xdr:cxnSp macro="">
      <xdr:nvCxnSpPr>
        <xdr:cNvPr id="56" name="Conector recto 55">
          <a:extLst>
            <a:ext uri="{FF2B5EF4-FFF2-40B4-BE49-F238E27FC236}">
              <a16:creationId xmlns:a16="http://schemas.microsoft.com/office/drawing/2014/main" id="{E5064BE4-9F06-49D8-A3C0-BD46E8E034C3}"/>
            </a:ext>
          </a:extLst>
        </xdr:cNvPr>
        <xdr:cNvCxnSpPr/>
      </xdr:nvCxnSpPr>
      <xdr:spPr>
        <a:xfrm flipH="1" flipV="1">
          <a:off x="5466993" y="22906474"/>
          <a:ext cx="1653" cy="24419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650017</xdr:colOff>
      <xdr:row>132</xdr:row>
      <xdr:rowOff>115191</xdr:rowOff>
    </xdr:from>
    <xdr:to>
      <xdr:col>4</xdr:col>
      <xdr:colOff>651670</xdr:colOff>
      <xdr:row>133</xdr:row>
      <xdr:rowOff>176505</xdr:rowOff>
    </xdr:to>
    <xdr:cxnSp macro="">
      <xdr:nvCxnSpPr>
        <xdr:cNvPr id="57" name="Conector recto 56">
          <a:extLst>
            <a:ext uri="{FF2B5EF4-FFF2-40B4-BE49-F238E27FC236}">
              <a16:creationId xmlns:a16="http://schemas.microsoft.com/office/drawing/2014/main" id="{6DECD12F-5375-42BA-93C2-5AEDA2F30C3A}"/>
            </a:ext>
          </a:extLst>
        </xdr:cNvPr>
        <xdr:cNvCxnSpPr/>
      </xdr:nvCxnSpPr>
      <xdr:spPr>
        <a:xfrm flipH="1" flipV="1">
          <a:off x="3819937" y="24255351"/>
          <a:ext cx="1653" cy="24419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641097</xdr:colOff>
      <xdr:row>132</xdr:row>
      <xdr:rowOff>98418</xdr:rowOff>
    </xdr:from>
    <xdr:to>
      <xdr:col>6</xdr:col>
      <xdr:colOff>725621</xdr:colOff>
      <xdr:row>132</xdr:row>
      <xdr:rowOff>113367</xdr:rowOff>
    </xdr:to>
    <xdr:cxnSp macro="">
      <xdr:nvCxnSpPr>
        <xdr:cNvPr id="58" name="Conector recto 57">
          <a:extLst>
            <a:ext uri="{FF2B5EF4-FFF2-40B4-BE49-F238E27FC236}">
              <a16:creationId xmlns:a16="http://schemas.microsoft.com/office/drawing/2014/main" id="{E6DFFA4F-6801-4606-ADAF-7A327BAB7E5B}"/>
            </a:ext>
          </a:extLst>
        </xdr:cNvPr>
        <xdr:cNvCxnSpPr/>
      </xdr:nvCxnSpPr>
      <xdr:spPr>
        <a:xfrm flipV="1">
          <a:off x="3811017" y="24238578"/>
          <a:ext cx="1669484" cy="14949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712113</xdr:colOff>
      <xdr:row>132</xdr:row>
      <xdr:rowOff>87881</xdr:rowOff>
    </xdr:from>
    <xdr:to>
      <xdr:col>6</xdr:col>
      <xdr:colOff>713766</xdr:colOff>
      <xdr:row>133</xdr:row>
      <xdr:rowOff>149195</xdr:rowOff>
    </xdr:to>
    <xdr:cxnSp macro="">
      <xdr:nvCxnSpPr>
        <xdr:cNvPr id="59" name="Conector recto 58">
          <a:extLst>
            <a:ext uri="{FF2B5EF4-FFF2-40B4-BE49-F238E27FC236}">
              <a16:creationId xmlns:a16="http://schemas.microsoft.com/office/drawing/2014/main" id="{EDCB9CA4-810F-4D0E-8338-153A80EDA441}"/>
            </a:ext>
          </a:extLst>
        </xdr:cNvPr>
        <xdr:cNvCxnSpPr/>
      </xdr:nvCxnSpPr>
      <xdr:spPr>
        <a:xfrm flipH="1" flipV="1">
          <a:off x="5466993" y="24228041"/>
          <a:ext cx="1653" cy="24419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650017</xdr:colOff>
      <xdr:row>138</xdr:row>
      <xdr:rowOff>115191</xdr:rowOff>
    </xdr:from>
    <xdr:to>
      <xdr:col>4</xdr:col>
      <xdr:colOff>651670</xdr:colOff>
      <xdr:row>139</xdr:row>
      <xdr:rowOff>176505</xdr:rowOff>
    </xdr:to>
    <xdr:cxnSp macro="">
      <xdr:nvCxnSpPr>
        <xdr:cNvPr id="60" name="Conector recto 59">
          <a:extLst>
            <a:ext uri="{FF2B5EF4-FFF2-40B4-BE49-F238E27FC236}">
              <a16:creationId xmlns:a16="http://schemas.microsoft.com/office/drawing/2014/main" id="{6E43ADD3-8908-421D-81A8-44D520B1AE5E}"/>
            </a:ext>
          </a:extLst>
        </xdr:cNvPr>
        <xdr:cNvCxnSpPr/>
      </xdr:nvCxnSpPr>
      <xdr:spPr>
        <a:xfrm flipH="1" flipV="1">
          <a:off x="3819937" y="25352631"/>
          <a:ext cx="1653" cy="24419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641097</xdr:colOff>
      <xdr:row>138</xdr:row>
      <xdr:rowOff>98418</xdr:rowOff>
    </xdr:from>
    <xdr:to>
      <xdr:col>6</xdr:col>
      <xdr:colOff>725621</xdr:colOff>
      <xdr:row>138</xdr:row>
      <xdr:rowOff>113367</xdr:rowOff>
    </xdr:to>
    <xdr:cxnSp macro="">
      <xdr:nvCxnSpPr>
        <xdr:cNvPr id="61" name="Conector recto 60">
          <a:extLst>
            <a:ext uri="{FF2B5EF4-FFF2-40B4-BE49-F238E27FC236}">
              <a16:creationId xmlns:a16="http://schemas.microsoft.com/office/drawing/2014/main" id="{5691AF14-82DB-4F19-AFC6-0611EF458973}"/>
            </a:ext>
          </a:extLst>
        </xdr:cNvPr>
        <xdr:cNvCxnSpPr/>
      </xdr:nvCxnSpPr>
      <xdr:spPr>
        <a:xfrm flipV="1">
          <a:off x="3811017" y="25335858"/>
          <a:ext cx="1669484" cy="14949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712113</xdr:colOff>
      <xdr:row>138</xdr:row>
      <xdr:rowOff>87881</xdr:rowOff>
    </xdr:from>
    <xdr:to>
      <xdr:col>6</xdr:col>
      <xdr:colOff>713766</xdr:colOff>
      <xdr:row>139</xdr:row>
      <xdr:rowOff>149195</xdr:rowOff>
    </xdr:to>
    <xdr:cxnSp macro="">
      <xdr:nvCxnSpPr>
        <xdr:cNvPr id="62" name="Conector recto 61">
          <a:extLst>
            <a:ext uri="{FF2B5EF4-FFF2-40B4-BE49-F238E27FC236}">
              <a16:creationId xmlns:a16="http://schemas.microsoft.com/office/drawing/2014/main" id="{6D431159-94C2-47E4-B237-502342329FA2}"/>
            </a:ext>
          </a:extLst>
        </xdr:cNvPr>
        <xdr:cNvCxnSpPr/>
      </xdr:nvCxnSpPr>
      <xdr:spPr>
        <a:xfrm flipH="1" flipV="1">
          <a:off x="5466993" y="25325321"/>
          <a:ext cx="1653" cy="24419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607459</xdr:colOff>
      <xdr:row>158</xdr:row>
      <xdr:rowOff>159561</xdr:rowOff>
    </xdr:from>
    <xdr:to>
      <xdr:col>6</xdr:col>
      <xdr:colOff>608432</xdr:colOff>
      <xdr:row>160</xdr:row>
      <xdr:rowOff>98271</xdr:rowOff>
    </xdr:to>
    <xdr:grpSp>
      <xdr:nvGrpSpPr>
        <xdr:cNvPr id="63" name="Grupo 62">
          <a:extLst>
            <a:ext uri="{FF2B5EF4-FFF2-40B4-BE49-F238E27FC236}">
              <a16:creationId xmlns:a16="http://schemas.microsoft.com/office/drawing/2014/main" id="{61F48AEA-AA34-40F7-A036-F3662FFB0EB2}"/>
            </a:ext>
          </a:extLst>
        </xdr:cNvPr>
        <xdr:cNvGrpSpPr/>
      </xdr:nvGrpSpPr>
      <xdr:grpSpPr>
        <a:xfrm rot="5400000">
          <a:off x="4376431" y="29684794"/>
          <a:ext cx="313937" cy="1328700"/>
          <a:chOff x="3663416" y="12887164"/>
          <a:chExt cx="543483" cy="518235"/>
        </a:xfrm>
      </xdr:grpSpPr>
      <xdr:cxnSp macro="">
        <xdr:nvCxnSpPr>
          <xdr:cNvPr id="64" name="Conector recto 63">
            <a:extLst>
              <a:ext uri="{FF2B5EF4-FFF2-40B4-BE49-F238E27FC236}">
                <a16:creationId xmlns:a16="http://schemas.microsoft.com/office/drawing/2014/main" id="{61DA9D64-3F81-49CD-B29E-33B68E703FF7}"/>
              </a:ext>
            </a:extLst>
          </xdr:cNvPr>
          <xdr:cNvCxnSpPr/>
        </xdr:nvCxnSpPr>
        <xdr:spPr>
          <a:xfrm flipV="1">
            <a:off x="3663416" y="13403993"/>
            <a:ext cx="535708" cy="140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" name="Conector recto 64">
            <a:extLst>
              <a:ext uri="{FF2B5EF4-FFF2-40B4-BE49-F238E27FC236}">
                <a16:creationId xmlns:a16="http://schemas.microsoft.com/office/drawing/2014/main" id="{8C6A4D24-BE62-47CB-9C10-A272D4C6A58A}"/>
              </a:ext>
            </a:extLst>
          </xdr:cNvPr>
          <xdr:cNvCxnSpPr/>
        </xdr:nvCxnSpPr>
        <xdr:spPr>
          <a:xfrm>
            <a:off x="4206671" y="12887164"/>
            <a:ext cx="228" cy="51682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614339</xdr:colOff>
      <xdr:row>182</xdr:row>
      <xdr:rowOff>178689</xdr:rowOff>
    </xdr:from>
    <xdr:to>
      <xdr:col>6</xdr:col>
      <xdr:colOff>698863</xdr:colOff>
      <xdr:row>182</xdr:row>
      <xdr:rowOff>193638</xdr:rowOff>
    </xdr:to>
    <xdr:cxnSp macro="">
      <xdr:nvCxnSpPr>
        <xdr:cNvPr id="66" name="Conector recto 65">
          <a:extLst>
            <a:ext uri="{FF2B5EF4-FFF2-40B4-BE49-F238E27FC236}">
              <a16:creationId xmlns:a16="http://schemas.microsoft.com/office/drawing/2014/main" id="{1CC4037C-0045-4166-BD3A-042C0C1DA99F}"/>
            </a:ext>
          </a:extLst>
        </xdr:cNvPr>
        <xdr:cNvCxnSpPr/>
      </xdr:nvCxnSpPr>
      <xdr:spPr>
        <a:xfrm flipV="1">
          <a:off x="3784259" y="33462849"/>
          <a:ext cx="1669484" cy="7329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755134</xdr:colOff>
      <xdr:row>158</xdr:row>
      <xdr:rowOff>133364</xdr:rowOff>
    </xdr:from>
    <xdr:to>
      <xdr:col>6</xdr:col>
      <xdr:colOff>756565</xdr:colOff>
      <xdr:row>160</xdr:row>
      <xdr:rowOff>77229</xdr:rowOff>
    </xdr:to>
    <xdr:cxnSp macro="">
      <xdr:nvCxnSpPr>
        <xdr:cNvPr id="67" name="Conector recto 66">
          <a:extLst>
            <a:ext uri="{FF2B5EF4-FFF2-40B4-BE49-F238E27FC236}">
              <a16:creationId xmlns:a16="http://schemas.microsoft.com/office/drawing/2014/main" id="{AE0F859C-B549-4ECB-8E96-0811CF838FDC}"/>
            </a:ext>
          </a:extLst>
        </xdr:cNvPr>
        <xdr:cNvCxnSpPr/>
      </xdr:nvCxnSpPr>
      <xdr:spPr>
        <a:xfrm flipH="1">
          <a:off x="5510014" y="29028404"/>
          <a:ext cx="1431" cy="309625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607459</xdr:colOff>
      <xdr:row>158</xdr:row>
      <xdr:rowOff>159561</xdr:rowOff>
    </xdr:from>
    <xdr:to>
      <xdr:col>6</xdr:col>
      <xdr:colOff>608432</xdr:colOff>
      <xdr:row>160</xdr:row>
      <xdr:rowOff>98271</xdr:rowOff>
    </xdr:to>
    <xdr:grpSp>
      <xdr:nvGrpSpPr>
        <xdr:cNvPr id="68" name="Grupo 67">
          <a:extLst>
            <a:ext uri="{FF2B5EF4-FFF2-40B4-BE49-F238E27FC236}">
              <a16:creationId xmlns:a16="http://schemas.microsoft.com/office/drawing/2014/main" id="{B37BD428-B118-4FFB-8400-FE13F33C0416}"/>
            </a:ext>
          </a:extLst>
        </xdr:cNvPr>
        <xdr:cNvGrpSpPr/>
      </xdr:nvGrpSpPr>
      <xdr:grpSpPr>
        <a:xfrm rot="5400000">
          <a:off x="4376431" y="29684794"/>
          <a:ext cx="313937" cy="1328700"/>
          <a:chOff x="3663416" y="12887164"/>
          <a:chExt cx="543483" cy="518235"/>
        </a:xfrm>
      </xdr:grpSpPr>
      <xdr:cxnSp macro="">
        <xdr:nvCxnSpPr>
          <xdr:cNvPr id="69" name="Conector recto 68">
            <a:extLst>
              <a:ext uri="{FF2B5EF4-FFF2-40B4-BE49-F238E27FC236}">
                <a16:creationId xmlns:a16="http://schemas.microsoft.com/office/drawing/2014/main" id="{84A5FD7E-CF39-4060-8B0F-337C2473F149}"/>
              </a:ext>
            </a:extLst>
          </xdr:cNvPr>
          <xdr:cNvCxnSpPr/>
        </xdr:nvCxnSpPr>
        <xdr:spPr>
          <a:xfrm flipV="1">
            <a:off x="3663416" y="13403993"/>
            <a:ext cx="535708" cy="140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" name="Conector recto 69">
            <a:extLst>
              <a:ext uri="{FF2B5EF4-FFF2-40B4-BE49-F238E27FC236}">
                <a16:creationId xmlns:a16="http://schemas.microsoft.com/office/drawing/2014/main" id="{6910486B-B0DF-4F1D-B9F4-CE2229541CB3}"/>
              </a:ext>
            </a:extLst>
          </xdr:cNvPr>
          <xdr:cNvCxnSpPr/>
        </xdr:nvCxnSpPr>
        <xdr:spPr>
          <a:xfrm>
            <a:off x="4206671" y="12887164"/>
            <a:ext cx="228" cy="51682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755134</xdr:colOff>
      <xdr:row>158</xdr:row>
      <xdr:rowOff>133364</xdr:rowOff>
    </xdr:from>
    <xdr:to>
      <xdr:col>6</xdr:col>
      <xdr:colOff>756565</xdr:colOff>
      <xdr:row>160</xdr:row>
      <xdr:rowOff>77229</xdr:rowOff>
    </xdr:to>
    <xdr:cxnSp macro="">
      <xdr:nvCxnSpPr>
        <xdr:cNvPr id="71" name="Conector recto 70">
          <a:extLst>
            <a:ext uri="{FF2B5EF4-FFF2-40B4-BE49-F238E27FC236}">
              <a16:creationId xmlns:a16="http://schemas.microsoft.com/office/drawing/2014/main" id="{32D9E5D2-C474-4664-9660-1D8DCA999BCA}"/>
            </a:ext>
          </a:extLst>
        </xdr:cNvPr>
        <xdr:cNvCxnSpPr/>
      </xdr:nvCxnSpPr>
      <xdr:spPr>
        <a:xfrm flipH="1">
          <a:off x="5510014" y="29028404"/>
          <a:ext cx="1431" cy="309625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607459</xdr:colOff>
      <xdr:row>164</xdr:row>
      <xdr:rowOff>159561</xdr:rowOff>
    </xdr:from>
    <xdr:to>
      <xdr:col>6</xdr:col>
      <xdr:colOff>608432</xdr:colOff>
      <xdr:row>166</xdr:row>
      <xdr:rowOff>98271</xdr:rowOff>
    </xdr:to>
    <xdr:grpSp>
      <xdr:nvGrpSpPr>
        <xdr:cNvPr id="72" name="Grupo 71">
          <a:extLst>
            <a:ext uri="{FF2B5EF4-FFF2-40B4-BE49-F238E27FC236}">
              <a16:creationId xmlns:a16="http://schemas.microsoft.com/office/drawing/2014/main" id="{BA99312E-35E8-485D-A367-7E525122CE00}"/>
            </a:ext>
          </a:extLst>
        </xdr:cNvPr>
        <xdr:cNvGrpSpPr/>
      </xdr:nvGrpSpPr>
      <xdr:grpSpPr>
        <a:xfrm rot="5400000">
          <a:off x="4376431" y="30810475"/>
          <a:ext cx="313938" cy="1328700"/>
          <a:chOff x="3663416" y="12887164"/>
          <a:chExt cx="543483" cy="518235"/>
        </a:xfrm>
      </xdr:grpSpPr>
      <xdr:cxnSp macro="">
        <xdr:nvCxnSpPr>
          <xdr:cNvPr id="73" name="Conector recto 72">
            <a:extLst>
              <a:ext uri="{FF2B5EF4-FFF2-40B4-BE49-F238E27FC236}">
                <a16:creationId xmlns:a16="http://schemas.microsoft.com/office/drawing/2014/main" id="{C5C4A06C-4232-466D-9CC7-AD8123C9DBBA}"/>
              </a:ext>
            </a:extLst>
          </xdr:cNvPr>
          <xdr:cNvCxnSpPr/>
        </xdr:nvCxnSpPr>
        <xdr:spPr>
          <a:xfrm flipV="1">
            <a:off x="3663416" y="13403993"/>
            <a:ext cx="535708" cy="140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Conector recto 73">
            <a:extLst>
              <a:ext uri="{FF2B5EF4-FFF2-40B4-BE49-F238E27FC236}">
                <a16:creationId xmlns:a16="http://schemas.microsoft.com/office/drawing/2014/main" id="{C5689C1F-2424-4693-B9D2-6372FB7DC6D2}"/>
              </a:ext>
            </a:extLst>
          </xdr:cNvPr>
          <xdr:cNvCxnSpPr/>
        </xdr:nvCxnSpPr>
        <xdr:spPr>
          <a:xfrm>
            <a:off x="4206671" y="12887164"/>
            <a:ext cx="228" cy="51682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755134</xdr:colOff>
      <xdr:row>164</xdr:row>
      <xdr:rowOff>133364</xdr:rowOff>
    </xdr:from>
    <xdr:to>
      <xdr:col>6</xdr:col>
      <xdr:colOff>756565</xdr:colOff>
      <xdr:row>166</xdr:row>
      <xdr:rowOff>77229</xdr:rowOff>
    </xdr:to>
    <xdr:cxnSp macro="">
      <xdr:nvCxnSpPr>
        <xdr:cNvPr id="75" name="Conector recto 74">
          <a:extLst>
            <a:ext uri="{FF2B5EF4-FFF2-40B4-BE49-F238E27FC236}">
              <a16:creationId xmlns:a16="http://schemas.microsoft.com/office/drawing/2014/main" id="{B46E663F-CFBF-45A4-B3ED-A5420C2F7C2B}"/>
            </a:ext>
          </a:extLst>
        </xdr:cNvPr>
        <xdr:cNvCxnSpPr/>
      </xdr:nvCxnSpPr>
      <xdr:spPr>
        <a:xfrm flipH="1">
          <a:off x="5510014" y="30125684"/>
          <a:ext cx="1431" cy="309625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607459</xdr:colOff>
      <xdr:row>164</xdr:row>
      <xdr:rowOff>159561</xdr:rowOff>
    </xdr:from>
    <xdr:to>
      <xdr:col>6</xdr:col>
      <xdr:colOff>608432</xdr:colOff>
      <xdr:row>166</xdr:row>
      <xdr:rowOff>98271</xdr:rowOff>
    </xdr:to>
    <xdr:grpSp>
      <xdr:nvGrpSpPr>
        <xdr:cNvPr id="76" name="Grupo 75">
          <a:extLst>
            <a:ext uri="{FF2B5EF4-FFF2-40B4-BE49-F238E27FC236}">
              <a16:creationId xmlns:a16="http://schemas.microsoft.com/office/drawing/2014/main" id="{0B129CB3-48B7-49F7-853A-5687753F0BD2}"/>
            </a:ext>
          </a:extLst>
        </xdr:cNvPr>
        <xdr:cNvGrpSpPr/>
      </xdr:nvGrpSpPr>
      <xdr:grpSpPr>
        <a:xfrm rot="5400000">
          <a:off x="4376431" y="30810475"/>
          <a:ext cx="313938" cy="1328700"/>
          <a:chOff x="3663416" y="12887164"/>
          <a:chExt cx="543483" cy="518235"/>
        </a:xfrm>
      </xdr:grpSpPr>
      <xdr:cxnSp macro="">
        <xdr:nvCxnSpPr>
          <xdr:cNvPr id="77" name="Conector recto 76">
            <a:extLst>
              <a:ext uri="{FF2B5EF4-FFF2-40B4-BE49-F238E27FC236}">
                <a16:creationId xmlns:a16="http://schemas.microsoft.com/office/drawing/2014/main" id="{43D6C15D-F35B-4949-AC6E-9CCD2BCF814F}"/>
              </a:ext>
            </a:extLst>
          </xdr:cNvPr>
          <xdr:cNvCxnSpPr/>
        </xdr:nvCxnSpPr>
        <xdr:spPr>
          <a:xfrm flipV="1">
            <a:off x="3663416" y="13403993"/>
            <a:ext cx="535708" cy="140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Conector recto 77">
            <a:extLst>
              <a:ext uri="{FF2B5EF4-FFF2-40B4-BE49-F238E27FC236}">
                <a16:creationId xmlns:a16="http://schemas.microsoft.com/office/drawing/2014/main" id="{29742A45-05E0-4FA3-A0F8-03F9739D869B}"/>
              </a:ext>
            </a:extLst>
          </xdr:cNvPr>
          <xdr:cNvCxnSpPr/>
        </xdr:nvCxnSpPr>
        <xdr:spPr>
          <a:xfrm>
            <a:off x="4206671" y="12887164"/>
            <a:ext cx="228" cy="51682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755134</xdr:colOff>
      <xdr:row>164</xdr:row>
      <xdr:rowOff>133364</xdr:rowOff>
    </xdr:from>
    <xdr:to>
      <xdr:col>6</xdr:col>
      <xdr:colOff>756565</xdr:colOff>
      <xdr:row>166</xdr:row>
      <xdr:rowOff>77229</xdr:rowOff>
    </xdr:to>
    <xdr:cxnSp macro="">
      <xdr:nvCxnSpPr>
        <xdr:cNvPr id="79" name="Conector recto 78">
          <a:extLst>
            <a:ext uri="{FF2B5EF4-FFF2-40B4-BE49-F238E27FC236}">
              <a16:creationId xmlns:a16="http://schemas.microsoft.com/office/drawing/2014/main" id="{B5D9F459-9D30-48D6-B70A-359673D2B96B}"/>
            </a:ext>
          </a:extLst>
        </xdr:cNvPr>
        <xdr:cNvCxnSpPr/>
      </xdr:nvCxnSpPr>
      <xdr:spPr>
        <a:xfrm flipH="1">
          <a:off x="5510014" y="30125684"/>
          <a:ext cx="1431" cy="309625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571499</xdr:colOff>
      <xdr:row>169</xdr:row>
      <xdr:rowOff>67236</xdr:rowOff>
    </xdr:from>
    <xdr:to>
      <xdr:col>6</xdr:col>
      <xdr:colOff>117692</xdr:colOff>
      <xdr:row>173</xdr:row>
      <xdr:rowOff>2298</xdr:rowOff>
    </xdr:to>
    <xdr:grpSp>
      <xdr:nvGrpSpPr>
        <xdr:cNvPr id="80" name="Grupo 79">
          <a:extLst>
            <a:ext uri="{FF2B5EF4-FFF2-40B4-BE49-F238E27FC236}">
              <a16:creationId xmlns:a16="http://schemas.microsoft.com/office/drawing/2014/main" id="{C90FCBA5-D9C7-44D2-A2AD-72690E435EA7}"/>
            </a:ext>
          </a:extLst>
        </xdr:cNvPr>
        <xdr:cNvGrpSpPr/>
      </xdr:nvGrpSpPr>
      <xdr:grpSpPr>
        <a:xfrm rot="10800000">
          <a:off x="4496954" y="32163600"/>
          <a:ext cx="210056" cy="685516"/>
          <a:chOff x="4206671" y="12887164"/>
          <a:chExt cx="558675" cy="516826"/>
        </a:xfrm>
      </xdr:grpSpPr>
      <xdr:cxnSp macro="">
        <xdr:nvCxnSpPr>
          <xdr:cNvPr id="81" name="Conector recto 80">
            <a:extLst>
              <a:ext uri="{FF2B5EF4-FFF2-40B4-BE49-F238E27FC236}">
                <a16:creationId xmlns:a16="http://schemas.microsoft.com/office/drawing/2014/main" id="{42F84EC6-0C2E-40FE-B274-82481C1DDA42}"/>
              </a:ext>
            </a:extLst>
          </xdr:cNvPr>
          <xdr:cNvCxnSpPr/>
        </xdr:nvCxnSpPr>
        <xdr:spPr>
          <a:xfrm flipV="1">
            <a:off x="4229638" y="12892902"/>
            <a:ext cx="535708" cy="140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" name="Conector recto 81">
            <a:extLst>
              <a:ext uri="{FF2B5EF4-FFF2-40B4-BE49-F238E27FC236}">
                <a16:creationId xmlns:a16="http://schemas.microsoft.com/office/drawing/2014/main" id="{51C8005E-1C5B-4602-88C5-A954B7DAA2AE}"/>
              </a:ext>
            </a:extLst>
          </xdr:cNvPr>
          <xdr:cNvCxnSpPr/>
        </xdr:nvCxnSpPr>
        <xdr:spPr>
          <a:xfrm>
            <a:off x="4206671" y="12887164"/>
            <a:ext cx="228" cy="51682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482000</xdr:colOff>
      <xdr:row>175</xdr:row>
      <xdr:rowOff>1277</xdr:rowOff>
    </xdr:from>
    <xdr:to>
      <xdr:col>6</xdr:col>
      <xdr:colOff>15576</xdr:colOff>
      <xdr:row>179</xdr:row>
      <xdr:rowOff>38152</xdr:rowOff>
    </xdr:to>
    <xdr:grpSp>
      <xdr:nvGrpSpPr>
        <xdr:cNvPr id="83" name="Grupo 82">
          <a:extLst>
            <a:ext uri="{FF2B5EF4-FFF2-40B4-BE49-F238E27FC236}">
              <a16:creationId xmlns:a16="http://schemas.microsoft.com/office/drawing/2014/main" id="{31168AE1-60A2-408E-8E7D-1E35E206D0E5}"/>
            </a:ext>
          </a:extLst>
        </xdr:cNvPr>
        <xdr:cNvGrpSpPr/>
      </xdr:nvGrpSpPr>
      <xdr:grpSpPr>
        <a:xfrm rot="10800000">
          <a:off x="4407455" y="33223322"/>
          <a:ext cx="197439" cy="787330"/>
          <a:chOff x="4206363" y="12887164"/>
          <a:chExt cx="535708" cy="516826"/>
        </a:xfrm>
      </xdr:grpSpPr>
      <xdr:cxnSp macro="">
        <xdr:nvCxnSpPr>
          <xdr:cNvPr id="84" name="Conector recto 83">
            <a:extLst>
              <a:ext uri="{FF2B5EF4-FFF2-40B4-BE49-F238E27FC236}">
                <a16:creationId xmlns:a16="http://schemas.microsoft.com/office/drawing/2014/main" id="{520364D4-C3AA-4F3B-84D6-6DCF496E8098}"/>
              </a:ext>
            </a:extLst>
          </xdr:cNvPr>
          <xdr:cNvCxnSpPr/>
        </xdr:nvCxnSpPr>
        <xdr:spPr>
          <a:xfrm flipV="1">
            <a:off x="4206363" y="12888136"/>
            <a:ext cx="535708" cy="140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" name="Conector recto 84">
            <a:extLst>
              <a:ext uri="{FF2B5EF4-FFF2-40B4-BE49-F238E27FC236}">
                <a16:creationId xmlns:a16="http://schemas.microsoft.com/office/drawing/2014/main" id="{EF075352-8F13-445E-BE11-3F4F73EC7A78}"/>
              </a:ext>
            </a:extLst>
          </xdr:cNvPr>
          <xdr:cNvCxnSpPr/>
        </xdr:nvCxnSpPr>
        <xdr:spPr>
          <a:xfrm>
            <a:off x="4206671" y="12887164"/>
            <a:ext cx="228" cy="51682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16168</xdr:colOff>
      <xdr:row>175</xdr:row>
      <xdr:rowOff>3308</xdr:rowOff>
    </xdr:from>
    <xdr:to>
      <xdr:col>6</xdr:col>
      <xdr:colOff>311691</xdr:colOff>
      <xdr:row>175</xdr:row>
      <xdr:rowOff>5184</xdr:rowOff>
    </xdr:to>
    <xdr:cxnSp macro="">
      <xdr:nvCxnSpPr>
        <xdr:cNvPr id="86" name="Conector recto 85">
          <a:extLst>
            <a:ext uri="{FF2B5EF4-FFF2-40B4-BE49-F238E27FC236}">
              <a16:creationId xmlns:a16="http://schemas.microsoft.com/office/drawing/2014/main" id="{00CC383E-9919-40B1-823C-A1986A235BC5}"/>
            </a:ext>
          </a:extLst>
        </xdr:cNvPr>
        <xdr:cNvCxnSpPr/>
      </xdr:nvCxnSpPr>
      <xdr:spPr>
        <a:xfrm rot="10800000" flipV="1">
          <a:off x="4771048" y="32007308"/>
          <a:ext cx="295523" cy="1876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666180</xdr:colOff>
      <xdr:row>90</xdr:row>
      <xdr:rowOff>118238</xdr:rowOff>
    </xdr:from>
    <xdr:to>
      <xdr:col>6</xdr:col>
      <xdr:colOff>750704</xdr:colOff>
      <xdr:row>90</xdr:row>
      <xdr:rowOff>133187</xdr:rowOff>
    </xdr:to>
    <xdr:cxnSp macro="">
      <xdr:nvCxnSpPr>
        <xdr:cNvPr id="87" name="Conector recto 86">
          <a:extLst>
            <a:ext uri="{FF2B5EF4-FFF2-40B4-BE49-F238E27FC236}">
              <a16:creationId xmlns:a16="http://schemas.microsoft.com/office/drawing/2014/main" id="{E1F016E0-56F2-42A8-B370-F42DEA2D7C5D}"/>
            </a:ext>
          </a:extLst>
        </xdr:cNvPr>
        <xdr:cNvCxnSpPr/>
      </xdr:nvCxnSpPr>
      <xdr:spPr>
        <a:xfrm flipV="1">
          <a:off x="3836100" y="16577438"/>
          <a:ext cx="1669484" cy="14949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631073</xdr:colOff>
      <xdr:row>183</xdr:row>
      <xdr:rowOff>51</xdr:rowOff>
    </xdr:from>
    <xdr:to>
      <xdr:col>4</xdr:col>
      <xdr:colOff>635000</xdr:colOff>
      <xdr:row>184</xdr:row>
      <xdr:rowOff>102420</xdr:rowOff>
    </xdr:to>
    <xdr:cxnSp macro="">
      <xdr:nvCxnSpPr>
        <xdr:cNvPr id="88" name="Conector recto 87">
          <a:extLst>
            <a:ext uri="{FF2B5EF4-FFF2-40B4-BE49-F238E27FC236}">
              <a16:creationId xmlns:a16="http://schemas.microsoft.com/office/drawing/2014/main" id="{2580C6D5-B9ED-490F-837B-F55A7541F290}"/>
            </a:ext>
          </a:extLst>
        </xdr:cNvPr>
        <xdr:cNvCxnSpPr/>
      </xdr:nvCxnSpPr>
      <xdr:spPr>
        <a:xfrm>
          <a:off x="3800993" y="33467091"/>
          <a:ext cx="3927" cy="285249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691295</xdr:colOff>
      <xdr:row>181</xdr:row>
      <xdr:rowOff>70516</xdr:rowOff>
    </xdr:from>
    <xdr:to>
      <xdr:col>6</xdr:col>
      <xdr:colOff>695222</xdr:colOff>
      <xdr:row>182</xdr:row>
      <xdr:rowOff>172884</xdr:rowOff>
    </xdr:to>
    <xdr:cxnSp macro="">
      <xdr:nvCxnSpPr>
        <xdr:cNvPr id="89" name="Conector recto 88">
          <a:extLst>
            <a:ext uri="{FF2B5EF4-FFF2-40B4-BE49-F238E27FC236}">
              <a16:creationId xmlns:a16="http://schemas.microsoft.com/office/drawing/2014/main" id="{13F99710-31F7-47AD-9089-83FA9F5C5C2F}"/>
            </a:ext>
          </a:extLst>
        </xdr:cNvPr>
        <xdr:cNvCxnSpPr/>
      </xdr:nvCxnSpPr>
      <xdr:spPr>
        <a:xfrm>
          <a:off x="5446175" y="33171796"/>
          <a:ext cx="3927" cy="285248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614339</xdr:colOff>
      <xdr:row>187</xdr:row>
      <xdr:rowOff>178689</xdr:rowOff>
    </xdr:from>
    <xdr:to>
      <xdr:col>6</xdr:col>
      <xdr:colOff>698863</xdr:colOff>
      <xdr:row>187</xdr:row>
      <xdr:rowOff>193638</xdr:rowOff>
    </xdr:to>
    <xdr:cxnSp macro="">
      <xdr:nvCxnSpPr>
        <xdr:cNvPr id="90" name="Conector recto 89">
          <a:extLst>
            <a:ext uri="{FF2B5EF4-FFF2-40B4-BE49-F238E27FC236}">
              <a16:creationId xmlns:a16="http://schemas.microsoft.com/office/drawing/2014/main" id="{45747FE8-6A29-474A-8427-94B78233B80B}"/>
            </a:ext>
          </a:extLst>
        </xdr:cNvPr>
        <xdr:cNvCxnSpPr/>
      </xdr:nvCxnSpPr>
      <xdr:spPr>
        <a:xfrm flipV="1">
          <a:off x="3784259" y="34377249"/>
          <a:ext cx="1669484" cy="7329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620831</xdr:colOff>
      <xdr:row>186</xdr:row>
      <xdr:rowOff>71744</xdr:rowOff>
    </xdr:from>
    <xdr:to>
      <xdr:col>4</xdr:col>
      <xdr:colOff>624758</xdr:colOff>
      <xdr:row>187</xdr:row>
      <xdr:rowOff>174113</xdr:rowOff>
    </xdr:to>
    <xdr:cxnSp macro="">
      <xdr:nvCxnSpPr>
        <xdr:cNvPr id="91" name="Conector recto 90">
          <a:extLst>
            <a:ext uri="{FF2B5EF4-FFF2-40B4-BE49-F238E27FC236}">
              <a16:creationId xmlns:a16="http://schemas.microsoft.com/office/drawing/2014/main" id="{DC028300-04B6-4202-81E4-4B32E34DE60F}"/>
            </a:ext>
          </a:extLst>
        </xdr:cNvPr>
        <xdr:cNvCxnSpPr/>
      </xdr:nvCxnSpPr>
      <xdr:spPr>
        <a:xfrm>
          <a:off x="3790751" y="34087424"/>
          <a:ext cx="3927" cy="285249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711779</xdr:colOff>
      <xdr:row>187</xdr:row>
      <xdr:rowOff>162693</xdr:rowOff>
    </xdr:from>
    <xdr:to>
      <xdr:col>6</xdr:col>
      <xdr:colOff>715706</xdr:colOff>
      <xdr:row>189</xdr:row>
      <xdr:rowOff>70465</xdr:rowOff>
    </xdr:to>
    <xdr:cxnSp macro="">
      <xdr:nvCxnSpPr>
        <xdr:cNvPr id="92" name="Conector recto 91">
          <a:extLst>
            <a:ext uri="{FF2B5EF4-FFF2-40B4-BE49-F238E27FC236}">
              <a16:creationId xmlns:a16="http://schemas.microsoft.com/office/drawing/2014/main" id="{4E5E13CA-FFA5-46DF-9488-355D48281DBC}"/>
            </a:ext>
          </a:extLst>
        </xdr:cNvPr>
        <xdr:cNvCxnSpPr/>
      </xdr:nvCxnSpPr>
      <xdr:spPr>
        <a:xfrm>
          <a:off x="5466659" y="34361253"/>
          <a:ext cx="3927" cy="273532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566257</xdr:colOff>
      <xdr:row>22</xdr:row>
      <xdr:rowOff>101367</xdr:rowOff>
    </xdr:from>
    <xdr:to>
      <xdr:col>6</xdr:col>
      <xdr:colOff>21623</xdr:colOff>
      <xdr:row>22</xdr:row>
      <xdr:rowOff>106346</xdr:rowOff>
    </xdr:to>
    <xdr:cxnSp macro="">
      <xdr:nvCxnSpPr>
        <xdr:cNvPr id="93" name="Conector recto 92">
          <a:extLst>
            <a:ext uri="{FF2B5EF4-FFF2-40B4-BE49-F238E27FC236}">
              <a16:creationId xmlns:a16="http://schemas.microsoft.com/office/drawing/2014/main" id="{C610FCB0-D832-4141-875C-372FB3B5D705}"/>
            </a:ext>
          </a:extLst>
        </xdr:cNvPr>
        <xdr:cNvCxnSpPr/>
      </xdr:nvCxnSpPr>
      <xdr:spPr>
        <a:xfrm flipH="1" flipV="1">
          <a:off x="4528657" y="4124727"/>
          <a:ext cx="247846" cy="4979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3614028</xdr:colOff>
      <xdr:row>8</xdr:row>
      <xdr:rowOff>97195</xdr:rowOff>
    </xdr:from>
    <xdr:ext cx="4118759" cy="2073898"/>
    <xdr:pic>
      <xdr:nvPicPr>
        <xdr:cNvPr id="2" name="Imagen 1">
          <a:extLst>
            <a:ext uri="{FF2B5EF4-FFF2-40B4-BE49-F238E27FC236}">
              <a16:creationId xmlns:a16="http://schemas.microsoft.com/office/drawing/2014/main" id="{AC110A1E-9090-4963-9192-8EC0E9749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9508" y="1560235"/>
          <a:ext cx="4118759" cy="2073898"/>
        </a:xfrm>
        <a:prstGeom prst="rect">
          <a:avLst/>
        </a:prstGeom>
      </xdr:spPr>
    </xdr:pic>
    <xdr:clientData/>
  </xdr:oneCellAnchor>
  <xdr:oneCellAnchor>
    <xdr:from>
      <xdr:col>1</xdr:col>
      <xdr:colOff>82945</xdr:colOff>
      <xdr:row>6</xdr:row>
      <xdr:rowOff>56171</xdr:rowOff>
    </xdr:from>
    <xdr:ext cx="3524178" cy="2874183"/>
    <xdr:pic>
      <xdr:nvPicPr>
        <xdr:cNvPr id="3" name="Imagen 2">
          <a:extLst>
            <a:ext uri="{FF2B5EF4-FFF2-40B4-BE49-F238E27FC236}">
              <a16:creationId xmlns:a16="http://schemas.microsoft.com/office/drawing/2014/main" id="{583BAABA-A509-468D-BBFF-B948A434C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625" y="1153451"/>
          <a:ext cx="3524178" cy="2874183"/>
        </a:xfrm>
        <a:prstGeom prst="rect">
          <a:avLst/>
        </a:prstGeom>
      </xdr:spPr>
    </xdr:pic>
    <xdr:clientData/>
  </xdr:oneCellAnchor>
  <xdr:oneCellAnchor>
    <xdr:from>
      <xdr:col>1</xdr:col>
      <xdr:colOff>3429280</xdr:colOff>
      <xdr:row>65</xdr:row>
      <xdr:rowOff>48242</xdr:rowOff>
    </xdr:from>
    <xdr:ext cx="1274123" cy="717288"/>
    <xdr:pic>
      <xdr:nvPicPr>
        <xdr:cNvPr id="4" name="Imagen 3">
          <a:extLst>
            <a:ext uri="{FF2B5EF4-FFF2-40B4-BE49-F238E27FC236}">
              <a16:creationId xmlns:a16="http://schemas.microsoft.com/office/drawing/2014/main" id="{F5778988-CAAD-4064-B4BB-805E7F7A1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640" y="11935442"/>
          <a:ext cx="1274123" cy="717288"/>
        </a:xfrm>
        <a:prstGeom prst="rect">
          <a:avLst/>
        </a:prstGeom>
      </xdr:spPr>
    </xdr:pic>
    <xdr:clientData/>
  </xdr:oneCellAnchor>
  <xdr:oneCellAnchor>
    <xdr:from>
      <xdr:col>1</xdr:col>
      <xdr:colOff>1235038</xdr:colOff>
      <xdr:row>75</xdr:row>
      <xdr:rowOff>54915</xdr:rowOff>
    </xdr:from>
    <xdr:ext cx="3624545" cy="668224"/>
    <xdr:pic>
      <xdr:nvPicPr>
        <xdr:cNvPr id="5" name="Imagen 4">
          <a:extLst>
            <a:ext uri="{FF2B5EF4-FFF2-40B4-BE49-F238E27FC236}">
              <a16:creationId xmlns:a16="http://schemas.microsoft.com/office/drawing/2014/main" id="{EA7B37B6-8472-4EBC-B4B6-94B9F595D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37958" y="13770915"/>
          <a:ext cx="3624545" cy="668224"/>
        </a:xfrm>
        <a:prstGeom prst="rect">
          <a:avLst/>
        </a:prstGeom>
      </xdr:spPr>
    </xdr:pic>
    <xdr:clientData/>
  </xdr:oneCellAnchor>
  <xdr:oneCellAnchor>
    <xdr:from>
      <xdr:col>1</xdr:col>
      <xdr:colOff>3418704</xdr:colOff>
      <xdr:row>70</xdr:row>
      <xdr:rowOff>38692</xdr:rowOff>
    </xdr:from>
    <xdr:ext cx="1371154" cy="724160"/>
    <xdr:pic>
      <xdr:nvPicPr>
        <xdr:cNvPr id="6" name="Imagen 5">
          <a:extLst>
            <a:ext uri="{FF2B5EF4-FFF2-40B4-BE49-F238E27FC236}">
              <a16:creationId xmlns:a16="http://schemas.microsoft.com/office/drawing/2014/main" id="{257E0728-FBFB-432B-BED2-349AF7B8F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4684" y="12840292"/>
          <a:ext cx="1371154" cy="724160"/>
        </a:xfrm>
        <a:prstGeom prst="rect">
          <a:avLst/>
        </a:prstGeom>
      </xdr:spPr>
    </xdr:pic>
    <xdr:clientData/>
  </xdr:oneCellAnchor>
  <xdr:oneCellAnchor>
    <xdr:from>
      <xdr:col>1</xdr:col>
      <xdr:colOff>3411403</xdr:colOff>
      <xdr:row>355</xdr:row>
      <xdr:rowOff>182215</xdr:rowOff>
    </xdr:from>
    <xdr:ext cx="1781390" cy="1520037"/>
    <xdr:pic>
      <xdr:nvPicPr>
        <xdr:cNvPr id="7" name="Imagen 6">
          <a:extLst>
            <a:ext uri="{FF2B5EF4-FFF2-40B4-BE49-F238E27FC236}">
              <a16:creationId xmlns:a16="http://schemas.microsoft.com/office/drawing/2014/main" id="{F816B351-3962-4823-B603-660F38E9C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35003" y="65104615"/>
          <a:ext cx="1781390" cy="1520037"/>
        </a:xfrm>
        <a:prstGeom prst="rect">
          <a:avLst/>
        </a:prstGeom>
      </xdr:spPr>
    </xdr:pic>
    <xdr:clientData/>
  </xdr:oneCellAnchor>
  <xdr:oneCellAnchor>
    <xdr:from>
      <xdr:col>1</xdr:col>
      <xdr:colOff>3437282</xdr:colOff>
      <xdr:row>364</xdr:row>
      <xdr:rowOff>178636</xdr:rowOff>
    </xdr:from>
    <xdr:ext cx="1764195" cy="1513282"/>
    <xdr:pic>
      <xdr:nvPicPr>
        <xdr:cNvPr id="8" name="Imagen 7">
          <a:extLst>
            <a:ext uri="{FF2B5EF4-FFF2-40B4-BE49-F238E27FC236}">
              <a16:creationId xmlns:a16="http://schemas.microsoft.com/office/drawing/2014/main" id="{47B4B059-6F90-42A7-A822-57132644B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38022" y="66746956"/>
          <a:ext cx="1764195" cy="1513282"/>
        </a:xfrm>
        <a:prstGeom prst="rect">
          <a:avLst/>
        </a:prstGeom>
      </xdr:spPr>
    </xdr:pic>
    <xdr:clientData/>
  </xdr:oneCellAnchor>
  <xdr:oneCellAnchor>
    <xdr:from>
      <xdr:col>1</xdr:col>
      <xdr:colOff>2274787</xdr:colOff>
      <xdr:row>357</xdr:row>
      <xdr:rowOff>110369</xdr:rowOff>
    </xdr:from>
    <xdr:ext cx="1042434" cy="697885"/>
    <xdr:pic>
      <xdr:nvPicPr>
        <xdr:cNvPr id="9" name="Imagen 8">
          <a:extLst>
            <a:ext uri="{FF2B5EF4-FFF2-40B4-BE49-F238E27FC236}">
              <a16:creationId xmlns:a16="http://schemas.microsoft.com/office/drawing/2014/main" id="{422042BC-4891-468B-8D44-641B802D5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33767" y="65398529"/>
          <a:ext cx="1042434" cy="697885"/>
        </a:xfrm>
        <a:prstGeom prst="rect">
          <a:avLst/>
        </a:prstGeom>
      </xdr:spPr>
    </xdr:pic>
    <xdr:clientData/>
  </xdr:oneCellAnchor>
  <xdr:oneCellAnchor>
    <xdr:from>
      <xdr:col>1</xdr:col>
      <xdr:colOff>2277717</xdr:colOff>
      <xdr:row>366</xdr:row>
      <xdr:rowOff>151332</xdr:rowOff>
    </xdr:from>
    <xdr:ext cx="984438" cy="678740"/>
    <xdr:pic>
      <xdr:nvPicPr>
        <xdr:cNvPr id="10" name="Imagen 9">
          <a:extLst>
            <a:ext uri="{FF2B5EF4-FFF2-40B4-BE49-F238E27FC236}">
              <a16:creationId xmlns:a16="http://schemas.microsoft.com/office/drawing/2014/main" id="{755B8203-7AFF-430B-9601-1E230F447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36697" y="67085412"/>
          <a:ext cx="984438" cy="678740"/>
        </a:xfrm>
        <a:prstGeom prst="rect">
          <a:avLst/>
        </a:prstGeom>
      </xdr:spPr>
    </xdr:pic>
    <xdr:clientData/>
  </xdr:oneCellAnchor>
  <xdr:oneCellAnchor>
    <xdr:from>
      <xdr:col>1</xdr:col>
      <xdr:colOff>3440296</xdr:colOff>
      <xdr:row>374</xdr:row>
      <xdr:rowOff>24847</xdr:rowOff>
    </xdr:from>
    <xdr:ext cx="1778396" cy="1517119"/>
    <xdr:pic>
      <xdr:nvPicPr>
        <xdr:cNvPr id="11" name="Imagen 10">
          <a:extLst>
            <a:ext uri="{FF2B5EF4-FFF2-40B4-BE49-F238E27FC236}">
              <a16:creationId xmlns:a16="http://schemas.microsoft.com/office/drawing/2014/main" id="{EEE82493-55A0-48AD-A648-FD85FBF76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41036" y="68421967"/>
          <a:ext cx="1778396" cy="1517119"/>
        </a:xfrm>
        <a:prstGeom prst="rect">
          <a:avLst/>
        </a:prstGeom>
      </xdr:spPr>
    </xdr:pic>
    <xdr:clientData/>
  </xdr:oneCellAnchor>
  <xdr:oneCellAnchor>
    <xdr:from>
      <xdr:col>1</xdr:col>
      <xdr:colOff>2211456</xdr:colOff>
      <xdr:row>375</xdr:row>
      <xdr:rowOff>149555</xdr:rowOff>
    </xdr:from>
    <xdr:ext cx="992786" cy="664595"/>
    <xdr:pic>
      <xdr:nvPicPr>
        <xdr:cNvPr id="12" name="Imagen 11">
          <a:extLst>
            <a:ext uri="{FF2B5EF4-FFF2-40B4-BE49-F238E27FC236}">
              <a16:creationId xmlns:a16="http://schemas.microsoft.com/office/drawing/2014/main" id="{B37C7EBB-5FBE-497E-B8DB-905BD3A43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39016" y="68729555"/>
          <a:ext cx="992786" cy="664595"/>
        </a:xfrm>
        <a:prstGeom prst="rect">
          <a:avLst/>
        </a:prstGeom>
      </xdr:spPr>
    </xdr:pic>
    <xdr:clientData/>
  </xdr:oneCellAnchor>
  <xdr:oneCellAnchor>
    <xdr:from>
      <xdr:col>1</xdr:col>
      <xdr:colOff>3448274</xdr:colOff>
      <xdr:row>383</xdr:row>
      <xdr:rowOff>8282</xdr:rowOff>
    </xdr:from>
    <xdr:ext cx="1806051" cy="1517119"/>
    <xdr:pic>
      <xdr:nvPicPr>
        <xdr:cNvPr id="13" name="Imagen 12">
          <a:extLst>
            <a:ext uri="{FF2B5EF4-FFF2-40B4-BE49-F238E27FC236}">
              <a16:creationId xmlns:a16="http://schemas.microsoft.com/office/drawing/2014/main" id="{9FBBB41A-AEA6-4583-8155-5750BBAA2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33774" y="70051322"/>
          <a:ext cx="1806051" cy="1517119"/>
        </a:xfrm>
        <a:prstGeom prst="rect">
          <a:avLst/>
        </a:prstGeom>
      </xdr:spPr>
    </xdr:pic>
    <xdr:clientData/>
  </xdr:oneCellAnchor>
  <xdr:oneCellAnchor>
    <xdr:from>
      <xdr:col>1</xdr:col>
      <xdr:colOff>2285997</xdr:colOff>
      <xdr:row>385</xdr:row>
      <xdr:rowOff>9848</xdr:rowOff>
    </xdr:from>
    <xdr:ext cx="937346" cy="641439"/>
    <xdr:pic>
      <xdr:nvPicPr>
        <xdr:cNvPr id="14" name="Imagen 13">
          <a:extLst>
            <a:ext uri="{FF2B5EF4-FFF2-40B4-BE49-F238E27FC236}">
              <a16:creationId xmlns:a16="http://schemas.microsoft.com/office/drawing/2014/main" id="{16054A53-DF6C-41DC-BEA8-E5C087D10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37357" y="70418648"/>
          <a:ext cx="937346" cy="641439"/>
        </a:xfrm>
        <a:prstGeom prst="rect">
          <a:avLst/>
        </a:prstGeom>
      </xdr:spPr>
    </xdr:pic>
    <xdr:clientData/>
  </xdr:oneCellAnchor>
  <xdr:oneCellAnchor>
    <xdr:from>
      <xdr:col>1</xdr:col>
      <xdr:colOff>3520107</xdr:colOff>
      <xdr:row>394</xdr:row>
      <xdr:rowOff>78406</xdr:rowOff>
    </xdr:from>
    <xdr:ext cx="1550415" cy="787827"/>
    <xdr:pic>
      <xdr:nvPicPr>
        <xdr:cNvPr id="15" name="Imagen 14">
          <a:extLst>
            <a:ext uri="{FF2B5EF4-FFF2-40B4-BE49-F238E27FC236}">
              <a16:creationId xmlns:a16="http://schemas.microsoft.com/office/drawing/2014/main" id="{FE1DDCB9-E885-4AB3-A9D5-EC2B4BAD5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37027" y="72133126"/>
          <a:ext cx="1550415" cy="787827"/>
        </a:xfrm>
        <a:prstGeom prst="rect">
          <a:avLst/>
        </a:prstGeom>
      </xdr:spPr>
    </xdr:pic>
    <xdr:clientData/>
  </xdr:oneCellAnchor>
  <xdr:oneCellAnchor>
    <xdr:from>
      <xdr:col>1</xdr:col>
      <xdr:colOff>3560489</xdr:colOff>
      <xdr:row>400</xdr:row>
      <xdr:rowOff>28671</xdr:rowOff>
    </xdr:from>
    <xdr:ext cx="1531098" cy="812714"/>
    <xdr:pic>
      <xdr:nvPicPr>
        <xdr:cNvPr id="16" name="Imagen 15">
          <a:extLst>
            <a:ext uri="{FF2B5EF4-FFF2-40B4-BE49-F238E27FC236}">
              <a16:creationId xmlns:a16="http://schemas.microsoft.com/office/drawing/2014/main" id="{647BD3A3-FDFE-4C01-84A3-2CC1A83A1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739309" y="73180671"/>
          <a:ext cx="1531098" cy="812714"/>
        </a:xfrm>
        <a:prstGeom prst="rect">
          <a:avLst/>
        </a:prstGeom>
      </xdr:spPr>
    </xdr:pic>
    <xdr:clientData/>
  </xdr:oneCellAnchor>
  <xdr:oneCellAnchor>
    <xdr:from>
      <xdr:col>1</xdr:col>
      <xdr:colOff>3565177</xdr:colOff>
      <xdr:row>406</xdr:row>
      <xdr:rowOff>36840</xdr:rowOff>
    </xdr:from>
    <xdr:ext cx="1487214" cy="820213"/>
    <xdr:pic>
      <xdr:nvPicPr>
        <xdr:cNvPr id="17" name="Imagen 16">
          <a:extLst>
            <a:ext uri="{FF2B5EF4-FFF2-40B4-BE49-F238E27FC236}">
              <a16:creationId xmlns:a16="http://schemas.microsoft.com/office/drawing/2014/main" id="{C3BE1054-34C3-4EEE-BF1F-0D4B8950A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736377" y="74286120"/>
          <a:ext cx="1487214" cy="820213"/>
        </a:xfrm>
        <a:prstGeom prst="rect">
          <a:avLst/>
        </a:prstGeom>
      </xdr:spPr>
    </xdr:pic>
    <xdr:clientData/>
  </xdr:oneCellAnchor>
  <xdr:oneCellAnchor>
    <xdr:from>
      <xdr:col>1</xdr:col>
      <xdr:colOff>3544956</xdr:colOff>
      <xdr:row>412</xdr:row>
      <xdr:rowOff>57976</xdr:rowOff>
    </xdr:from>
    <xdr:ext cx="1508248" cy="808441"/>
    <xdr:pic>
      <xdr:nvPicPr>
        <xdr:cNvPr id="18" name="Imagen 17">
          <a:extLst>
            <a:ext uri="{FF2B5EF4-FFF2-40B4-BE49-F238E27FC236}">
              <a16:creationId xmlns:a16="http://schemas.microsoft.com/office/drawing/2014/main" id="{9E1C6ACC-8AB9-4050-B760-F37998C39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39016" y="75404536"/>
          <a:ext cx="1508248" cy="80844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369630</xdr:colOff>
      <xdr:row>8</xdr:row>
      <xdr:rowOff>121991</xdr:rowOff>
    </xdr:from>
    <xdr:to>
      <xdr:col>7</xdr:col>
      <xdr:colOff>606305</xdr:colOff>
      <xdr:row>10</xdr:row>
      <xdr:rowOff>40561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DD237B02-CF9A-4158-B885-4E62F511AC26}"/>
            </a:ext>
          </a:extLst>
        </xdr:cNvPr>
        <xdr:cNvGrpSpPr/>
      </xdr:nvGrpSpPr>
      <xdr:grpSpPr>
        <a:xfrm rot="16200000">
          <a:off x="3644718" y="901831"/>
          <a:ext cx="299570" cy="2196104"/>
          <a:chOff x="3663416" y="12887164"/>
          <a:chExt cx="543483" cy="518235"/>
        </a:xfrm>
      </xdr:grpSpPr>
      <xdr:cxnSp macro="">
        <xdr:nvCxnSpPr>
          <xdr:cNvPr id="3" name="Conector recto 2">
            <a:extLst>
              <a:ext uri="{FF2B5EF4-FFF2-40B4-BE49-F238E27FC236}">
                <a16:creationId xmlns:a16="http://schemas.microsoft.com/office/drawing/2014/main" id="{218184C1-9DF2-4732-99A0-CD1335A6BAE3}"/>
              </a:ext>
            </a:extLst>
          </xdr:cNvPr>
          <xdr:cNvCxnSpPr/>
        </xdr:nvCxnSpPr>
        <xdr:spPr>
          <a:xfrm flipV="1">
            <a:off x="3663416" y="13403993"/>
            <a:ext cx="535708" cy="140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Conector recto 3">
            <a:extLst>
              <a:ext uri="{FF2B5EF4-FFF2-40B4-BE49-F238E27FC236}">
                <a16:creationId xmlns:a16="http://schemas.microsoft.com/office/drawing/2014/main" id="{7E732715-9540-4028-9871-822FA88BAC63}"/>
              </a:ext>
            </a:extLst>
          </xdr:cNvPr>
          <xdr:cNvCxnSpPr/>
        </xdr:nvCxnSpPr>
        <xdr:spPr>
          <a:xfrm>
            <a:off x="4206671" y="12887164"/>
            <a:ext cx="228" cy="51682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433599</xdr:colOff>
      <xdr:row>13</xdr:row>
      <xdr:rowOff>176924</xdr:rowOff>
    </xdr:from>
    <xdr:to>
      <xdr:col>4</xdr:col>
      <xdr:colOff>682229</xdr:colOff>
      <xdr:row>15</xdr:row>
      <xdr:rowOff>135056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E6C1406D-7D74-49DA-B3B0-40920235C634}"/>
            </a:ext>
          </a:extLst>
        </xdr:cNvPr>
        <xdr:cNvCxnSpPr/>
      </xdr:nvCxnSpPr>
      <xdr:spPr>
        <a:xfrm flipV="1">
          <a:off x="3603519" y="2554364"/>
          <a:ext cx="248630" cy="323892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667450</xdr:colOff>
      <xdr:row>13</xdr:row>
      <xdr:rowOff>177705</xdr:rowOff>
    </xdr:from>
    <xdr:to>
      <xdr:col>5</xdr:col>
      <xdr:colOff>604198</xdr:colOff>
      <xdr:row>13</xdr:row>
      <xdr:rowOff>188039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5FCA787D-AA16-4FB3-818B-44FF3B792126}"/>
            </a:ext>
          </a:extLst>
        </xdr:cNvPr>
        <xdr:cNvCxnSpPr/>
      </xdr:nvCxnSpPr>
      <xdr:spPr>
        <a:xfrm flipV="1">
          <a:off x="3837370" y="2555145"/>
          <a:ext cx="729228" cy="271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383844</xdr:colOff>
      <xdr:row>8</xdr:row>
      <xdr:rowOff>114883</xdr:rowOff>
    </xdr:from>
    <xdr:to>
      <xdr:col>4</xdr:col>
      <xdr:colOff>383846</xdr:colOff>
      <xdr:row>9</xdr:row>
      <xdr:rowOff>177704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AFE07AFD-456E-4084-913D-F786A2AC5ED1}"/>
            </a:ext>
          </a:extLst>
        </xdr:cNvPr>
        <xdr:cNvCxnSpPr/>
      </xdr:nvCxnSpPr>
      <xdr:spPr>
        <a:xfrm flipV="1">
          <a:off x="3553764" y="1577923"/>
          <a:ext cx="2" cy="245701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540224</xdr:colOff>
      <xdr:row>15</xdr:row>
      <xdr:rowOff>127948</xdr:rowOff>
    </xdr:from>
    <xdr:to>
      <xdr:col>4</xdr:col>
      <xdr:colOff>447817</xdr:colOff>
      <xdr:row>15</xdr:row>
      <xdr:rowOff>142164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8D77CACE-A1AA-414F-9A0F-467D39531D48}"/>
            </a:ext>
          </a:extLst>
        </xdr:cNvPr>
        <xdr:cNvCxnSpPr/>
      </xdr:nvCxnSpPr>
      <xdr:spPr>
        <a:xfrm flipV="1">
          <a:off x="2917664" y="2871148"/>
          <a:ext cx="700073" cy="14216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540224</xdr:colOff>
      <xdr:row>14</xdr:row>
      <xdr:rowOff>156381</xdr:rowOff>
    </xdr:from>
    <xdr:to>
      <xdr:col>3</xdr:col>
      <xdr:colOff>540224</xdr:colOff>
      <xdr:row>15</xdr:row>
      <xdr:rowOff>142164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167EC978-640A-431E-9090-0D5896880DE0}"/>
            </a:ext>
          </a:extLst>
        </xdr:cNvPr>
        <xdr:cNvCxnSpPr/>
      </xdr:nvCxnSpPr>
      <xdr:spPr>
        <a:xfrm flipV="1">
          <a:off x="2917664" y="2716701"/>
          <a:ext cx="0" cy="168663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201439</xdr:colOff>
      <xdr:row>13</xdr:row>
      <xdr:rowOff>166616</xdr:rowOff>
    </xdr:from>
    <xdr:to>
      <xdr:col>7</xdr:col>
      <xdr:colOff>138187</xdr:colOff>
      <xdr:row>13</xdr:row>
      <xdr:rowOff>176950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BCF418B4-753E-4EB4-B1C3-65ADDBED7C7D}"/>
            </a:ext>
          </a:extLst>
        </xdr:cNvPr>
        <xdr:cNvCxnSpPr/>
      </xdr:nvCxnSpPr>
      <xdr:spPr>
        <a:xfrm flipV="1">
          <a:off x="4956319" y="2544056"/>
          <a:ext cx="729228" cy="1033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123811</xdr:colOff>
      <xdr:row>13</xdr:row>
      <xdr:rowOff>165835</xdr:rowOff>
    </xdr:from>
    <xdr:to>
      <xdr:col>7</xdr:col>
      <xdr:colOff>433604</xdr:colOff>
      <xdr:row>15</xdr:row>
      <xdr:rowOff>63974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75A774E3-0A48-42EB-937A-41DDA9E36725}"/>
            </a:ext>
          </a:extLst>
        </xdr:cNvPr>
        <xdr:cNvCxnSpPr/>
      </xdr:nvCxnSpPr>
      <xdr:spPr>
        <a:xfrm flipH="1" flipV="1">
          <a:off x="5671171" y="2543275"/>
          <a:ext cx="309793" cy="263899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422515</xdr:colOff>
      <xdr:row>15</xdr:row>
      <xdr:rowOff>59993</xdr:rowOff>
    </xdr:from>
    <xdr:to>
      <xdr:col>8</xdr:col>
      <xdr:colOff>330108</xdr:colOff>
      <xdr:row>15</xdr:row>
      <xdr:rowOff>74209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04D69DFD-3750-4B8D-AF53-E3D220DB5134}"/>
            </a:ext>
          </a:extLst>
        </xdr:cNvPr>
        <xdr:cNvCxnSpPr/>
      </xdr:nvCxnSpPr>
      <xdr:spPr>
        <a:xfrm flipV="1">
          <a:off x="5969875" y="2803193"/>
          <a:ext cx="700073" cy="14216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330109</xdr:colOff>
      <xdr:row>14</xdr:row>
      <xdr:rowOff>78190</xdr:rowOff>
    </xdr:from>
    <xdr:to>
      <xdr:col>8</xdr:col>
      <xdr:colOff>334086</xdr:colOff>
      <xdr:row>15</xdr:row>
      <xdr:rowOff>52885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D2AD4D5B-5A97-41FF-97FE-C0E8593F980A}"/>
            </a:ext>
          </a:extLst>
        </xdr:cNvPr>
        <xdr:cNvCxnSpPr/>
      </xdr:nvCxnSpPr>
      <xdr:spPr>
        <a:xfrm flipV="1">
          <a:off x="6669949" y="2638510"/>
          <a:ext cx="3977" cy="157575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369630</xdr:colOff>
      <xdr:row>19</xdr:row>
      <xdr:rowOff>121991</xdr:rowOff>
    </xdr:from>
    <xdr:to>
      <xdr:col>7</xdr:col>
      <xdr:colOff>606305</xdr:colOff>
      <xdr:row>21</xdr:row>
      <xdr:rowOff>40561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A138C636-A81D-4AB3-9A13-03020CFD32C6}"/>
            </a:ext>
          </a:extLst>
        </xdr:cNvPr>
        <xdr:cNvGrpSpPr/>
      </xdr:nvGrpSpPr>
      <xdr:grpSpPr>
        <a:xfrm rot="16200000">
          <a:off x="3644718" y="2997331"/>
          <a:ext cx="299570" cy="2196104"/>
          <a:chOff x="3663416" y="12887164"/>
          <a:chExt cx="543483" cy="518235"/>
        </a:xfrm>
      </xdr:grpSpPr>
      <xdr:cxnSp macro="">
        <xdr:nvCxnSpPr>
          <xdr:cNvPr id="15" name="Conector recto 14">
            <a:extLst>
              <a:ext uri="{FF2B5EF4-FFF2-40B4-BE49-F238E27FC236}">
                <a16:creationId xmlns:a16="http://schemas.microsoft.com/office/drawing/2014/main" id="{91DB1395-3C41-4CE8-BB24-9095BF5ABA1C}"/>
              </a:ext>
            </a:extLst>
          </xdr:cNvPr>
          <xdr:cNvCxnSpPr/>
        </xdr:nvCxnSpPr>
        <xdr:spPr>
          <a:xfrm flipV="1">
            <a:off x="3663416" y="13403993"/>
            <a:ext cx="535708" cy="140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ector recto 15">
            <a:extLst>
              <a:ext uri="{FF2B5EF4-FFF2-40B4-BE49-F238E27FC236}">
                <a16:creationId xmlns:a16="http://schemas.microsoft.com/office/drawing/2014/main" id="{22BA4727-9E59-4901-8201-5404969E79CC}"/>
              </a:ext>
            </a:extLst>
          </xdr:cNvPr>
          <xdr:cNvCxnSpPr/>
        </xdr:nvCxnSpPr>
        <xdr:spPr>
          <a:xfrm>
            <a:off x="4206671" y="12887164"/>
            <a:ext cx="228" cy="51682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383844</xdr:colOff>
      <xdr:row>19</xdr:row>
      <xdr:rowOff>114883</xdr:rowOff>
    </xdr:from>
    <xdr:to>
      <xdr:col>4</xdr:col>
      <xdr:colOff>383846</xdr:colOff>
      <xdr:row>20</xdr:row>
      <xdr:rowOff>177704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36F6F5FE-A291-4E2F-8F83-6996313FDDD2}"/>
            </a:ext>
          </a:extLst>
        </xdr:cNvPr>
        <xdr:cNvCxnSpPr/>
      </xdr:nvCxnSpPr>
      <xdr:spPr>
        <a:xfrm flipV="1">
          <a:off x="3553764" y="3589603"/>
          <a:ext cx="2" cy="245701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433599</xdr:colOff>
      <xdr:row>24</xdr:row>
      <xdr:rowOff>176924</xdr:rowOff>
    </xdr:from>
    <xdr:to>
      <xdr:col>4</xdr:col>
      <xdr:colOff>682229</xdr:colOff>
      <xdr:row>26</xdr:row>
      <xdr:rowOff>135056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A5508BDA-2196-409C-A2C7-C5DC5C71013B}"/>
            </a:ext>
          </a:extLst>
        </xdr:cNvPr>
        <xdr:cNvCxnSpPr/>
      </xdr:nvCxnSpPr>
      <xdr:spPr>
        <a:xfrm flipV="1">
          <a:off x="3603519" y="4566044"/>
          <a:ext cx="248630" cy="323892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667450</xdr:colOff>
      <xdr:row>24</xdr:row>
      <xdr:rowOff>177705</xdr:rowOff>
    </xdr:from>
    <xdr:to>
      <xdr:col>5</xdr:col>
      <xdr:colOff>604198</xdr:colOff>
      <xdr:row>24</xdr:row>
      <xdr:rowOff>188039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881AD618-49A7-4B6C-A3BB-A54B1D3FD1A9}"/>
            </a:ext>
          </a:extLst>
        </xdr:cNvPr>
        <xdr:cNvCxnSpPr/>
      </xdr:nvCxnSpPr>
      <xdr:spPr>
        <a:xfrm flipV="1">
          <a:off x="3837370" y="4566825"/>
          <a:ext cx="729228" cy="271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540224</xdr:colOff>
      <xdr:row>26</xdr:row>
      <xdr:rowOff>127948</xdr:rowOff>
    </xdr:from>
    <xdr:to>
      <xdr:col>4</xdr:col>
      <xdr:colOff>447817</xdr:colOff>
      <xdr:row>26</xdr:row>
      <xdr:rowOff>142164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EDC136E7-A869-4068-B8D0-BB1E03314FFC}"/>
            </a:ext>
          </a:extLst>
        </xdr:cNvPr>
        <xdr:cNvCxnSpPr/>
      </xdr:nvCxnSpPr>
      <xdr:spPr>
        <a:xfrm flipV="1">
          <a:off x="2917664" y="4882828"/>
          <a:ext cx="700073" cy="14216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540224</xdr:colOff>
      <xdr:row>25</xdr:row>
      <xdr:rowOff>156381</xdr:rowOff>
    </xdr:from>
    <xdr:to>
      <xdr:col>3</xdr:col>
      <xdr:colOff>540224</xdr:colOff>
      <xdr:row>26</xdr:row>
      <xdr:rowOff>142164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9FD1CE58-AEE8-43A4-886D-84F33CE4AB53}"/>
            </a:ext>
          </a:extLst>
        </xdr:cNvPr>
        <xdr:cNvCxnSpPr/>
      </xdr:nvCxnSpPr>
      <xdr:spPr>
        <a:xfrm flipV="1">
          <a:off x="2917664" y="4728381"/>
          <a:ext cx="0" cy="168663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201439</xdr:colOff>
      <xdr:row>24</xdr:row>
      <xdr:rowOff>166616</xdr:rowOff>
    </xdr:from>
    <xdr:to>
      <xdr:col>7</xdr:col>
      <xdr:colOff>138187</xdr:colOff>
      <xdr:row>24</xdr:row>
      <xdr:rowOff>176950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E62DFCE5-1F83-4293-B40B-4875D91EB233}"/>
            </a:ext>
          </a:extLst>
        </xdr:cNvPr>
        <xdr:cNvCxnSpPr/>
      </xdr:nvCxnSpPr>
      <xdr:spPr>
        <a:xfrm flipV="1">
          <a:off x="4956319" y="4555736"/>
          <a:ext cx="729228" cy="1033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123811</xdr:colOff>
      <xdr:row>24</xdr:row>
      <xdr:rowOff>165835</xdr:rowOff>
    </xdr:from>
    <xdr:to>
      <xdr:col>7</xdr:col>
      <xdr:colOff>433604</xdr:colOff>
      <xdr:row>26</xdr:row>
      <xdr:rowOff>63974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8FEE9DC2-5E21-46FD-8B81-CC246F2FD20D}"/>
            </a:ext>
          </a:extLst>
        </xdr:cNvPr>
        <xdr:cNvCxnSpPr/>
      </xdr:nvCxnSpPr>
      <xdr:spPr>
        <a:xfrm flipH="1" flipV="1">
          <a:off x="5671171" y="4554955"/>
          <a:ext cx="309793" cy="263899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422515</xdr:colOff>
      <xdr:row>26</xdr:row>
      <xdr:rowOff>59993</xdr:rowOff>
    </xdr:from>
    <xdr:to>
      <xdr:col>8</xdr:col>
      <xdr:colOff>330108</xdr:colOff>
      <xdr:row>26</xdr:row>
      <xdr:rowOff>74209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8B4ADF5E-EBF0-4872-AAB2-2B36F0A4C862}"/>
            </a:ext>
          </a:extLst>
        </xdr:cNvPr>
        <xdr:cNvCxnSpPr/>
      </xdr:nvCxnSpPr>
      <xdr:spPr>
        <a:xfrm flipV="1">
          <a:off x="5969875" y="4814873"/>
          <a:ext cx="700073" cy="14216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330109</xdr:colOff>
      <xdr:row>25</xdr:row>
      <xdr:rowOff>78190</xdr:rowOff>
    </xdr:from>
    <xdr:to>
      <xdr:col>8</xdr:col>
      <xdr:colOff>334086</xdr:colOff>
      <xdr:row>26</xdr:row>
      <xdr:rowOff>52885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F3D7598E-60CE-43F7-813B-093AA518DE04}"/>
            </a:ext>
          </a:extLst>
        </xdr:cNvPr>
        <xdr:cNvCxnSpPr/>
      </xdr:nvCxnSpPr>
      <xdr:spPr>
        <a:xfrm flipV="1">
          <a:off x="6669949" y="4650190"/>
          <a:ext cx="3977" cy="157575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2087</xdr:colOff>
      <xdr:row>30</xdr:row>
      <xdr:rowOff>129452</xdr:rowOff>
    </xdr:from>
    <xdr:to>
      <xdr:col>8</xdr:col>
      <xdr:colOff>183509</xdr:colOff>
      <xdr:row>32</xdr:row>
      <xdr:rowOff>17481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2382ED8B-4BED-498A-A13E-8BFEDFED0A34}"/>
            </a:ext>
          </a:extLst>
        </xdr:cNvPr>
        <xdr:cNvGrpSpPr/>
      </xdr:nvGrpSpPr>
      <xdr:grpSpPr>
        <a:xfrm rot="16200000">
          <a:off x="3591390" y="4786077"/>
          <a:ext cx="269029" cy="2793994"/>
          <a:chOff x="3718186" y="12887164"/>
          <a:chExt cx="488713" cy="517346"/>
        </a:xfrm>
      </xdr:grpSpPr>
      <xdr:cxnSp macro="">
        <xdr:nvCxnSpPr>
          <xdr:cNvPr id="27" name="Conector recto 26">
            <a:extLst>
              <a:ext uri="{FF2B5EF4-FFF2-40B4-BE49-F238E27FC236}">
                <a16:creationId xmlns:a16="http://schemas.microsoft.com/office/drawing/2014/main" id="{DB73942C-D43D-4107-A012-EA0433BFAE80}"/>
              </a:ext>
            </a:extLst>
          </xdr:cNvPr>
          <xdr:cNvCxnSpPr/>
        </xdr:nvCxnSpPr>
        <xdr:spPr>
          <a:xfrm rot="5400000" flipH="1" flipV="1">
            <a:off x="3958397" y="13163782"/>
            <a:ext cx="517" cy="480939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Conector recto 27">
            <a:extLst>
              <a:ext uri="{FF2B5EF4-FFF2-40B4-BE49-F238E27FC236}">
                <a16:creationId xmlns:a16="http://schemas.microsoft.com/office/drawing/2014/main" id="{C7405424-7323-490E-8D64-475255637C21}"/>
              </a:ext>
            </a:extLst>
          </xdr:cNvPr>
          <xdr:cNvCxnSpPr/>
        </xdr:nvCxnSpPr>
        <xdr:spPr>
          <a:xfrm>
            <a:off x="4206671" y="12887164"/>
            <a:ext cx="228" cy="51682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599689</xdr:colOff>
      <xdr:row>30</xdr:row>
      <xdr:rowOff>139816</xdr:rowOff>
    </xdr:from>
    <xdr:to>
      <xdr:col>3</xdr:col>
      <xdr:colOff>602959</xdr:colOff>
      <xdr:row>32</xdr:row>
      <xdr:rowOff>1655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D14764AD-06E2-41CB-AD42-74E7EAFDCD5E}"/>
            </a:ext>
          </a:extLst>
        </xdr:cNvPr>
        <xdr:cNvCxnSpPr/>
      </xdr:nvCxnSpPr>
      <xdr:spPr>
        <a:xfrm flipV="1">
          <a:off x="2977129" y="5626216"/>
          <a:ext cx="3270" cy="227599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143659</xdr:colOff>
      <xdr:row>31</xdr:row>
      <xdr:rowOff>133295</xdr:rowOff>
    </xdr:from>
    <xdr:to>
      <xdr:col>7</xdr:col>
      <xdr:colOff>528154</xdr:colOff>
      <xdr:row>33</xdr:row>
      <xdr:rowOff>0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821B4E84-D28D-470A-8BA6-3DE177924F33}"/>
            </a:ext>
          </a:extLst>
        </xdr:cNvPr>
        <xdr:cNvGrpSpPr/>
      </xdr:nvGrpSpPr>
      <xdr:grpSpPr>
        <a:xfrm rot="16200000">
          <a:off x="3518589" y="5194793"/>
          <a:ext cx="247705" cy="2343924"/>
          <a:chOff x="3718186" y="12887164"/>
          <a:chExt cx="488713" cy="517346"/>
        </a:xfrm>
      </xdr:grpSpPr>
      <xdr:cxnSp macro="">
        <xdr:nvCxnSpPr>
          <xdr:cNvPr id="31" name="Conector recto 30">
            <a:extLst>
              <a:ext uri="{FF2B5EF4-FFF2-40B4-BE49-F238E27FC236}">
                <a16:creationId xmlns:a16="http://schemas.microsoft.com/office/drawing/2014/main" id="{8AF39C81-6631-4AE3-B090-DEFA1005A5A2}"/>
              </a:ext>
            </a:extLst>
          </xdr:cNvPr>
          <xdr:cNvCxnSpPr/>
        </xdr:nvCxnSpPr>
        <xdr:spPr>
          <a:xfrm rot="5400000" flipH="1" flipV="1">
            <a:off x="3958397" y="13163782"/>
            <a:ext cx="517" cy="480939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Conector recto 31">
            <a:extLst>
              <a:ext uri="{FF2B5EF4-FFF2-40B4-BE49-F238E27FC236}">
                <a16:creationId xmlns:a16="http://schemas.microsoft.com/office/drawing/2014/main" id="{7759450D-8A9F-4DAF-AA96-30F0E9771A86}"/>
              </a:ext>
            </a:extLst>
          </xdr:cNvPr>
          <xdr:cNvCxnSpPr/>
        </xdr:nvCxnSpPr>
        <xdr:spPr>
          <a:xfrm>
            <a:off x="4206671" y="12887164"/>
            <a:ext cx="228" cy="51682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157875</xdr:colOff>
      <xdr:row>31</xdr:row>
      <xdr:rowOff>143662</xdr:rowOff>
    </xdr:from>
    <xdr:to>
      <xdr:col>4</xdr:col>
      <xdr:colOff>157877</xdr:colOff>
      <xdr:row>33</xdr:row>
      <xdr:rowOff>0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2C5C961F-B03C-44EB-893F-0935B5645BC4}"/>
            </a:ext>
          </a:extLst>
        </xdr:cNvPr>
        <xdr:cNvCxnSpPr/>
      </xdr:nvCxnSpPr>
      <xdr:spPr>
        <a:xfrm flipV="1">
          <a:off x="3327795" y="5812942"/>
          <a:ext cx="2" cy="222098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541784</xdr:colOff>
      <xdr:row>35</xdr:row>
      <xdr:rowOff>69910</xdr:rowOff>
    </xdr:from>
    <xdr:to>
      <xdr:col>5</xdr:col>
      <xdr:colOff>61165</xdr:colOff>
      <xdr:row>40</xdr:row>
      <xdr:rowOff>129215</xdr:rowOff>
    </xdr:to>
    <xdr:grpSp>
      <xdr:nvGrpSpPr>
        <xdr:cNvPr id="34" name="Grupo 33">
          <a:extLst>
            <a:ext uri="{FF2B5EF4-FFF2-40B4-BE49-F238E27FC236}">
              <a16:creationId xmlns:a16="http://schemas.microsoft.com/office/drawing/2014/main" id="{271D3ED6-3B70-475F-90E6-D3DE72450ECA}"/>
            </a:ext>
          </a:extLst>
        </xdr:cNvPr>
        <xdr:cNvGrpSpPr/>
      </xdr:nvGrpSpPr>
      <xdr:grpSpPr>
        <a:xfrm>
          <a:off x="2868605" y="6941517"/>
          <a:ext cx="172524" cy="1011805"/>
          <a:chOff x="3469197" y="7759817"/>
          <a:chExt cx="279633" cy="1020543"/>
        </a:xfrm>
      </xdr:grpSpPr>
      <xdr:grpSp>
        <xdr:nvGrpSpPr>
          <xdr:cNvPr id="35" name="Grupo 34">
            <a:extLst>
              <a:ext uri="{FF2B5EF4-FFF2-40B4-BE49-F238E27FC236}">
                <a16:creationId xmlns:a16="http://schemas.microsoft.com/office/drawing/2014/main" id="{5DA878E6-8EE6-49E1-8A1E-13B8D1E6337D}"/>
              </a:ext>
            </a:extLst>
          </xdr:cNvPr>
          <xdr:cNvGrpSpPr/>
        </xdr:nvGrpSpPr>
        <xdr:grpSpPr>
          <a:xfrm>
            <a:off x="3476069" y="7759817"/>
            <a:ext cx="272524" cy="1020543"/>
            <a:chOff x="3718186" y="12887164"/>
            <a:chExt cx="488713" cy="517346"/>
          </a:xfrm>
        </xdr:grpSpPr>
        <xdr:cxnSp macro="">
          <xdr:nvCxnSpPr>
            <xdr:cNvPr id="37" name="Conector recto 36">
              <a:extLst>
                <a:ext uri="{FF2B5EF4-FFF2-40B4-BE49-F238E27FC236}">
                  <a16:creationId xmlns:a16="http://schemas.microsoft.com/office/drawing/2014/main" id="{C6315E2A-BEE2-44A6-A1E5-B843709AB3A4}"/>
                </a:ext>
              </a:extLst>
            </xdr:cNvPr>
            <xdr:cNvCxnSpPr/>
          </xdr:nvCxnSpPr>
          <xdr:spPr>
            <a:xfrm rot="5400000" flipH="1" flipV="1">
              <a:off x="3958397" y="13163782"/>
              <a:ext cx="517" cy="480939"/>
            </a:xfrm>
            <a:prstGeom prst="line">
              <a:avLst/>
            </a:prstGeom>
            <a:ln w="2222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" name="Conector recto 37">
              <a:extLst>
                <a:ext uri="{FF2B5EF4-FFF2-40B4-BE49-F238E27FC236}">
                  <a16:creationId xmlns:a16="http://schemas.microsoft.com/office/drawing/2014/main" id="{1034085F-AECD-43D6-AA93-C33840F037CE}"/>
                </a:ext>
              </a:extLst>
            </xdr:cNvPr>
            <xdr:cNvCxnSpPr/>
          </xdr:nvCxnSpPr>
          <xdr:spPr>
            <a:xfrm>
              <a:off x="4206671" y="12887164"/>
              <a:ext cx="228" cy="516826"/>
            </a:xfrm>
            <a:prstGeom prst="line">
              <a:avLst/>
            </a:prstGeom>
            <a:ln w="2222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36" name="Conector recto 35">
            <a:extLst>
              <a:ext uri="{FF2B5EF4-FFF2-40B4-BE49-F238E27FC236}">
                <a16:creationId xmlns:a16="http://schemas.microsoft.com/office/drawing/2014/main" id="{78644DAC-433A-4496-A660-85421795D872}"/>
              </a:ext>
            </a:extLst>
          </xdr:cNvPr>
          <xdr:cNvCxnSpPr/>
        </xdr:nvCxnSpPr>
        <xdr:spPr>
          <a:xfrm flipV="1">
            <a:off x="3469197" y="7759817"/>
            <a:ext cx="279633" cy="8737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194230</xdr:colOff>
      <xdr:row>35</xdr:row>
      <xdr:rowOff>82494</xdr:rowOff>
    </xdr:from>
    <xdr:to>
      <xdr:col>5</xdr:col>
      <xdr:colOff>475730</xdr:colOff>
      <xdr:row>40</xdr:row>
      <xdr:rowOff>141799</xdr:rowOff>
    </xdr:to>
    <xdr:grpSp>
      <xdr:nvGrpSpPr>
        <xdr:cNvPr id="39" name="Grupo 38">
          <a:extLst>
            <a:ext uri="{FF2B5EF4-FFF2-40B4-BE49-F238E27FC236}">
              <a16:creationId xmlns:a16="http://schemas.microsoft.com/office/drawing/2014/main" id="{759792F2-978F-42EF-8F06-1D15C443E607}"/>
            </a:ext>
          </a:extLst>
        </xdr:cNvPr>
        <xdr:cNvGrpSpPr/>
      </xdr:nvGrpSpPr>
      <xdr:grpSpPr>
        <a:xfrm>
          <a:off x="3174194" y="6954101"/>
          <a:ext cx="281500" cy="1011805"/>
          <a:chOff x="3738233" y="7759817"/>
          <a:chExt cx="281500" cy="1020543"/>
        </a:xfrm>
      </xdr:grpSpPr>
      <xdr:grpSp>
        <xdr:nvGrpSpPr>
          <xdr:cNvPr id="40" name="Grupo 39">
            <a:extLst>
              <a:ext uri="{FF2B5EF4-FFF2-40B4-BE49-F238E27FC236}">
                <a16:creationId xmlns:a16="http://schemas.microsoft.com/office/drawing/2014/main" id="{98E95C46-607A-42AE-813E-FDC12ED21C64}"/>
              </a:ext>
            </a:extLst>
          </xdr:cNvPr>
          <xdr:cNvGrpSpPr/>
        </xdr:nvGrpSpPr>
        <xdr:grpSpPr>
          <a:xfrm>
            <a:off x="3738233" y="7759817"/>
            <a:ext cx="268189" cy="1020543"/>
            <a:chOff x="4188324" y="12887164"/>
            <a:chExt cx="480939" cy="517346"/>
          </a:xfrm>
        </xdr:grpSpPr>
        <xdr:cxnSp macro="">
          <xdr:nvCxnSpPr>
            <xdr:cNvPr id="42" name="Conector recto 41">
              <a:extLst>
                <a:ext uri="{FF2B5EF4-FFF2-40B4-BE49-F238E27FC236}">
                  <a16:creationId xmlns:a16="http://schemas.microsoft.com/office/drawing/2014/main" id="{60D594DE-909D-48F1-8239-2C455E2B048D}"/>
                </a:ext>
              </a:extLst>
            </xdr:cNvPr>
            <xdr:cNvCxnSpPr/>
          </xdr:nvCxnSpPr>
          <xdr:spPr>
            <a:xfrm rot="5400000" flipH="1" flipV="1">
              <a:off x="4428535" y="13163782"/>
              <a:ext cx="517" cy="480939"/>
            </a:xfrm>
            <a:prstGeom prst="line">
              <a:avLst/>
            </a:prstGeom>
            <a:ln w="2222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3" name="Conector recto 42">
              <a:extLst>
                <a:ext uri="{FF2B5EF4-FFF2-40B4-BE49-F238E27FC236}">
                  <a16:creationId xmlns:a16="http://schemas.microsoft.com/office/drawing/2014/main" id="{E60D4DA0-03EF-498D-839E-782939E71E75}"/>
                </a:ext>
              </a:extLst>
            </xdr:cNvPr>
            <xdr:cNvCxnSpPr/>
          </xdr:nvCxnSpPr>
          <xdr:spPr>
            <a:xfrm>
              <a:off x="4206671" y="12887164"/>
              <a:ext cx="228" cy="516826"/>
            </a:xfrm>
            <a:prstGeom prst="line">
              <a:avLst/>
            </a:prstGeom>
            <a:ln w="2222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41" name="Conector recto 40">
            <a:extLst>
              <a:ext uri="{FF2B5EF4-FFF2-40B4-BE49-F238E27FC236}">
                <a16:creationId xmlns:a16="http://schemas.microsoft.com/office/drawing/2014/main" id="{44C8C423-BB39-4066-9EA7-3A19B87D7C78}"/>
              </a:ext>
            </a:extLst>
          </xdr:cNvPr>
          <xdr:cNvCxnSpPr/>
        </xdr:nvCxnSpPr>
        <xdr:spPr>
          <a:xfrm flipV="1">
            <a:off x="3740100" y="7759817"/>
            <a:ext cx="279633" cy="8737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741722</xdr:colOff>
      <xdr:row>44</xdr:row>
      <xdr:rowOff>104788</xdr:rowOff>
    </xdr:from>
    <xdr:to>
      <xdr:col>7</xdr:col>
      <xdr:colOff>363286</xdr:colOff>
      <xdr:row>44</xdr:row>
      <xdr:rowOff>104915</xdr:rowOff>
    </xdr:to>
    <xdr:cxnSp macro="">
      <xdr:nvCxnSpPr>
        <xdr:cNvPr id="44" name="Conector recto 43">
          <a:extLst>
            <a:ext uri="{FF2B5EF4-FFF2-40B4-BE49-F238E27FC236}">
              <a16:creationId xmlns:a16="http://schemas.microsoft.com/office/drawing/2014/main" id="{ADA7B8E4-0221-421E-AE59-AAABE40E3EA5}"/>
            </a:ext>
          </a:extLst>
        </xdr:cNvPr>
        <xdr:cNvCxnSpPr/>
      </xdr:nvCxnSpPr>
      <xdr:spPr>
        <a:xfrm rot="16200000">
          <a:off x="4514840" y="6755830"/>
          <a:ext cx="127" cy="279148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715506</xdr:colOff>
      <xdr:row>48</xdr:row>
      <xdr:rowOff>61096</xdr:rowOff>
    </xdr:from>
    <xdr:to>
      <xdr:col>7</xdr:col>
      <xdr:colOff>337070</xdr:colOff>
      <xdr:row>48</xdr:row>
      <xdr:rowOff>61223</xdr:rowOff>
    </xdr:to>
    <xdr:cxnSp macro="">
      <xdr:nvCxnSpPr>
        <xdr:cNvPr id="45" name="Conector recto 44">
          <a:extLst>
            <a:ext uri="{FF2B5EF4-FFF2-40B4-BE49-F238E27FC236}">
              <a16:creationId xmlns:a16="http://schemas.microsoft.com/office/drawing/2014/main" id="{D2093F32-2A9A-4254-B0F3-54F80F7EB37C}"/>
            </a:ext>
          </a:extLst>
        </xdr:cNvPr>
        <xdr:cNvCxnSpPr/>
      </xdr:nvCxnSpPr>
      <xdr:spPr>
        <a:xfrm rot="16200000">
          <a:off x="4488624" y="7443658"/>
          <a:ext cx="127" cy="2791484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1831</xdr:colOff>
      <xdr:row>52</xdr:row>
      <xdr:rowOff>151060</xdr:rowOff>
    </xdr:from>
    <xdr:to>
      <xdr:col>6</xdr:col>
      <xdr:colOff>126709</xdr:colOff>
      <xdr:row>54</xdr:row>
      <xdr:rowOff>48065</xdr:rowOff>
    </xdr:to>
    <xdr:grpSp>
      <xdr:nvGrpSpPr>
        <xdr:cNvPr id="46" name="Grupo 45">
          <a:extLst>
            <a:ext uri="{FF2B5EF4-FFF2-40B4-BE49-F238E27FC236}">
              <a16:creationId xmlns:a16="http://schemas.microsoft.com/office/drawing/2014/main" id="{2890DFB0-3A01-4CE2-8942-7A0D2C962409}"/>
            </a:ext>
          </a:extLst>
        </xdr:cNvPr>
        <xdr:cNvGrpSpPr/>
      </xdr:nvGrpSpPr>
      <xdr:grpSpPr>
        <a:xfrm rot="5400000">
          <a:off x="3231803" y="10011159"/>
          <a:ext cx="278005" cy="778021"/>
          <a:chOff x="3738233" y="7759817"/>
          <a:chExt cx="281500" cy="1020543"/>
        </a:xfrm>
      </xdr:grpSpPr>
      <xdr:grpSp>
        <xdr:nvGrpSpPr>
          <xdr:cNvPr id="47" name="Grupo 46">
            <a:extLst>
              <a:ext uri="{FF2B5EF4-FFF2-40B4-BE49-F238E27FC236}">
                <a16:creationId xmlns:a16="http://schemas.microsoft.com/office/drawing/2014/main" id="{BEF4ED7C-107F-41B8-A56A-BF836BAA6DE0}"/>
              </a:ext>
            </a:extLst>
          </xdr:cNvPr>
          <xdr:cNvGrpSpPr/>
        </xdr:nvGrpSpPr>
        <xdr:grpSpPr>
          <a:xfrm>
            <a:off x="3738233" y="7759817"/>
            <a:ext cx="268189" cy="1020543"/>
            <a:chOff x="4188324" y="12887164"/>
            <a:chExt cx="480939" cy="517346"/>
          </a:xfrm>
        </xdr:grpSpPr>
        <xdr:cxnSp macro="">
          <xdr:nvCxnSpPr>
            <xdr:cNvPr id="49" name="Conector recto 48">
              <a:extLst>
                <a:ext uri="{FF2B5EF4-FFF2-40B4-BE49-F238E27FC236}">
                  <a16:creationId xmlns:a16="http://schemas.microsoft.com/office/drawing/2014/main" id="{8679B8A3-6F7B-46ED-8D0E-0C22F6653440}"/>
                </a:ext>
              </a:extLst>
            </xdr:cNvPr>
            <xdr:cNvCxnSpPr/>
          </xdr:nvCxnSpPr>
          <xdr:spPr>
            <a:xfrm rot="5400000" flipH="1" flipV="1">
              <a:off x="4428535" y="13163782"/>
              <a:ext cx="517" cy="480939"/>
            </a:xfrm>
            <a:prstGeom prst="line">
              <a:avLst/>
            </a:prstGeom>
            <a:ln w="2222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0" name="Conector recto 49">
              <a:extLst>
                <a:ext uri="{FF2B5EF4-FFF2-40B4-BE49-F238E27FC236}">
                  <a16:creationId xmlns:a16="http://schemas.microsoft.com/office/drawing/2014/main" id="{6963B1B9-4634-4022-AAD8-3FA7FA9151D7}"/>
                </a:ext>
              </a:extLst>
            </xdr:cNvPr>
            <xdr:cNvCxnSpPr/>
          </xdr:nvCxnSpPr>
          <xdr:spPr>
            <a:xfrm>
              <a:off x="4206671" y="12887164"/>
              <a:ext cx="228" cy="516826"/>
            </a:xfrm>
            <a:prstGeom prst="line">
              <a:avLst/>
            </a:prstGeom>
            <a:ln w="2222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48" name="Conector recto 47">
            <a:extLst>
              <a:ext uri="{FF2B5EF4-FFF2-40B4-BE49-F238E27FC236}">
                <a16:creationId xmlns:a16="http://schemas.microsoft.com/office/drawing/2014/main" id="{ABF6A531-E3DC-468B-8DFA-3CDD0232F53E}"/>
              </a:ext>
            </a:extLst>
          </xdr:cNvPr>
          <xdr:cNvCxnSpPr/>
        </xdr:nvCxnSpPr>
        <xdr:spPr>
          <a:xfrm flipV="1">
            <a:off x="3740100" y="7759817"/>
            <a:ext cx="279633" cy="8737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240473</xdr:colOff>
      <xdr:row>70</xdr:row>
      <xdr:rowOff>185576</xdr:rowOff>
    </xdr:from>
    <xdr:to>
      <xdr:col>7</xdr:col>
      <xdr:colOff>622301</xdr:colOff>
      <xdr:row>70</xdr:row>
      <xdr:rowOff>185704</xdr:rowOff>
    </xdr:to>
    <xdr:cxnSp macro="">
      <xdr:nvCxnSpPr>
        <xdr:cNvPr id="51" name="Conector recto 50">
          <a:extLst>
            <a:ext uri="{FF2B5EF4-FFF2-40B4-BE49-F238E27FC236}">
              <a16:creationId xmlns:a16="http://schemas.microsoft.com/office/drawing/2014/main" id="{B4A44D68-3BF1-4FDD-ABF0-37E91A1D08BA}"/>
            </a:ext>
          </a:extLst>
        </xdr:cNvPr>
        <xdr:cNvCxnSpPr/>
      </xdr:nvCxnSpPr>
      <xdr:spPr>
        <a:xfrm rot="16200000">
          <a:off x="4789963" y="11607606"/>
          <a:ext cx="128" cy="2759268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369630</xdr:colOff>
      <xdr:row>79</xdr:row>
      <xdr:rowOff>121991</xdr:rowOff>
    </xdr:from>
    <xdr:to>
      <xdr:col>7</xdr:col>
      <xdr:colOff>606305</xdr:colOff>
      <xdr:row>81</xdr:row>
      <xdr:rowOff>40561</xdr:rowOff>
    </xdr:to>
    <xdr:grpSp>
      <xdr:nvGrpSpPr>
        <xdr:cNvPr id="52" name="Grupo 51">
          <a:extLst>
            <a:ext uri="{FF2B5EF4-FFF2-40B4-BE49-F238E27FC236}">
              <a16:creationId xmlns:a16="http://schemas.microsoft.com/office/drawing/2014/main" id="{7983D275-F15D-40DB-9601-CDCDF36525F8}"/>
            </a:ext>
          </a:extLst>
        </xdr:cNvPr>
        <xdr:cNvGrpSpPr/>
      </xdr:nvGrpSpPr>
      <xdr:grpSpPr>
        <a:xfrm rot="16200000">
          <a:off x="3644718" y="14631438"/>
          <a:ext cx="299570" cy="2196104"/>
          <a:chOff x="3663416" y="12887164"/>
          <a:chExt cx="543483" cy="518235"/>
        </a:xfrm>
      </xdr:grpSpPr>
      <xdr:cxnSp macro="">
        <xdr:nvCxnSpPr>
          <xdr:cNvPr id="53" name="Conector recto 52">
            <a:extLst>
              <a:ext uri="{FF2B5EF4-FFF2-40B4-BE49-F238E27FC236}">
                <a16:creationId xmlns:a16="http://schemas.microsoft.com/office/drawing/2014/main" id="{83ACD5C5-72C6-4F46-9BE5-646F69FED936}"/>
              </a:ext>
            </a:extLst>
          </xdr:cNvPr>
          <xdr:cNvCxnSpPr/>
        </xdr:nvCxnSpPr>
        <xdr:spPr>
          <a:xfrm flipV="1">
            <a:off x="3663416" y="13403993"/>
            <a:ext cx="535708" cy="140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Conector recto 53">
            <a:extLst>
              <a:ext uri="{FF2B5EF4-FFF2-40B4-BE49-F238E27FC236}">
                <a16:creationId xmlns:a16="http://schemas.microsoft.com/office/drawing/2014/main" id="{ADF71331-982B-4E61-BCBA-7BFDC462518B}"/>
              </a:ext>
            </a:extLst>
          </xdr:cNvPr>
          <xdr:cNvCxnSpPr/>
        </xdr:nvCxnSpPr>
        <xdr:spPr>
          <a:xfrm>
            <a:off x="4206671" y="12887164"/>
            <a:ext cx="228" cy="51682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383844</xdr:colOff>
      <xdr:row>79</xdr:row>
      <xdr:rowOff>114883</xdr:rowOff>
    </xdr:from>
    <xdr:to>
      <xdr:col>4</xdr:col>
      <xdr:colOff>383846</xdr:colOff>
      <xdr:row>80</xdr:row>
      <xdr:rowOff>177704</xdr:rowOff>
    </xdr:to>
    <xdr:cxnSp macro="">
      <xdr:nvCxnSpPr>
        <xdr:cNvPr id="55" name="Conector recto 54">
          <a:extLst>
            <a:ext uri="{FF2B5EF4-FFF2-40B4-BE49-F238E27FC236}">
              <a16:creationId xmlns:a16="http://schemas.microsoft.com/office/drawing/2014/main" id="{0726FA7C-E28D-4B93-9194-B01D307C6101}"/>
            </a:ext>
          </a:extLst>
        </xdr:cNvPr>
        <xdr:cNvCxnSpPr/>
      </xdr:nvCxnSpPr>
      <xdr:spPr>
        <a:xfrm flipV="1">
          <a:off x="3553764" y="14562403"/>
          <a:ext cx="2" cy="245701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255650</xdr:colOff>
      <xdr:row>75</xdr:row>
      <xdr:rowOff>176535</xdr:rowOff>
    </xdr:from>
    <xdr:to>
      <xdr:col>7</xdr:col>
      <xdr:colOff>637478</xdr:colOff>
      <xdr:row>75</xdr:row>
      <xdr:rowOff>176663</xdr:rowOff>
    </xdr:to>
    <xdr:cxnSp macro="">
      <xdr:nvCxnSpPr>
        <xdr:cNvPr id="56" name="Conector recto 55">
          <a:extLst>
            <a:ext uri="{FF2B5EF4-FFF2-40B4-BE49-F238E27FC236}">
              <a16:creationId xmlns:a16="http://schemas.microsoft.com/office/drawing/2014/main" id="{3F1A7C01-8F99-4556-A44B-22E9D056D928}"/>
            </a:ext>
          </a:extLst>
        </xdr:cNvPr>
        <xdr:cNvCxnSpPr/>
      </xdr:nvCxnSpPr>
      <xdr:spPr>
        <a:xfrm rot="16200000">
          <a:off x="4805140" y="12512965"/>
          <a:ext cx="128" cy="2759268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443962</xdr:colOff>
      <xdr:row>83</xdr:row>
      <xdr:rowOff>137224</xdr:rowOff>
    </xdr:from>
    <xdr:to>
      <xdr:col>6</xdr:col>
      <xdr:colOff>1562</xdr:colOff>
      <xdr:row>88</xdr:row>
      <xdr:rowOff>67378</xdr:rowOff>
    </xdr:to>
    <xdr:grpSp>
      <xdr:nvGrpSpPr>
        <xdr:cNvPr id="57" name="Grupo 56">
          <a:extLst>
            <a:ext uri="{FF2B5EF4-FFF2-40B4-BE49-F238E27FC236}">
              <a16:creationId xmlns:a16="http://schemas.microsoft.com/office/drawing/2014/main" id="{675C55D8-0E57-4EDE-A447-009610FA7A7C}"/>
            </a:ext>
          </a:extLst>
        </xdr:cNvPr>
        <xdr:cNvGrpSpPr/>
      </xdr:nvGrpSpPr>
      <xdr:grpSpPr>
        <a:xfrm>
          <a:off x="3423926" y="16356938"/>
          <a:ext cx="210743" cy="882654"/>
          <a:chOff x="3738233" y="7759817"/>
          <a:chExt cx="281500" cy="1020543"/>
        </a:xfrm>
      </xdr:grpSpPr>
      <xdr:grpSp>
        <xdr:nvGrpSpPr>
          <xdr:cNvPr id="58" name="Grupo 57">
            <a:extLst>
              <a:ext uri="{FF2B5EF4-FFF2-40B4-BE49-F238E27FC236}">
                <a16:creationId xmlns:a16="http://schemas.microsoft.com/office/drawing/2014/main" id="{CDFDAB31-8310-434E-9E61-7D024740F5BC}"/>
              </a:ext>
            </a:extLst>
          </xdr:cNvPr>
          <xdr:cNvGrpSpPr/>
        </xdr:nvGrpSpPr>
        <xdr:grpSpPr>
          <a:xfrm>
            <a:off x="3738233" y="7759817"/>
            <a:ext cx="268189" cy="1020543"/>
            <a:chOff x="4188324" y="12887164"/>
            <a:chExt cx="480939" cy="517346"/>
          </a:xfrm>
        </xdr:grpSpPr>
        <xdr:cxnSp macro="">
          <xdr:nvCxnSpPr>
            <xdr:cNvPr id="60" name="Conector recto 59">
              <a:extLst>
                <a:ext uri="{FF2B5EF4-FFF2-40B4-BE49-F238E27FC236}">
                  <a16:creationId xmlns:a16="http://schemas.microsoft.com/office/drawing/2014/main" id="{0F488F6C-F33F-4C2F-B508-8888C5757421}"/>
                </a:ext>
              </a:extLst>
            </xdr:cNvPr>
            <xdr:cNvCxnSpPr/>
          </xdr:nvCxnSpPr>
          <xdr:spPr>
            <a:xfrm rot="5400000" flipH="1" flipV="1">
              <a:off x="4428535" y="13163782"/>
              <a:ext cx="517" cy="480939"/>
            </a:xfrm>
            <a:prstGeom prst="line">
              <a:avLst/>
            </a:prstGeom>
            <a:ln w="2222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" name="Conector recto 60">
              <a:extLst>
                <a:ext uri="{FF2B5EF4-FFF2-40B4-BE49-F238E27FC236}">
                  <a16:creationId xmlns:a16="http://schemas.microsoft.com/office/drawing/2014/main" id="{2DAFC0E2-7605-46DF-B7EF-882AF136D46F}"/>
                </a:ext>
              </a:extLst>
            </xdr:cNvPr>
            <xdr:cNvCxnSpPr/>
          </xdr:nvCxnSpPr>
          <xdr:spPr>
            <a:xfrm>
              <a:off x="4206671" y="12887164"/>
              <a:ext cx="228" cy="516826"/>
            </a:xfrm>
            <a:prstGeom prst="line">
              <a:avLst/>
            </a:prstGeom>
            <a:ln w="2222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59" name="Conector recto 58">
            <a:extLst>
              <a:ext uri="{FF2B5EF4-FFF2-40B4-BE49-F238E27FC236}">
                <a16:creationId xmlns:a16="http://schemas.microsoft.com/office/drawing/2014/main" id="{9AE4651A-FD42-4716-9F5C-5F5A57040672}"/>
              </a:ext>
            </a:extLst>
          </xdr:cNvPr>
          <xdr:cNvCxnSpPr/>
        </xdr:nvCxnSpPr>
        <xdr:spPr>
          <a:xfrm flipV="1">
            <a:off x="3740100" y="7759817"/>
            <a:ext cx="279633" cy="8737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443962</xdr:colOff>
      <xdr:row>89</xdr:row>
      <xdr:rowOff>137224</xdr:rowOff>
    </xdr:from>
    <xdr:to>
      <xdr:col>6</xdr:col>
      <xdr:colOff>1562</xdr:colOff>
      <xdr:row>94</xdr:row>
      <xdr:rowOff>67378</xdr:rowOff>
    </xdr:to>
    <xdr:grpSp>
      <xdr:nvGrpSpPr>
        <xdr:cNvPr id="62" name="Grupo 61">
          <a:extLst>
            <a:ext uri="{FF2B5EF4-FFF2-40B4-BE49-F238E27FC236}">
              <a16:creationId xmlns:a16="http://schemas.microsoft.com/office/drawing/2014/main" id="{22910415-B89F-4494-85AA-C8C650814A96}"/>
            </a:ext>
          </a:extLst>
        </xdr:cNvPr>
        <xdr:cNvGrpSpPr/>
      </xdr:nvGrpSpPr>
      <xdr:grpSpPr>
        <a:xfrm>
          <a:off x="3423926" y="17499938"/>
          <a:ext cx="210743" cy="882654"/>
          <a:chOff x="3738233" y="7759817"/>
          <a:chExt cx="281500" cy="1020543"/>
        </a:xfrm>
      </xdr:grpSpPr>
      <xdr:grpSp>
        <xdr:nvGrpSpPr>
          <xdr:cNvPr id="63" name="Grupo 62">
            <a:extLst>
              <a:ext uri="{FF2B5EF4-FFF2-40B4-BE49-F238E27FC236}">
                <a16:creationId xmlns:a16="http://schemas.microsoft.com/office/drawing/2014/main" id="{01AAEF96-382E-4943-A225-D66CAD567444}"/>
              </a:ext>
            </a:extLst>
          </xdr:cNvPr>
          <xdr:cNvGrpSpPr/>
        </xdr:nvGrpSpPr>
        <xdr:grpSpPr>
          <a:xfrm>
            <a:off x="3738233" y="7759817"/>
            <a:ext cx="268189" cy="1020543"/>
            <a:chOff x="4188324" y="12887164"/>
            <a:chExt cx="480939" cy="517346"/>
          </a:xfrm>
        </xdr:grpSpPr>
        <xdr:cxnSp macro="">
          <xdr:nvCxnSpPr>
            <xdr:cNvPr id="65" name="Conector recto 64">
              <a:extLst>
                <a:ext uri="{FF2B5EF4-FFF2-40B4-BE49-F238E27FC236}">
                  <a16:creationId xmlns:a16="http://schemas.microsoft.com/office/drawing/2014/main" id="{1E452E14-F52E-43D5-9E57-78819004B86E}"/>
                </a:ext>
              </a:extLst>
            </xdr:cNvPr>
            <xdr:cNvCxnSpPr/>
          </xdr:nvCxnSpPr>
          <xdr:spPr>
            <a:xfrm rot="5400000" flipH="1" flipV="1">
              <a:off x="4428535" y="13163782"/>
              <a:ext cx="517" cy="480939"/>
            </a:xfrm>
            <a:prstGeom prst="line">
              <a:avLst/>
            </a:prstGeom>
            <a:ln w="2222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6" name="Conector recto 65">
              <a:extLst>
                <a:ext uri="{FF2B5EF4-FFF2-40B4-BE49-F238E27FC236}">
                  <a16:creationId xmlns:a16="http://schemas.microsoft.com/office/drawing/2014/main" id="{83CFC0B2-1B62-4318-9275-107BBE8B5737}"/>
                </a:ext>
              </a:extLst>
            </xdr:cNvPr>
            <xdr:cNvCxnSpPr/>
          </xdr:nvCxnSpPr>
          <xdr:spPr>
            <a:xfrm>
              <a:off x="4206671" y="12887164"/>
              <a:ext cx="228" cy="516826"/>
            </a:xfrm>
            <a:prstGeom prst="line">
              <a:avLst/>
            </a:prstGeom>
            <a:ln w="2222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64" name="Conector recto 63">
            <a:extLst>
              <a:ext uri="{FF2B5EF4-FFF2-40B4-BE49-F238E27FC236}">
                <a16:creationId xmlns:a16="http://schemas.microsoft.com/office/drawing/2014/main" id="{E9DCEA2B-06F6-4322-BE74-120E7AEF834F}"/>
              </a:ext>
            </a:extLst>
          </xdr:cNvPr>
          <xdr:cNvCxnSpPr/>
        </xdr:nvCxnSpPr>
        <xdr:spPr>
          <a:xfrm flipV="1">
            <a:off x="3740100" y="7759817"/>
            <a:ext cx="279633" cy="8737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85913</xdr:colOff>
      <xdr:row>97</xdr:row>
      <xdr:rowOff>105879</xdr:rowOff>
    </xdr:from>
    <xdr:to>
      <xdr:col>6</xdr:col>
      <xdr:colOff>225940</xdr:colOff>
      <xdr:row>99</xdr:row>
      <xdr:rowOff>3150</xdr:rowOff>
    </xdr:to>
    <xdr:grpSp>
      <xdr:nvGrpSpPr>
        <xdr:cNvPr id="67" name="Grupo 66">
          <a:extLst>
            <a:ext uri="{FF2B5EF4-FFF2-40B4-BE49-F238E27FC236}">
              <a16:creationId xmlns:a16="http://schemas.microsoft.com/office/drawing/2014/main" id="{4E36B5AD-57DE-479E-ADA9-DBC7D250D8D6}"/>
            </a:ext>
          </a:extLst>
        </xdr:cNvPr>
        <xdr:cNvGrpSpPr/>
      </xdr:nvGrpSpPr>
      <xdr:grpSpPr>
        <a:xfrm rot="5400000">
          <a:off x="3323326" y="18735144"/>
          <a:ext cx="278271" cy="793170"/>
          <a:chOff x="3738233" y="7759817"/>
          <a:chExt cx="281500" cy="1020543"/>
        </a:xfrm>
      </xdr:grpSpPr>
      <xdr:grpSp>
        <xdr:nvGrpSpPr>
          <xdr:cNvPr id="68" name="Grupo 67">
            <a:extLst>
              <a:ext uri="{FF2B5EF4-FFF2-40B4-BE49-F238E27FC236}">
                <a16:creationId xmlns:a16="http://schemas.microsoft.com/office/drawing/2014/main" id="{97C98893-1B67-4115-BBF5-C1CC6AA41756}"/>
              </a:ext>
            </a:extLst>
          </xdr:cNvPr>
          <xdr:cNvGrpSpPr/>
        </xdr:nvGrpSpPr>
        <xdr:grpSpPr>
          <a:xfrm>
            <a:off x="3738233" y="7759817"/>
            <a:ext cx="268189" cy="1020543"/>
            <a:chOff x="4188324" y="12887164"/>
            <a:chExt cx="480939" cy="517346"/>
          </a:xfrm>
        </xdr:grpSpPr>
        <xdr:cxnSp macro="">
          <xdr:nvCxnSpPr>
            <xdr:cNvPr id="70" name="Conector recto 69">
              <a:extLst>
                <a:ext uri="{FF2B5EF4-FFF2-40B4-BE49-F238E27FC236}">
                  <a16:creationId xmlns:a16="http://schemas.microsoft.com/office/drawing/2014/main" id="{476A2068-21B8-47CC-A38E-7AF5908181E2}"/>
                </a:ext>
              </a:extLst>
            </xdr:cNvPr>
            <xdr:cNvCxnSpPr/>
          </xdr:nvCxnSpPr>
          <xdr:spPr>
            <a:xfrm rot="5400000" flipH="1" flipV="1">
              <a:off x="4428535" y="13163782"/>
              <a:ext cx="517" cy="480939"/>
            </a:xfrm>
            <a:prstGeom prst="line">
              <a:avLst/>
            </a:prstGeom>
            <a:ln w="2222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" name="Conector recto 70">
              <a:extLst>
                <a:ext uri="{FF2B5EF4-FFF2-40B4-BE49-F238E27FC236}">
                  <a16:creationId xmlns:a16="http://schemas.microsoft.com/office/drawing/2014/main" id="{B35E4B92-DDC0-45BD-91D0-D3DD3DA2090D}"/>
                </a:ext>
              </a:extLst>
            </xdr:cNvPr>
            <xdr:cNvCxnSpPr/>
          </xdr:nvCxnSpPr>
          <xdr:spPr>
            <a:xfrm>
              <a:off x="4206671" y="12887164"/>
              <a:ext cx="228" cy="516826"/>
            </a:xfrm>
            <a:prstGeom prst="line">
              <a:avLst/>
            </a:prstGeom>
            <a:ln w="2222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69" name="Conector recto 68">
            <a:extLst>
              <a:ext uri="{FF2B5EF4-FFF2-40B4-BE49-F238E27FC236}">
                <a16:creationId xmlns:a16="http://schemas.microsoft.com/office/drawing/2014/main" id="{639F73C4-3100-4FAE-99B8-0C2B252C0275}"/>
              </a:ext>
            </a:extLst>
          </xdr:cNvPr>
          <xdr:cNvCxnSpPr/>
        </xdr:nvCxnSpPr>
        <xdr:spPr>
          <a:xfrm flipV="1">
            <a:off x="3740100" y="7759817"/>
            <a:ext cx="279633" cy="8737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1165</xdr:colOff>
      <xdr:row>133</xdr:row>
      <xdr:rowOff>106972</xdr:rowOff>
    </xdr:from>
    <xdr:to>
      <xdr:col>6</xdr:col>
      <xdr:colOff>229866</xdr:colOff>
      <xdr:row>135</xdr:row>
      <xdr:rowOff>3235</xdr:rowOff>
    </xdr:to>
    <xdr:grpSp>
      <xdr:nvGrpSpPr>
        <xdr:cNvPr id="72" name="Grupo 71">
          <a:extLst>
            <a:ext uri="{FF2B5EF4-FFF2-40B4-BE49-F238E27FC236}">
              <a16:creationId xmlns:a16="http://schemas.microsoft.com/office/drawing/2014/main" id="{4F38F58F-6673-4E87-99F5-1F60A64EF65F}"/>
            </a:ext>
          </a:extLst>
        </xdr:cNvPr>
        <xdr:cNvGrpSpPr/>
      </xdr:nvGrpSpPr>
      <xdr:grpSpPr>
        <a:xfrm rot="5400000">
          <a:off x="3283419" y="25794325"/>
          <a:ext cx="277263" cy="881844"/>
          <a:chOff x="4188324" y="12887164"/>
          <a:chExt cx="480939" cy="517346"/>
        </a:xfrm>
      </xdr:grpSpPr>
      <xdr:cxnSp macro="">
        <xdr:nvCxnSpPr>
          <xdr:cNvPr id="73" name="Conector recto 72">
            <a:extLst>
              <a:ext uri="{FF2B5EF4-FFF2-40B4-BE49-F238E27FC236}">
                <a16:creationId xmlns:a16="http://schemas.microsoft.com/office/drawing/2014/main" id="{99745D53-0D74-467C-9E55-8DF7F0B9D3A5}"/>
              </a:ext>
            </a:extLst>
          </xdr:cNvPr>
          <xdr:cNvCxnSpPr/>
        </xdr:nvCxnSpPr>
        <xdr:spPr>
          <a:xfrm rot="5400000" flipH="1" flipV="1">
            <a:off x="4428535" y="13163782"/>
            <a:ext cx="517" cy="480939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Conector recto 73">
            <a:extLst>
              <a:ext uri="{FF2B5EF4-FFF2-40B4-BE49-F238E27FC236}">
                <a16:creationId xmlns:a16="http://schemas.microsoft.com/office/drawing/2014/main" id="{EB3E0292-F89D-4A9C-BDFD-003E9E1E7BB5}"/>
              </a:ext>
            </a:extLst>
          </xdr:cNvPr>
          <xdr:cNvCxnSpPr/>
        </xdr:nvCxnSpPr>
        <xdr:spPr>
          <a:xfrm>
            <a:off x="4206671" y="12887164"/>
            <a:ext cx="228" cy="51682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443962</xdr:colOff>
      <xdr:row>137</xdr:row>
      <xdr:rowOff>137224</xdr:rowOff>
    </xdr:from>
    <xdr:to>
      <xdr:col>6</xdr:col>
      <xdr:colOff>1562</xdr:colOff>
      <xdr:row>142</xdr:row>
      <xdr:rowOff>67378</xdr:rowOff>
    </xdr:to>
    <xdr:grpSp>
      <xdr:nvGrpSpPr>
        <xdr:cNvPr id="75" name="Grupo 74">
          <a:extLst>
            <a:ext uri="{FF2B5EF4-FFF2-40B4-BE49-F238E27FC236}">
              <a16:creationId xmlns:a16="http://schemas.microsoft.com/office/drawing/2014/main" id="{CA5B37CC-C132-4681-8F54-7801D5638AF9}"/>
            </a:ext>
          </a:extLst>
        </xdr:cNvPr>
        <xdr:cNvGrpSpPr/>
      </xdr:nvGrpSpPr>
      <xdr:grpSpPr>
        <a:xfrm>
          <a:off x="3423926" y="26888867"/>
          <a:ext cx="210743" cy="882654"/>
          <a:chOff x="3738233" y="7759817"/>
          <a:chExt cx="281500" cy="1020543"/>
        </a:xfrm>
      </xdr:grpSpPr>
      <xdr:grpSp>
        <xdr:nvGrpSpPr>
          <xdr:cNvPr id="76" name="Grupo 75">
            <a:extLst>
              <a:ext uri="{FF2B5EF4-FFF2-40B4-BE49-F238E27FC236}">
                <a16:creationId xmlns:a16="http://schemas.microsoft.com/office/drawing/2014/main" id="{92694E3C-90A9-45B2-9413-6C4485E1732F}"/>
              </a:ext>
            </a:extLst>
          </xdr:cNvPr>
          <xdr:cNvGrpSpPr/>
        </xdr:nvGrpSpPr>
        <xdr:grpSpPr>
          <a:xfrm>
            <a:off x="3738233" y="7759817"/>
            <a:ext cx="268189" cy="1020543"/>
            <a:chOff x="4188324" y="12887164"/>
            <a:chExt cx="480939" cy="517346"/>
          </a:xfrm>
        </xdr:grpSpPr>
        <xdr:cxnSp macro="">
          <xdr:nvCxnSpPr>
            <xdr:cNvPr id="78" name="Conector recto 77">
              <a:extLst>
                <a:ext uri="{FF2B5EF4-FFF2-40B4-BE49-F238E27FC236}">
                  <a16:creationId xmlns:a16="http://schemas.microsoft.com/office/drawing/2014/main" id="{79133C34-B70B-41DC-9B14-7F56A422564A}"/>
                </a:ext>
              </a:extLst>
            </xdr:cNvPr>
            <xdr:cNvCxnSpPr/>
          </xdr:nvCxnSpPr>
          <xdr:spPr>
            <a:xfrm rot="5400000" flipH="1" flipV="1">
              <a:off x="4428535" y="13163782"/>
              <a:ext cx="517" cy="480939"/>
            </a:xfrm>
            <a:prstGeom prst="line">
              <a:avLst/>
            </a:prstGeom>
            <a:ln w="2222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" name="Conector recto 78">
              <a:extLst>
                <a:ext uri="{FF2B5EF4-FFF2-40B4-BE49-F238E27FC236}">
                  <a16:creationId xmlns:a16="http://schemas.microsoft.com/office/drawing/2014/main" id="{09D1F829-F51E-4E9A-9A16-36DECB5F41D8}"/>
                </a:ext>
              </a:extLst>
            </xdr:cNvPr>
            <xdr:cNvCxnSpPr/>
          </xdr:nvCxnSpPr>
          <xdr:spPr>
            <a:xfrm>
              <a:off x="4206671" y="12887164"/>
              <a:ext cx="228" cy="516826"/>
            </a:xfrm>
            <a:prstGeom prst="line">
              <a:avLst/>
            </a:prstGeom>
            <a:ln w="2222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77" name="Conector recto 76">
            <a:extLst>
              <a:ext uri="{FF2B5EF4-FFF2-40B4-BE49-F238E27FC236}">
                <a16:creationId xmlns:a16="http://schemas.microsoft.com/office/drawing/2014/main" id="{935CECD8-CC1C-4B16-A33B-3223ED1635CC}"/>
              </a:ext>
            </a:extLst>
          </xdr:cNvPr>
          <xdr:cNvCxnSpPr/>
        </xdr:nvCxnSpPr>
        <xdr:spPr>
          <a:xfrm flipV="1">
            <a:off x="3740100" y="7759817"/>
            <a:ext cx="279633" cy="8737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148506</xdr:colOff>
      <xdr:row>117</xdr:row>
      <xdr:rowOff>26296</xdr:rowOff>
    </xdr:from>
    <xdr:to>
      <xdr:col>6</xdr:col>
      <xdr:colOff>124878</xdr:colOff>
      <xdr:row>118</xdr:row>
      <xdr:rowOff>64199</xdr:rowOff>
    </xdr:to>
    <xdr:grpSp>
      <xdr:nvGrpSpPr>
        <xdr:cNvPr id="80" name="Grupo 79">
          <a:extLst>
            <a:ext uri="{FF2B5EF4-FFF2-40B4-BE49-F238E27FC236}">
              <a16:creationId xmlns:a16="http://schemas.microsoft.com/office/drawing/2014/main" id="{AA4DD3B3-8BD7-46F7-9602-3FBB8912D4C7}"/>
            </a:ext>
          </a:extLst>
        </xdr:cNvPr>
        <xdr:cNvGrpSpPr/>
      </xdr:nvGrpSpPr>
      <xdr:grpSpPr>
        <a:xfrm rot="5400000">
          <a:off x="3329026" y="22767383"/>
          <a:ext cx="228403" cy="629515"/>
          <a:chOff x="3663416" y="12887164"/>
          <a:chExt cx="543483" cy="518235"/>
        </a:xfrm>
      </xdr:grpSpPr>
      <xdr:cxnSp macro="">
        <xdr:nvCxnSpPr>
          <xdr:cNvPr id="81" name="Conector recto 80">
            <a:extLst>
              <a:ext uri="{FF2B5EF4-FFF2-40B4-BE49-F238E27FC236}">
                <a16:creationId xmlns:a16="http://schemas.microsoft.com/office/drawing/2014/main" id="{AC6A5798-020F-4B91-AA27-62089D357B26}"/>
              </a:ext>
            </a:extLst>
          </xdr:cNvPr>
          <xdr:cNvCxnSpPr/>
        </xdr:nvCxnSpPr>
        <xdr:spPr>
          <a:xfrm flipV="1">
            <a:off x="3663416" y="13403993"/>
            <a:ext cx="535708" cy="140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" name="Conector recto 81">
            <a:extLst>
              <a:ext uri="{FF2B5EF4-FFF2-40B4-BE49-F238E27FC236}">
                <a16:creationId xmlns:a16="http://schemas.microsoft.com/office/drawing/2014/main" id="{7F25683A-C85A-4DC2-888A-91228BFDDE5A}"/>
              </a:ext>
            </a:extLst>
          </xdr:cNvPr>
          <xdr:cNvCxnSpPr/>
        </xdr:nvCxnSpPr>
        <xdr:spPr>
          <a:xfrm>
            <a:off x="4206671" y="12887164"/>
            <a:ext cx="228" cy="51682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133685</xdr:colOff>
      <xdr:row>114</xdr:row>
      <xdr:rowOff>105982</xdr:rowOff>
    </xdr:from>
    <xdr:to>
      <xdr:col>6</xdr:col>
      <xdr:colOff>108046</xdr:colOff>
      <xdr:row>115</xdr:row>
      <xdr:rowOff>143884</xdr:rowOff>
    </xdr:to>
    <xdr:grpSp>
      <xdr:nvGrpSpPr>
        <xdr:cNvPr id="83" name="Grupo 82">
          <a:extLst>
            <a:ext uri="{FF2B5EF4-FFF2-40B4-BE49-F238E27FC236}">
              <a16:creationId xmlns:a16="http://schemas.microsoft.com/office/drawing/2014/main" id="{1108C3D7-0908-4E30-9A5A-D02B63F9F459}"/>
            </a:ext>
          </a:extLst>
        </xdr:cNvPr>
        <xdr:cNvGrpSpPr/>
      </xdr:nvGrpSpPr>
      <xdr:grpSpPr>
        <a:xfrm rot="16200000">
          <a:off x="3313200" y="22276574"/>
          <a:ext cx="228402" cy="627504"/>
          <a:chOff x="3663417" y="12887164"/>
          <a:chExt cx="543482" cy="516826"/>
        </a:xfrm>
      </xdr:grpSpPr>
      <xdr:cxnSp macro="">
        <xdr:nvCxnSpPr>
          <xdr:cNvPr id="84" name="Conector recto 83">
            <a:extLst>
              <a:ext uri="{FF2B5EF4-FFF2-40B4-BE49-F238E27FC236}">
                <a16:creationId xmlns:a16="http://schemas.microsoft.com/office/drawing/2014/main" id="{EE23FF42-85CE-48FE-AEE6-FCEDA28B530C}"/>
              </a:ext>
            </a:extLst>
          </xdr:cNvPr>
          <xdr:cNvCxnSpPr/>
        </xdr:nvCxnSpPr>
        <xdr:spPr>
          <a:xfrm flipV="1">
            <a:off x="3663417" y="12889586"/>
            <a:ext cx="535706" cy="140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" name="Conector recto 84">
            <a:extLst>
              <a:ext uri="{FF2B5EF4-FFF2-40B4-BE49-F238E27FC236}">
                <a16:creationId xmlns:a16="http://schemas.microsoft.com/office/drawing/2014/main" id="{44398C27-82F3-4995-9ACA-F67D1FF80216}"/>
              </a:ext>
            </a:extLst>
          </xdr:cNvPr>
          <xdr:cNvCxnSpPr/>
        </xdr:nvCxnSpPr>
        <xdr:spPr>
          <a:xfrm>
            <a:off x="4206671" y="12887164"/>
            <a:ext cx="228" cy="516826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251673</xdr:colOff>
      <xdr:row>119</xdr:row>
      <xdr:rowOff>176740</xdr:rowOff>
    </xdr:from>
    <xdr:to>
      <xdr:col>5</xdr:col>
      <xdr:colOff>486183</xdr:colOff>
      <xdr:row>124</xdr:row>
      <xdr:rowOff>32621</xdr:rowOff>
    </xdr:to>
    <xdr:grpSp>
      <xdr:nvGrpSpPr>
        <xdr:cNvPr id="86" name="Grupo 85">
          <a:extLst>
            <a:ext uri="{FF2B5EF4-FFF2-40B4-BE49-F238E27FC236}">
              <a16:creationId xmlns:a16="http://schemas.microsoft.com/office/drawing/2014/main" id="{02243B4C-D913-4FD9-82B2-AD72AF73D7B5}"/>
            </a:ext>
          </a:extLst>
        </xdr:cNvPr>
        <xdr:cNvGrpSpPr/>
      </xdr:nvGrpSpPr>
      <xdr:grpSpPr>
        <a:xfrm>
          <a:off x="3231637" y="23499383"/>
          <a:ext cx="234510" cy="808381"/>
          <a:chOff x="3654497" y="22760442"/>
          <a:chExt cx="234510" cy="801110"/>
        </a:xfrm>
      </xdr:grpSpPr>
      <xdr:grpSp>
        <xdr:nvGrpSpPr>
          <xdr:cNvPr id="87" name="Grupo 86">
            <a:extLst>
              <a:ext uri="{FF2B5EF4-FFF2-40B4-BE49-F238E27FC236}">
                <a16:creationId xmlns:a16="http://schemas.microsoft.com/office/drawing/2014/main" id="{3709BB85-2406-49CF-967F-39BAB3D317EC}"/>
              </a:ext>
            </a:extLst>
          </xdr:cNvPr>
          <xdr:cNvGrpSpPr/>
        </xdr:nvGrpSpPr>
        <xdr:grpSpPr>
          <a:xfrm rot="10800000">
            <a:off x="3662059" y="22760442"/>
            <a:ext cx="226948" cy="797573"/>
            <a:chOff x="3663416" y="12887164"/>
            <a:chExt cx="543483" cy="518235"/>
          </a:xfrm>
        </xdr:grpSpPr>
        <xdr:cxnSp macro="">
          <xdr:nvCxnSpPr>
            <xdr:cNvPr id="89" name="Conector recto 88">
              <a:extLst>
                <a:ext uri="{FF2B5EF4-FFF2-40B4-BE49-F238E27FC236}">
                  <a16:creationId xmlns:a16="http://schemas.microsoft.com/office/drawing/2014/main" id="{DFE110F5-9B15-4A3E-B461-5DB786306C9B}"/>
                </a:ext>
              </a:extLst>
            </xdr:cNvPr>
            <xdr:cNvCxnSpPr/>
          </xdr:nvCxnSpPr>
          <xdr:spPr>
            <a:xfrm flipV="1">
              <a:off x="3663416" y="13403993"/>
              <a:ext cx="535708" cy="1406"/>
            </a:xfrm>
            <a:prstGeom prst="line">
              <a:avLst/>
            </a:prstGeom>
            <a:ln w="2222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" name="Conector recto 89">
              <a:extLst>
                <a:ext uri="{FF2B5EF4-FFF2-40B4-BE49-F238E27FC236}">
                  <a16:creationId xmlns:a16="http://schemas.microsoft.com/office/drawing/2014/main" id="{AD4277F2-8E89-480B-887F-4D50D509DBFD}"/>
                </a:ext>
              </a:extLst>
            </xdr:cNvPr>
            <xdr:cNvCxnSpPr/>
          </xdr:nvCxnSpPr>
          <xdr:spPr>
            <a:xfrm>
              <a:off x="4206671" y="12887164"/>
              <a:ext cx="228" cy="516826"/>
            </a:xfrm>
            <a:prstGeom prst="line">
              <a:avLst/>
            </a:prstGeom>
            <a:ln w="2222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88" name="Conector recto 87">
            <a:extLst>
              <a:ext uri="{FF2B5EF4-FFF2-40B4-BE49-F238E27FC236}">
                <a16:creationId xmlns:a16="http://schemas.microsoft.com/office/drawing/2014/main" id="{D30DD211-4ED6-4D47-8DAE-7AD303F58681}"/>
              </a:ext>
            </a:extLst>
          </xdr:cNvPr>
          <xdr:cNvCxnSpPr/>
        </xdr:nvCxnSpPr>
        <xdr:spPr>
          <a:xfrm rot="10800000" flipV="1">
            <a:off x="3654497" y="23559960"/>
            <a:ext cx="223701" cy="1592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251673</xdr:colOff>
      <xdr:row>125</xdr:row>
      <xdr:rowOff>176740</xdr:rowOff>
    </xdr:from>
    <xdr:to>
      <xdr:col>5</xdr:col>
      <xdr:colOff>486183</xdr:colOff>
      <xdr:row>130</xdr:row>
      <xdr:rowOff>32621</xdr:rowOff>
    </xdr:to>
    <xdr:grpSp>
      <xdr:nvGrpSpPr>
        <xdr:cNvPr id="91" name="Grupo 90">
          <a:extLst>
            <a:ext uri="{FF2B5EF4-FFF2-40B4-BE49-F238E27FC236}">
              <a16:creationId xmlns:a16="http://schemas.microsoft.com/office/drawing/2014/main" id="{78C1B703-D62C-424A-A6BB-3C0462BBFFA0}"/>
            </a:ext>
          </a:extLst>
        </xdr:cNvPr>
        <xdr:cNvGrpSpPr/>
      </xdr:nvGrpSpPr>
      <xdr:grpSpPr>
        <a:xfrm>
          <a:off x="3231637" y="24642383"/>
          <a:ext cx="234510" cy="808381"/>
          <a:chOff x="3654497" y="22760442"/>
          <a:chExt cx="234510" cy="801110"/>
        </a:xfrm>
      </xdr:grpSpPr>
      <xdr:grpSp>
        <xdr:nvGrpSpPr>
          <xdr:cNvPr id="92" name="Grupo 91">
            <a:extLst>
              <a:ext uri="{FF2B5EF4-FFF2-40B4-BE49-F238E27FC236}">
                <a16:creationId xmlns:a16="http://schemas.microsoft.com/office/drawing/2014/main" id="{5169D640-F3C2-4176-B1C1-E5612FC40600}"/>
              </a:ext>
            </a:extLst>
          </xdr:cNvPr>
          <xdr:cNvGrpSpPr/>
        </xdr:nvGrpSpPr>
        <xdr:grpSpPr>
          <a:xfrm rot="10800000">
            <a:off x="3662059" y="22760442"/>
            <a:ext cx="226948" cy="797573"/>
            <a:chOff x="3663416" y="12887164"/>
            <a:chExt cx="543483" cy="518235"/>
          </a:xfrm>
        </xdr:grpSpPr>
        <xdr:cxnSp macro="">
          <xdr:nvCxnSpPr>
            <xdr:cNvPr id="94" name="Conector recto 93">
              <a:extLst>
                <a:ext uri="{FF2B5EF4-FFF2-40B4-BE49-F238E27FC236}">
                  <a16:creationId xmlns:a16="http://schemas.microsoft.com/office/drawing/2014/main" id="{09BE0313-0A3A-41C8-938E-42229B9C265B}"/>
                </a:ext>
              </a:extLst>
            </xdr:cNvPr>
            <xdr:cNvCxnSpPr/>
          </xdr:nvCxnSpPr>
          <xdr:spPr>
            <a:xfrm flipV="1">
              <a:off x="3663416" y="13403993"/>
              <a:ext cx="535708" cy="1406"/>
            </a:xfrm>
            <a:prstGeom prst="line">
              <a:avLst/>
            </a:prstGeom>
            <a:ln w="2222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5" name="Conector recto 94">
              <a:extLst>
                <a:ext uri="{FF2B5EF4-FFF2-40B4-BE49-F238E27FC236}">
                  <a16:creationId xmlns:a16="http://schemas.microsoft.com/office/drawing/2014/main" id="{B188BC6A-E9C3-41AD-AC5A-682A3266FC34}"/>
                </a:ext>
              </a:extLst>
            </xdr:cNvPr>
            <xdr:cNvCxnSpPr/>
          </xdr:nvCxnSpPr>
          <xdr:spPr>
            <a:xfrm>
              <a:off x="4206671" y="12887164"/>
              <a:ext cx="228" cy="516826"/>
            </a:xfrm>
            <a:prstGeom prst="line">
              <a:avLst/>
            </a:prstGeom>
            <a:ln w="2222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93" name="Conector recto 92">
            <a:extLst>
              <a:ext uri="{FF2B5EF4-FFF2-40B4-BE49-F238E27FC236}">
                <a16:creationId xmlns:a16="http://schemas.microsoft.com/office/drawing/2014/main" id="{7951E364-9B85-4ECA-AD63-5F044155A101}"/>
              </a:ext>
            </a:extLst>
          </xdr:cNvPr>
          <xdr:cNvCxnSpPr/>
        </xdr:nvCxnSpPr>
        <xdr:spPr>
          <a:xfrm rot="10800000" flipV="1">
            <a:off x="3654497" y="23559960"/>
            <a:ext cx="223701" cy="1592"/>
          </a:xfrm>
          <a:prstGeom prst="line">
            <a:avLst/>
          </a:prstGeom>
          <a:ln w="222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77666</xdr:colOff>
      <xdr:row>34</xdr:row>
      <xdr:rowOff>31097</xdr:rowOff>
    </xdr:from>
    <xdr:ext cx="1548912" cy="1023979"/>
    <xdr:pic>
      <xdr:nvPicPr>
        <xdr:cNvPr id="2" name="Imagen 1">
          <a:extLst>
            <a:ext uri="{FF2B5EF4-FFF2-40B4-BE49-F238E27FC236}">
              <a16:creationId xmlns:a16="http://schemas.microsoft.com/office/drawing/2014/main" id="{37D40208-34ED-4B67-8327-92A0DCE877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558" t="19393" r="32932" b="27799"/>
        <a:stretch/>
      </xdr:blipFill>
      <xdr:spPr bwMode="auto">
        <a:xfrm>
          <a:off x="1494986" y="6249017"/>
          <a:ext cx="1548912" cy="1023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1499088</xdr:colOff>
      <xdr:row>34</xdr:row>
      <xdr:rowOff>81328</xdr:rowOff>
    </xdr:from>
    <xdr:ext cx="1566005" cy="2336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35FB07D7-0321-499C-B93B-DFDDF654A566}"/>
                </a:ext>
              </a:extLst>
            </xdr:cNvPr>
            <xdr:cNvSpPr txBox="1"/>
          </xdr:nvSpPr>
          <xdr:spPr>
            <a:xfrm>
              <a:off x="2123928" y="6299248"/>
              <a:ext cx="1566005" cy="2336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8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s-PE" sz="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800" b="0" i="1">
                            <a:latin typeface="Cambria Math" panose="02040503050406030204" pitchFamily="18" charset="0"/>
                          </a:rPr>
                          <m:t>h</m:t>
                        </m:r>
                      </m:num>
                      <m:den>
                        <m:r>
                          <a:rPr lang="es-PE" sz="800" b="0" i="1">
                            <a:latin typeface="Cambria Math" panose="02040503050406030204" pitchFamily="18" charset="0"/>
                          </a:rPr>
                          <m:t>6</m:t>
                        </m:r>
                      </m:den>
                    </m:f>
                    <m:d>
                      <m:dPr>
                        <m:begChr m:val="["/>
                        <m:endChr m:val="]"/>
                        <m:ctrlPr>
                          <a:rPr lang="es-PE" sz="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s-PE" sz="8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´</m:t>
                            </m:r>
                          </m:e>
                        </m:d>
                        <m:r>
                          <a:rPr lang="es-PE" sz="800" b="0" i="1">
                            <a:latin typeface="Cambria Math" panose="02040503050406030204" pitchFamily="18" charset="0"/>
                          </a:rPr>
                          <m:t>𝑥𝑏</m:t>
                        </m:r>
                        <m:r>
                          <a:rPr lang="es-PE" sz="800" b="0" i="1">
                            <a:latin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ctrlPr>
                              <a:rPr lang="es-PE" sz="8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´+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>
                          <a:rPr lang="es-PE" sz="800" b="0" i="1">
                            <a:latin typeface="Cambria Math" panose="02040503050406030204" pitchFamily="18" charset="0"/>
                          </a:rPr>
                          <m:t>𝑥𝑏</m:t>
                        </m:r>
                        <m:r>
                          <a:rPr lang="es-PE" sz="800" b="0" i="1">
                            <a:latin typeface="Cambria Math" panose="02040503050406030204" pitchFamily="18" charset="0"/>
                          </a:rPr>
                          <m:t>´</m:t>
                        </m:r>
                      </m:e>
                    </m:d>
                  </m:oMath>
                </m:oMathPara>
              </a14:m>
              <a:endParaRPr lang="es-PE" sz="800">
                <a:latin typeface="Arial Narrow" panose="020B0606020202030204" pitchFamily="34" charset="0"/>
              </a:endParaRPr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35FB07D7-0321-499C-B93B-DFDDF654A566}"/>
                </a:ext>
              </a:extLst>
            </xdr:cNvPr>
            <xdr:cNvSpPr txBox="1"/>
          </xdr:nvSpPr>
          <xdr:spPr>
            <a:xfrm>
              <a:off x="2123928" y="6299248"/>
              <a:ext cx="1566005" cy="2336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800" b="0" i="0">
                  <a:latin typeface="Cambria Math" panose="02040503050406030204" pitchFamily="18" charset="0"/>
                </a:rPr>
                <a:t>𝑉=ℎ/6 [(2𝑎+𝑎´)𝑥𝑏+(2𝑎´+𝑎)𝑥𝑏´]</a:t>
              </a:r>
              <a:endParaRPr lang="es-PE" sz="800">
                <a:latin typeface="Arial Narrow" panose="020B0606020202030204" pitchFamily="3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909848</xdr:colOff>
      <xdr:row>4</xdr:row>
      <xdr:rowOff>66435</xdr:rowOff>
    </xdr:from>
    <xdr:ext cx="5900004" cy="2040849"/>
    <xdr:pic>
      <xdr:nvPicPr>
        <xdr:cNvPr id="4" name="Imagen 3">
          <a:extLst>
            <a:ext uri="{FF2B5EF4-FFF2-40B4-BE49-F238E27FC236}">
              <a16:creationId xmlns:a16="http://schemas.microsoft.com/office/drawing/2014/main" id="{BEAF79A0-9D4B-4ED7-A114-B057AD095F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77" t="9387" r="21229" b="12597"/>
        <a:stretch/>
      </xdr:blipFill>
      <xdr:spPr bwMode="auto">
        <a:xfrm>
          <a:off x="2129048" y="797955"/>
          <a:ext cx="5900004" cy="204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57922</xdr:colOff>
      <xdr:row>36</xdr:row>
      <xdr:rowOff>186638</xdr:rowOff>
    </xdr:from>
    <xdr:ext cx="1548912" cy="1055845"/>
    <xdr:pic>
      <xdr:nvPicPr>
        <xdr:cNvPr id="2" name="Imagen 1">
          <a:extLst>
            <a:ext uri="{FF2B5EF4-FFF2-40B4-BE49-F238E27FC236}">
              <a16:creationId xmlns:a16="http://schemas.microsoft.com/office/drawing/2014/main" id="{32A6355B-ADE5-4EDD-8663-DB5FE616F6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558" t="19393" r="32932" b="27799"/>
        <a:stretch/>
      </xdr:blipFill>
      <xdr:spPr bwMode="auto">
        <a:xfrm>
          <a:off x="1475242" y="6770318"/>
          <a:ext cx="1548912" cy="10558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1448058</xdr:colOff>
      <xdr:row>37</xdr:row>
      <xdr:rowOff>6436</xdr:rowOff>
    </xdr:from>
    <xdr:ext cx="1566005" cy="2336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A2F5BDFE-A11D-45CC-8E61-30A446FABC60}"/>
                </a:ext>
              </a:extLst>
            </xdr:cNvPr>
            <xdr:cNvSpPr txBox="1"/>
          </xdr:nvSpPr>
          <xdr:spPr>
            <a:xfrm>
              <a:off x="2126238" y="6772996"/>
              <a:ext cx="1566005" cy="2336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8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s-PE" sz="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800" b="0" i="1">
                            <a:latin typeface="Cambria Math" panose="02040503050406030204" pitchFamily="18" charset="0"/>
                          </a:rPr>
                          <m:t>h</m:t>
                        </m:r>
                      </m:num>
                      <m:den>
                        <m:r>
                          <a:rPr lang="es-PE" sz="800" b="0" i="1">
                            <a:latin typeface="Cambria Math" panose="02040503050406030204" pitchFamily="18" charset="0"/>
                          </a:rPr>
                          <m:t>6</m:t>
                        </m:r>
                      </m:den>
                    </m:f>
                    <m:d>
                      <m:dPr>
                        <m:begChr m:val="["/>
                        <m:endChr m:val="]"/>
                        <m:ctrlPr>
                          <a:rPr lang="es-PE" sz="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s-PE" sz="8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´</m:t>
                            </m:r>
                          </m:e>
                        </m:d>
                        <m:r>
                          <a:rPr lang="es-PE" sz="800" b="0" i="1">
                            <a:latin typeface="Cambria Math" panose="02040503050406030204" pitchFamily="18" charset="0"/>
                          </a:rPr>
                          <m:t>𝑥𝑏</m:t>
                        </m:r>
                        <m:r>
                          <a:rPr lang="es-PE" sz="800" b="0" i="1">
                            <a:latin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ctrlPr>
                              <a:rPr lang="es-PE" sz="8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´+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>
                          <a:rPr lang="es-PE" sz="800" b="0" i="1">
                            <a:latin typeface="Cambria Math" panose="02040503050406030204" pitchFamily="18" charset="0"/>
                          </a:rPr>
                          <m:t>𝑥𝑏</m:t>
                        </m:r>
                        <m:r>
                          <a:rPr lang="es-PE" sz="800" b="0" i="1">
                            <a:latin typeface="Cambria Math" panose="02040503050406030204" pitchFamily="18" charset="0"/>
                          </a:rPr>
                          <m:t>´</m:t>
                        </m:r>
                      </m:e>
                    </m:d>
                  </m:oMath>
                </m:oMathPara>
              </a14:m>
              <a:endParaRPr lang="es-PE" sz="800">
                <a:latin typeface="Arial Narrow" panose="020B0606020202030204" pitchFamily="34" charset="0"/>
              </a:endParaRPr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A2F5BDFE-A11D-45CC-8E61-30A446FABC60}"/>
                </a:ext>
              </a:extLst>
            </xdr:cNvPr>
            <xdr:cNvSpPr txBox="1"/>
          </xdr:nvSpPr>
          <xdr:spPr>
            <a:xfrm>
              <a:off x="2126238" y="6772996"/>
              <a:ext cx="1566005" cy="2336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800" b="0" i="0">
                  <a:latin typeface="Cambria Math" panose="02040503050406030204" pitchFamily="18" charset="0"/>
                </a:rPr>
                <a:t>𝑉=ℎ/6 [(2𝑎+𝑎´)𝑥𝑏+(2𝑎´+𝑎)𝑥𝑏´]</a:t>
              </a:r>
              <a:endParaRPr lang="es-PE" sz="800">
                <a:latin typeface="Arial Narrow" panose="020B0606020202030204" pitchFamily="3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1698711</xdr:colOff>
      <xdr:row>5</xdr:row>
      <xdr:rowOff>172986</xdr:rowOff>
    </xdr:from>
    <xdr:ext cx="5846002" cy="1575732"/>
    <xdr:pic>
      <xdr:nvPicPr>
        <xdr:cNvPr id="4" name="Imagen 3">
          <a:extLst>
            <a:ext uri="{FF2B5EF4-FFF2-40B4-BE49-F238E27FC236}">
              <a16:creationId xmlns:a16="http://schemas.microsoft.com/office/drawing/2014/main" id="{CF73F6D6-200A-414B-B17D-4A4F60285E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09" t="23076" r="8153" b="23973"/>
        <a:stretch/>
      </xdr:blipFill>
      <xdr:spPr bwMode="auto">
        <a:xfrm>
          <a:off x="2125431" y="1087386"/>
          <a:ext cx="5846002" cy="1575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406796</xdr:colOff>
      <xdr:row>219</xdr:row>
      <xdr:rowOff>119063</xdr:rowOff>
    </xdr:from>
    <xdr:to>
      <xdr:col>5</xdr:col>
      <xdr:colOff>406796</xdr:colOff>
      <xdr:row>223</xdr:row>
      <xdr:rowOff>129516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3E73ABEC-9010-4817-9834-04FB045CCECB}"/>
            </a:ext>
          </a:extLst>
        </xdr:cNvPr>
        <xdr:cNvCxnSpPr/>
      </xdr:nvCxnSpPr>
      <xdr:spPr>
        <a:xfrm flipH="1">
          <a:off x="4369196" y="40169783"/>
          <a:ext cx="0" cy="741973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3435</xdr:colOff>
      <xdr:row>24</xdr:row>
      <xdr:rowOff>0</xdr:rowOff>
    </xdr:from>
    <xdr:to>
      <xdr:col>7</xdr:col>
      <xdr:colOff>573</xdr:colOff>
      <xdr:row>24</xdr:row>
      <xdr:rowOff>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4CA3D069-8A5F-4ECD-BF48-B13B30FD09A2}"/>
            </a:ext>
          </a:extLst>
        </xdr:cNvPr>
        <xdr:cNvGrpSpPr/>
      </xdr:nvGrpSpPr>
      <xdr:grpSpPr>
        <a:xfrm>
          <a:off x="2213235" y="4733925"/>
          <a:ext cx="682938" cy="0"/>
          <a:chOff x="1351185" y="3785308"/>
          <a:chExt cx="828000" cy="1470100"/>
        </a:xfrm>
      </xdr:grpSpPr>
      <xdr:cxnSp macro="">
        <xdr:nvCxnSpPr>
          <xdr:cNvPr id="4" name="Conector recto 3">
            <a:extLst>
              <a:ext uri="{FF2B5EF4-FFF2-40B4-BE49-F238E27FC236}">
                <a16:creationId xmlns:a16="http://schemas.microsoft.com/office/drawing/2014/main" id="{45330118-DDB2-443B-81CF-FC910C3F4175}"/>
              </a:ext>
            </a:extLst>
          </xdr:cNvPr>
          <xdr:cNvCxnSpPr/>
        </xdr:nvCxnSpPr>
        <xdr:spPr>
          <a:xfrm rot="5400000" flipH="1">
            <a:off x="1765185" y="4784276"/>
            <a:ext cx="0" cy="828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recto 4">
            <a:extLst>
              <a:ext uri="{FF2B5EF4-FFF2-40B4-BE49-F238E27FC236}">
                <a16:creationId xmlns:a16="http://schemas.microsoft.com/office/drawing/2014/main" id="{34D867DB-5EAC-48B1-93CE-EC4B7F0B76D6}"/>
              </a:ext>
            </a:extLst>
          </xdr:cNvPr>
          <xdr:cNvCxnSpPr/>
        </xdr:nvCxnSpPr>
        <xdr:spPr>
          <a:xfrm flipH="1">
            <a:off x="1367888" y="3785308"/>
            <a:ext cx="4037" cy="14701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318931</xdr:colOff>
      <xdr:row>10</xdr:row>
      <xdr:rowOff>0</xdr:rowOff>
    </xdr:from>
    <xdr:to>
      <xdr:col>6</xdr:col>
      <xdr:colOff>319599</xdr:colOff>
      <xdr:row>12</xdr:row>
      <xdr:rowOff>158750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6070E596-5D31-4B12-9634-ECE466CB9CB7}"/>
            </a:ext>
          </a:extLst>
        </xdr:cNvPr>
        <xdr:cNvGrpSpPr/>
      </xdr:nvGrpSpPr>
      <xdr:grpSpPr>
        <a:xfrm>
          <a:off x="2528731" y="2047875"/>
          <a:ext cx="343568" cy="539750"/>
          <a:chOff x="2211065" y="2581603"/>
          <a:chExt cx="360000" cy="762000"/>
        </a:xfrm>
      </xdr:grpSpPr>
      <xdr:cxnSp macro="">
        <xdr:nvCxnSpPr>
          <xdr:cNvPr id="7" name="Conector recto 6">
            <a:extLst>
              <a:ext uri="{FF2B5EF4-FFF2-40B4-BE49-F238E27FC236}">
                <a16:creationId xmlns:a16="http://schemas.microsoft.com/office/drawing/2014/main" id="{980765CC-A657-486A-B9D2-97061FE1E420}"/>
              </a:ext>
            </a:extLst>
          </xdr:cNvPr>
          <xdr:cNvCxnSpPr/>
        </xdr:nvCxnSpPr>
        <xdr:spPr>
          <a:xfrm flipH="1">
            <a:off x="2217505" y="2581603"/>
            <a:ext cx="0" cy="762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Conector recto 7">
            <a:extLst>
              <a:ext uri="{FF2B5EF4-FFF2-40B4-BE49-F238E27FC236}">
                <a16:creationId xmlns:a16="http://schemas.microsoft.com/office/drawing/2014/main" id="{07D7FBEA-D801-4463-B111-E2E371537E1D}"/>
              </a:ext>
            </a:extLst>
          </xdr:cNvPr>
          <xdr:cNvCxnSpPr/>
        </xdr:nvCxnSpPr>
        <xdr:spPr>
          <a:xfrm rot="5400000" flipH="1">
            <a:off x="2391065" y="3153819"/>
            <a:ext cx="0" cy="360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9922</xdr:colOff>
      <xdr:row>35</xdr:row>
      <xdr:rowOff>138907</xdr:rowOff>
    </xdr:from>
    <xdr:to>
      <xdr:col>7</xdr:col>
      <xdr:colOff>30691</xdr:colOff>
      <xdr:row>35</xdr:row>
      <xdr:rowOff>138907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D8450D88-4606-4128-9858-B147C305487E}"/>
            </a:ext>
          </a:extLst>
        </xdr:cNvPr>
        <xdr:cNvCxnSpPr/>
      </xdr:nvCxnSpPr>
      <xdr:spPr>
        <a:xfrm rot="5400000" flipH="1">
          <a:off x="4775187" y="5736842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15980</xdr:colOff>
      <xdr:row>15</xdr:row>
      <xdr:rowOff>12909</xdr:rowOff>
    </xdr:from>
    <xdr:to>
      <xdr:col>7</xdr:col>
      <xdr:colOff>28716</xdr:colOff>
      <xdr:row>17</xdr:row>
      <xdr:rowOff>120975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3E697427-03DE-4340-8B67-6165A94003C4}"/>
            </a:ext>
          </a:extLst>
        </xdr:cNvPr>
        <xdr:cNvGrpSpPr/>
      </xdr:nvGrpSpPr>
      <xdr:grpSpPr>
        <a:xfrm>
          <a:off x="2225780" y="3032334"/>
          <a:ext cx="698536" cy="489066"/>
          <a:chOff x="1770676" y="3952340"/>
          <a:chExt cx="801623" cy="116213"/>
        </a:xfrm>
      </xdr:grpSpPr>
      <xdr:cxnSp macro="">
        <xdr:nvCxnSpPr>
          <xdr:cNvPr id="11" name="Conector recto 10">
            <a:extLst>
              <a:ext uri="{FF2B5EF4-FFF2-40B4-BE49-F238E27FC236}">
                <a16:creationId xmlns:a16="http://schemas.microsoft.com/office/drawing/2014/main" id="{9B76DB50-DC44-406A-8AC5-E84B8D5DBE1B}"/>
              </a:ext>
            </a:extLst>
          </xdr:cNvPr>
          <xdr:cNvCxnSpPr/>
        </xdr:nvCxnSpPr>
        <xdr:spPr>
          <a:xfrm flipH="1">
            <a:off x="1770676" y="4065467"/>
            <a:ext cx="801623" cy="244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Conector recto 11">
            <a:extLst>
              <a:ext uri="{FF2B5EF4-FFF2-40B4-BE49-F238E27FC236}">
                <a16:creationId xmlns:a16="http://schemas.microsoft.com/office/drawing/2014/main" id="{20456659-B0E2-461F-9EC7-E7376D7A43B8}"/>
              </a:ext>
            </a:extLst>
          </xdr:cNvPr>
          <xdr:cNvCxnSpPr/>
        </xdr:nvCxnSpPr>
        <xdr:spPr>
          <a:xfrm flipV="1">
            <a:off x="2558401" y="3952340"/>
            <a:ext cx="10256" cy="116213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9922</xdr:colOff>
      <xdr:row>20</xdr:row>
      <xdr:rowOff>138907</xdr:rowOff>
    </xdr:from>
    <xdr:to>
      <xdr:col>7</xdr:col>
      <xdr:colOff>30691</xdr:colOff>
      <xdr:row>20</xdr:row>
      <xdr:rowOff>138907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1A9A033E-966B-49EC-AD3E-CFE53C542B72}"/>
            </a:ext>
          </a:extLst>
        </xdr:cNvPr>
        <xdr:cNvCxnSpPr/>
      </xdr:nvCxnSpPr>
      <xdr:spPr>
        <a:xfrm rot="5400000" flipH="1">
          <a:off x="4775187" y="2993642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164087</xdr:colOff>
      <xdr:row>129</xdr:row>
      <xdr:rowOff>170732</xdr:rowOff>
    </xdr:from>
    <xdr:to>
      <xdr:col>6</xdr:col>
      <xdr:colOff>170731</xdr:colOff>
      <xdr:row>133</xdr:row>
      <xdr:rowOff>28015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9769CC98-D082-420B-AF72-2BD1D561ACA8}"/>
            </a:ext>
          </a:extLst>
        </xdr:cNvPr>
        <xdr:cNvCxnSpPr/>
      </xdr:nvCxnSpPr>
      <xdr:spPr>
        <a:xfrm flipV="1">
          <a:off x="4918967" y="23762252"/>
          <a:ext cx="6644" cy="588803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487</xdr:colOff>
      <xdr:row>24</xdr:row>
      <xdr:rowOff>0</xdr:rowOff>
    </xdr:from>
    <xdr:to>
      <xdr:col>6</xdr:col>
      <xdr:colOff>319599</xdr:colOff>
      <xdr:row>24</xdr:row>
      <xdr:rowOff>0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9F91AE5E-B7D9-40FF-A007-7F5A890B7E1D}"/>
            </a:ext>
          </a:extLst>
        </xdr:cNvPr>
        <xdr:cNvGrpSpPr/>
      </xdr:nvGrpSpPr>
      <xdr:grpSpPr>
        <a:xfrm>
          <a:off x="2553187" y="4733925"/>
          <a:ext cx="319112" cy="0"/>
          <a:chOff x="2211065" y="2581603"/>
          <a:chExt cx="360000" cy="762000"/>
        </a:xfrm>
      </xdr:grpSpPr>
      <xdr:cxnSp macro="">
        <xdr:nvCxnSpPr>
          <xdr:cNvPr id="16" name="Conector recto 15">
            <a:extLst>
              <a:ext uri="{FF2B5EF4-FFF2-40B4-BE49-F238E27FC236}">
                <a16:creationId xmlns:a16="http://schemas.microsoft.com/office/drawing/2014/main" id="{8FF77356-F096-4315-A3DE-C585CA74A5A8}"/>
              </a:ext>
            </a:extLst>
          </xdr:cNvPr>
          <xdr:cNvCxnSpPr/>
        </xdr:nvCxnSpPr>
        <xdr:spPr>
          <a:xfrm flipH="1">
            <a:off x="2217505" y="2581603"/>
            <a:ext cx="0" cy="762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Conector recto 16">
            <a:extLst>
              <a:ext uri="{FF2B5EF4-FFF2-40B4-BE49-F238E27FC236}">
                <a16:creationId xmlns:a16="http://schemas.microsoft.com/office/drawing/2014/main" id="{4846CDF3-86F1-430A-86D3-96CEAC43FEBE}"/>
              </a:ext>
            </a:extLst>
          </xdr:cNvPr>
          <xdr:cNvCxnSpPr/>
        </xdr:nvCxnSpPr>
        <xdr:spPr>
          <a:xfrm rot="5400000" flipH="1">
            <a:off x="2391065" y="3153819"/>
            <a:ext cx="0" cy="360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9922</xdr:colOff>
      <xdr:row>55</xdr:row>
      <xdr:rowOff>138907</xdr:rowOff>
    </xdr:from>
    <xdr:to>
      <xdr:col>7</xdr:col>
      <xdr:colOff>30691</xdr:colOff>
      <xdr:row>55</xdr:row>
      <xdr:rowOff>138907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9348542B-38C9-49AF-8EA7-1FEC2066D51A}"/>
            </a:ext>
          </a:extLst>
        </xdr:cNvPr>
        <xdr:cNvCxnSpPr/>
      </xdr:nvCxnSpPr>
      <xdr:spPr>
        <a:xfrm rot="5400000" flipH="1">
          <a:off x="4775187" y="9394442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52344</xdr:colOff>
      <xdr:row>47</xdr:row>
      <xdr:rowOff>1439</xdr:rowOff>
    </xdr:from>
    <xdr:to>
      <xdr:col>6</xdr:col>
      <xdr:colOff>413844</xdr:colOff>
      <xdr:row>47</xdr:row>
      <xdr:rowOff>1439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5CA99421-0DE3-45A1-8F66-88689EC26C92}"/>
            </a:ext>
          </a:extLst>
        </xdr:cNvPr>
        <xdr:cNvCxnSpPr/>
      </xdr:nvCxnSpPr>
      <xdr:spPr>
        <a:xfrm flipH="1" flipV="1">
          <a:off x="4014744" y="8596799"/>
          <a:ext cx="1153980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406798</xdr:colOff>
      <xdr:row>51</xdr:row>
      <xdr:rowOff>109141</xdr:rowOff>
    </xdr:from>
    <xdr:to>
      <xdr:col>6</xdr:col>
      <xdr:colOff>427567</xdr:colOff>
      <xdr:row>51</xdr:row>
      <xdr:rowOff>109141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77BA773B-5469-4972-B83B-D25AA589E9FA}"/>
            </a:ext>
          </a:extLst>
        </xdr:cNvPr>
        <xdr:cNvCxnSpPr/>
      </xdr:nvCxnSpPr>
      <xdr:spPr>
        <a:xfrm rot="5400000" flipH="1">
          <a:off x="4379583" y="8633156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319606</xdr:colOff>
      <xdr:row>24</xdr:row>
      <xdr:rowOff>0</xdr:rowOff>
    </xdr:from>
    <xdr:to>
      <xdr:col>7</xdr:col>
      <xdr:colOff>19048</xdr:colOff>
      <xdr:row>24</xdr:row>
      <xdr:rowOff>0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id="{DF3547FA-CB7C-4A77-94E0-917278AC1599}"/>
            </a:ext>
          </a:extLst>
        </xdr:cNvPr>
        <xdr:cNvGrpSpPr/>
      </xdr:nvGrpSpPr>
      <xdr:grpSpPr>
        <a:xfrm>
          <a:off x="2529406" y="4733925"/>
          <a:ext cx="385242" cy="0"/>
          <a:chOff x="2211066" y="2581603"/>
          <a:chExt cx="466547" cy="762000"/>
        </a:xfrm>
      </xdr:grpSpPr>
      <xdr:cxnSp macro="">
        <xdr:nvCxnSpPr>
          <xdr:cNvPr id="22" name="Conector recto 21">
            <a:extLst>
              <a:ext uri="{FF2B5EF4-FFF2-40B4-BE49-F238E27FC236}">
                <a16:creationId xmlns:a16="http://schemas.microsoft.com/office/drawing/2014/main" id="{F06E7602-654C-49C9-8A38-EC2F09066E02}"/>
              </a:ext>
            </a:extLst>
          </xdr:cNvPr>
          <xdr:cNvCxnSpPr/>
        </xdr:nvCxnSpPr>
        <xdr:spPr>
          <a:xfrm flipH="1">
            <a:off x="2217505" y="2581603"/>
            <a:ext cx="0" cy="762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Conector recto 22">
            <a:extLst>
              <a:ext uri="{FF2B5EF4-FFF2-40B4-BE49-F238E27FC236}">
                <a16:creationId xmlns:a16="http://schemas.microsoft.com/office/drawing/2014/main" id="{9D225354-D90C-4F0C-B39A-83F6F41D2C6E}"/>
              </a:ext>
            </a:extLst>
          </xdr:cNvPr>
          <xdr:cNvCxnSpPr/>
        </xdr:nvCxnSpPr>
        <xdr:spPr>
          <a:xfrm flipH="1" flipV="1">
            <a:off x="2211066" y="2588215"/>
            <a:ext cx="466547" cy="1213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111127</xdr:colOff>
      <xdr:row>119</xdr:row>
      <xdr:rowOff>152400</xdr:rowOff>
    </xdr:from>
    <xdr:to>
      <xdr:col>6</xdr:col>
      <xdr:colOff>114300</xdr:colOff>
      <xdr:row>122</xdr:row>
      <xdr:rowOff>109935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23F23972-8568-4C57-933A-3BB8E7410280}"/>
            </a:ext>
          </a:extLst>
        </xdr:cNvPr>
        <xdr:cNvCxnSpPr/>
      </xdr:nvCxnSpPr>
      <xdr:spPr>
        <a:xfrm flipH="1">
          <a:off x="4866007" y="21915120"/>
          <a:ext cx="3173" cy="506175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111465</xdr:colOff>
      <xdr:row>89</xdr:row>
      <xdr:rowOff>133350</xdr:rowOff>
    </xdr:from>
    <xdr:to>
      <xdr:col>5</xdr:col>
      <xdr:colOff>114300</xdr:colOff>
      <xdr:row>92</xdr:row>
      <xdr:rowOff>106543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D867B8EA-4CB1-4657-BECE-741F487E22F5}"/>
            </a:ext>
          </a:extLst>
        </xdr:cNvPr>
        <xdr:cNvCxnSpPr/>
      </xdr:nvCxnSpPr>
      <xdr:spPr>
        <a:xfrm flipH="1">
          <a:off x="4073865" y="16409670"/>
          <a:ext cx="2835" cy="521833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276225</xdr:colOff>
      <xdr:row>95</xdr:row>
      <xdr:rowOff>9525</xdr:rowOff>
    </xdr:from>
    <xdr:to>
      <xdr:col>6</xdr:col>
      <xdr:colOff>209550</xdr:colOff>
      <xdr:row>97</xdr:row>
      <xdr:rowOff>142875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09F281AF-F208-4767-B0D6-1E0D7CCB3345}"/>
            </a:ext>
          </a:extLst>
        </xdr:cNvPr>
        <xdr:cNvCxnSpPr/>
      </xdr:nvCxnSpPr>
      <xdr:spPr>
        <a:xfrm flipH="1">
          <a:off x="4238625" y="17383125"/>
          <a:ext cx="725805" cy="49911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26955</xdr:colOff>
      <xdr:row>24</xdr:row>
      <xdr:rowOff>0</xdr:rowOff>
    </xdr:from>
    <xdr:to>
      <xdr:col>6</xdr:col>
      <xdr:colOff>269524</xdr:colOff>
      <xdr:row>24</xdr:row>
      <xdr:rowOff>0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95707CAC-30EB-4843-809E-15EDBB4C2C44}"/>
            </a:ext>
          </a:extLst>
        </xdr:cNvPr>
        <xdr:cNvGrpSpPr/>
      </xdr:nvGrpSpPr>
      <xdr:grpSpPr>
        <a:xfrm>
          <a:off x="2236755" y="4733925"/>
          <a:ext cx="585469" cy="0"/>
          <a:chOff x="1725164" y="2832651"/>
          <a:chExt cx="681443" cy="576696"/>
        </a:xfrm>
      </xdr:grpSpPr>
      <xdr:grpSp>
        <xdr:nvGrpSpPr>
          <xdr:cNvPr id="28" name="Grupo 27">
            <a:extLst>
              <a:ext uri="{FF2B5EF4-FFF2-40B4-BE49-F238E27FC236}">
                <a16:creationId xmlns:a16="http://schemas.microsoft.com/office/drawing/2014/main" id="{CB3CFF40-0467-4F51-807D-7CBEBC4F1F46}"/>
              </a:ext>
            </a:extLst>
          </xdr:cNvPr>
          <xdr:cNvGrpSpPr/>
        </xdr:nvGrpSpPr>
        <xdr:grpSpPr>
          <a:xfrm>
            <a:off x="1725164" y="2832651"/>
            <a:ext cx="405889" cy="576696"/>
            <a:chOff x="1814321" y="2581603"/>
            <a:chExt cx="403184" cy="778328"/>
          </a:xfrm>
        </xdr:grpSpPr>
        <xdr:cxnSp macro="">
          <xdr:nvCxnSpPr>
            <xdr:cNvPr id="30" name="Conector recto 29">
              <a:extLst>
                <a:ext uri="{FF2B5EF4-FFF2-40B4-BE49-F238E27FC236}">
                  <a16:creationId xmlns:a16="http://schemas.microsoft.com/office/drawing/2014/main" id="{27C94AAE-4F61-4E50-9978-4A5B9533BEB5}"/>
                </a:ext>
              </a:extLst>
            </xdr:cNvPr>
            <xdr:cNvCxnSpPr/>
          </xdr:nvCxnSpPr>
          <xdr:spPr>
            <a:xfrm flipH="1">
              <a:off x="2028091" y="2581603"/>
              <a:ext cx="189414" cy="778326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" name="Conector recto 30">
              <a:extLst>
                <a:ext uri="{FF2B5EF4-FFF2-40B4-BE49-F238E27FC236}">
                  <a16:creationId xmlns:a16="http://schemas.microsoft.com/office/drawing/2014/main" id="{55D43F91-38B4-457C-B50C-647C03F4E3AC}"/>
                </a:ext>
              </a:extLst>
            </xdr:cNvPr>
            <xdr:cNvCxnSpPr/>
          </xdr:nvCxnSpPr>
          <xdr:spPr>
            <a:xfrm flipH="1">
              <a:off x="1814321" y="3358309"/>
              <a:ext cx="213405" cy="1622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9" name="Conector recto 28">
            <a:extLst>
              <a:ext uri="{FF2B5EF4-FFF2-40B4-BE49-F238E27FC236}">
                <a16:creationId xmlns:a16="http://schemas.microsoft.com/office/drawing/2014/main" id="{F2F6D118-D90B-4B75-ABDD-79E094A85171}"/>
              </a:ext>
            </a:extLst>
          </xdr:cNvPr>
          <xdr:cNvCxnSpPr/>
        </xdr:nvCxnSpPr>
        <xdr:spPr>
          <a:xfrm>
            <a:off x="2133281" y="2838916"/>
            <a:ext cx="273326" cy="201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9922</xdr:colOff>
      <xdr:row>75</xdr:row>
      <xdr:rowOff>138907</xdr:rowOff>
    </xdr:from>
    <xdr:to>
      <xdr:col>7</xdr:col>
      <xdr:colOff>30691</xdr:colOff>
      <xdr:row>75</xdr:row>
      <xdr:rowOff>138907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9B0FA88E-14B5-4A8B-8B68-E2CAABE60885}"/>
            </a:ext>
          </a:extLst>
        </xdr:cNvPr>
        <xdr:cNvCxnSpPr/>
      </xdr:nvCxnSpPr>
      <xdr:spPr>
        <a:xfrm rot="5400000" flipH="1">
          <a:off x="4775187" y="13052042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206675</xdr:colOff>
      <xdr:row>65</xdr:row>
      <xdr:rowOff>44930</xdr:rowOff>
    </xdr:from>
    <xdr:to>
      <xdr:col>6</xdr:col>
      <xdr:colOff>206676</xdr:colOff>
      <xdr:row>68</xdr:row>
      <xdr:rowOff>89858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458155DC-DB19-4C75-A87D-B0B648BEB05D}"/>
            </a:ext>
          </a:extLst>
        </xdr:cNvPr>
        <xdr:cNvCxnSpPr/>
      </xdr:nvCxnSpPr>
      <xdr:spPr>
        <a:xfrm flipH="1" flipV="1">
          <a:off x="4961555" y="11932130"/>
          <a:ext cx="1" cy="593568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251604</xdr:colOff>
      <xdr:row>70</xdr:row>
      <xdr:rowOff>0</xdr:rowOff>
    </xdr:from>
    <xdr:to>
      <xdr:col>6</xdr:col>
      <xdr:colOff>251605</xdr:colOff>
      <xdr:row>73</xdr:row>
      <xdr:rowOff>0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E1C490EC-F027-4CE6-A982-48E95A5393C3}"/>
            </a:ext>
          </a:extLst>
        </xdr:cNvPr>
        <xdr:cNvCxnSpPr/>
      </xdr:nvCxnSpPr>
      <xdr:spPr>
        <a:xfrm>
          <a:off x="5006484" y="12801600"/>
          <a:ext cx="1" cy="54864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3353</xdr:colOff>
      <xdr:row>24</xdr:row>
      <xdr:rowOff>0</xdr:rowOff>
    </xdr:from>
    <xdr:to>
      <xdr:col>7</xdr:col>
      <xdr:colOff>1261</xdr:colOff>
      <xdr:row>24</xdr:row>
      <xdr:rowOff>0</xdr:rowOff>
    </xdr:to>
    <xdr:grpSp>
      <xdr:nvGrpSpPr>
        <xdr:cNvPr id="35" name="Grupo 34">
          <a:extLst>
            <a:ext uri="{FF2B5EF4-FFF2-40B4-BE49-F238E27FC236}">
              <a16:creationId xmlns:a16="http://schemas.microsoft.com/office/drawing/2014/main" id="{C2087C4A-DFB0-4AA8-BD88-EAB85E85640A}"/>
            </a:ext>
          </a:extLst>
        </xdr:cNvPr>
        <xdr:cNvGrpSpPr/>
      </xdr:nvGrpSpPr>
      <xdr:grpSpPr>
        <a:xfrm>
          <a:off x="2213153" y="4733925"/>
          <a:ext cx="683708" cy="0"/>
          <a:chOff x="1704715" y="19077235"/>
          <a:chExt cx="901010" cy="192178"/>
        </a:xfrm>
      </xdr:grpSpPr>
      <xdr:cxnSp macro="">
        <xdr:nvCxnSpPr>
          <xdr:cNvPr id="36" name="Conector recto 35">
            <a:extLst>
              <a:ext uri="{FF2B5EF4-FFF2-40B4-BE49-F238E27FC236}">
                <a16:creationId xmlns:a16="http://schemas.microsoft.com/office/drawing/2014/main" id="{62D419FA-AC58-4D09-9D67-C60925FA470A}"/>
              </a:ext>
            </a:extLst>
          </xdr:cNvPr>
          <xdr:cNvCxnSpPr/>
        </xdr:nvCxnSpPr>
        <xdr:spPr>
          <a:xfrm rot="5400000" flipH="1">
            <a:off x="2155220" y="18626730"/>
            <a:ext cx="0" cy="90101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Conector recto 36">
            <a:extLst>
              <a:ext uri="{FF2B5EF4-FFF2-40B4-BE49-F238E27FC236}">
                <a16:creationId xmlns:a16="http://schemas.microsoft.com/office/drawing/2014/main" id="{314BC464-BFF8-448F-A107-9F8D7114D45E}"/>
              </a:ext>
            </a:extLst>
          </xdr:cNvPr>
          <xdr:cNvCxnSpPr/>
        </xdr:nvCxnSpPr>
        <xdr:spPr>
          <a:xfrm>
            <a:off x="1714499" y="19089413"/>
            <a:ext cx="0" cy="180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9922</xdr:colOff>
      <xdr:row>140</xdr:row>
      <xdr:rowOff>138907</xdr:rowOff>
    </xdr:from>
    <xdr:to>
      <xdr:col>7</xdr:col>
      <xdr:colOff>30691</xdr:colOff>
      <xdr:row>140</xdr:row>
      <xdr:rowOff>138907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5CD18049-83CF-4E76-8B29-629F1EBBE99D}"/>
            </a:ext>
          </a:extLst>
        </xdr:cNvPr>
        <xdr:cNvCxnSpPr/>
      </xdr:nvCxnSpPr>
      <xdr:spPr>
        <a:xfrm rot="5400000" flipH="1">
          <a:off x="4775187" y="24939242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71886</xdr:colOff>
      <xdr:row>135</xdr:row>
      <xdr:rowOff>66452</xdr:rowOff>
    </xdr:from>
    <xdr:to>
      <xdr:col>6</xdr:col>
      <xdr:colOff>74382</xdr:colOff>
      <xdr:row>138</xdr:row>
      <xdr:rowOff>71887</xdr:rowOff>
    </xdr:to>
    <xdr:cxnSp macro="">
      <xdr:nvCxnSpPr>
        <xdr:cNvPr id="39" name="Conector recto 38">
          <a:extLst>
            <a:ext uri="{FF2B5EF4-FFF2-40B4-BE49-F238E27FC236}">
              <a16:creationId xmlns:a16="http://schemas.microsoft.com/office/drawing/2014/main" id="{F5F6F267-EDF6-490B-915D-77A6BDF98DBE}"/>
            </a:ext>
          </a:extLst>
        </xdr:cNvPr>
        <xdr:cNvCxnSpPr/>
      </xdr:nvCxnSpPr>
      <xdr:spPr>
        <a:xfrm flipH="1">
          <a:off x="4826766" y="24755252"/>
          <a:ext cx="2496" cy="554075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58473</xdr:colOff>
      <xdr:row>24</xdr:row>
      <xdr:rowOff>0</xdr:rowOff>
    </xdr:from>
    <xdr:to>
      <xdr:col>7</xdr:col>
      <xdr:colOff>41671</xdr:colOff>
      <xdr:row>24</xdr:row>
      <xdr:rowOff>0</xdr:rowOff>
    </xdr:to>
    <xdr:grpSp>
      <xdr:nvGrpSpPr>
        <xdr:cNvPr id="40" name="Grupo 39">
          <a:extLst>
            <a:ext uri="{FF2B5EF4-FFF2-40B4-BE49-F238E27FC236}">
              <a16:creationId xmlns:a16="http://schemas.microsoft.com/office/drawing/2014/main" id="{FB7F50B9-0A41-4E62-84EF-F9A79C95243F}"/>
            </a:ext>
          </a:extLst>
        </xdr:cNvPr>
        <xdr:cNvGrpSpPr/>
      </xdr:nvGrpSpPr>
      <xdr:grpSpPr>
        <a:xfrm>
          <a:off x="2268273" y="4733925"/>
          <a:ext cx="668998" cy="0"/>
          <a:chOff x="1499129" y="7971701"/>
          <a:chExt cx="864261" cy="350371"/>
        </a:xfrm>
      </xdr:grpSpPr>
      <xdr:grpSp>
        <xdr:nvGrpSpPr>
          <xdr:cNvPr id="41" name="Grupo 40">
            <a:extLst>
              <a:ext uri="{FF2B5EF4-FFF2-40B4-BE49-F238E27FC236}">
                <a16:creationId xmlns:a16="http://schemas.microsoft.com/office/drawing/2014/main" id="{665C3220-1FB2-4A88-9035-AC3B3688E356}"/>
              </a:ext>
            </a:extLst>
          </xdr:cNvPr>
          <xdr:cNvGrpSpPr/>
        </xdr:nvGrpSpPr>
        <xdr:grpSpPr>
          <a:xfrm>
            <a:off x="1499129" y="8184156"/>
            <a:ext cx="864261" cy="137916"/>
            <a:chOff x="2211065" y="3333819"/>
            <a:chExt cx="360000" cy="184041"/>
          </a:xfrm>
        </xdr:grpSpPr>
        <xdr:cxnSp macro="">
          <xdr:nvCxnSpPr>
            <xdr:cNvPr id="43" name="Conector recto 42">
              <a:extLst>
                <a:ext uri="{FF2B5EF4-FFF2-40B4-BE49-F238E27FC236}">
                  <a16:creationId xmlns:a16="http://schemas.microsoft.com/office/drawing/2014/main" id="{F54556B5-27D8-40CD-BB85-A1C10A566722}"/>
                </a:ext>
              </a:extLst>
            </xdr:cNvPr>
            <xdr:cNvCxnSpPr/>
          </xdr:nvCxnSpPr>
          <xdr:spPr>
            <a:xfrm>
              <a:off x="2217505" y="3344500"/>
              <a:ext cx="3336" cy="173360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Conector recto 43">
              <a:extLst>
                <a:ext uri="{FF2B5EF4-FFF2-40B4-BE49-F238E27FC236}">
                  <a16:creationId xmlns:a16="http://schemas.microsoft.com/office/drawing/2014/main" id="{3109DD3D-CD3D-4B7F-8F4F-F4B599AAAA55}"/>
                </a:ext>
              </a:extLst>
            </xdr:cNvPr>
            <xdr:cNvCxnSpPr/>
          </xdr:nvCxnSpPr>
          <xdr:spPr>
            <a:xfrm rot="5400000" flipH="1">
              <a:off x="2391065" y="3153819"/>
              <a:ext cx="0" cy="360000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42" name="Conector recto 41">
            <a:extLst>
              <a:ext uri="{FF2B5EF4-FFF2-40B4-BE49-F238E27FC236}">
                <a16:creationId xmlns:a16="http://schemas.microsoft.com/office/drawing/2014/main" id="{907A2C28-AD29-4D77-B73D-7A935FE7E841}"/>
              </a:ext>
            </a:extLst>
          </xdr:cNvPr>
          <xdr:cNvCxnSpPr/>
        </xdr:nvCxnSpPr>
        <xdr:spPr>
          <a:xfrm flipH="1">
            <a:off x="2356379" y="7971701"/>
            <a:ext cx="0" cy="216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3685</xdr:colOff>
      <xdr:row>24</xdr:row>
      <xdr:rowOff>0</xdr:rowOff>
    </xdr:from>
    <xdr:to>
      <xdr:col>6</xdr:col>
      <xdr:colOff>235562</xdr:colOff>
      <xdr:row>24</xdr:row>
      <xdr:rowOff>0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72B0598E-D5CB-41C6-A75F-40D84FCFF970}"/>
            </a:ext>
          </a:extLst>
        </xdr:cNvPr>
        <xdr:cNvGrpSpPr/>
      </xdr:nvGrpSpPr>
      <xdr:grpSpPr>
        <a:xfrm rot="5400000">
          <a:off x="2672324" y="4617986"/>
          <a:ext cx="0" cy="231877"/>
          <a:chOff x="1703076" y="23175311"/>
          <a:chExt cx="901010" cy="256189"/>
        </a:xfrm>
      </xdr:grpSpPr>
      <xdr:cxnSp macro="">
        <xdr:nvCxnSpPr>
          <xdr:cNvPr id="46" name="Conector recto 45">
            <a:extLst>
              <a:ext uri="{FF2B5EF4-FFF2-40B4-BE49-F238E27FC236}">
                <a16:creationId xmlns:a16="http://schemas.microsoft.com/office/drawing/2014/main" id="{DF0ACA1B-9BB4-4A88-81D9-3AD7C69860CE}"/>
              </a:ext>
            </a:extLst>
          </xdr:cNvPr>
          <xdr:cNvCxnSpPr/>
        </xdr:nvCxnSpPr>
        <xdr:spPr>
          <a:xfrm rot="5400000" flipH="1">
            <a:off x="2153581" y="22980995"/>
            <a:ext cx="0" cy="90101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Conector recto 46">
            <a:extLst>
              <a:ext uri="{FF2B5EF4-FFF2-40B4-BE49-F238E27FC236}">
                <a16:creationId xmlns:a16="http://schemas.microsoft.com/office/drawing/2014/main" id="{97677FA5-ADC9-4464-9662-15FBC20A4F3D}"/>
              </a:ext>
            </a:extLst>
          </xdr:cNvPr>
          <xdr:cNvCxnSpPr/>
        </xdr:nvCxnSpPr>
        <xdr:spPr>
          <a:xfrm flipH="1">
            <a:off x="1707931" y="23175311"/>
            <a:ext cx="0" cy="252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65042</xdr:colOff>
      <xdr:row>24</xdr:row>
      <xdr:rowOff>0</xdr:rowOff>
    </xdr:from>
    <xdr:to>
      <xdr:col>7</xdr:col>
      <xdr:colOff>48240</xdr:colOff>
      <xdr:row>24</xdr:row>
      <xdr:rowOff>0</xdr:rowOff>
    </xdr:to>
    <xdr:grpSp>
      <xdr:nvGrpSpPr>
        <xdr:cNvPr id="48" name="Grupo 47">
          <a:extLst>
            <a:ext uri="{FF2B5EF4-FFF2-40B4-BE49-F238E27FC236}">
              <a16:creationId xmlns:a16="http://schemas.microsoft.com/office/drawing/2014/main" id="{0F7007FD-0C52-45CB-B247-C1708AD3E5E0}"/>
            </a:ext>
          </a:extLst>
        </xdr:cNvPr>
        <xdr:cNvGrpSpPr/>
      </xdr:nvGrpSpPr>
      <xdr:grpSpPr>
        <a:xfrm>
          <a:off x="2274842" y="4733925"/>
          <a:ext cx="668998" cy="0"/>
          <a:chOff x="1499129" y="7971701"/>
          <a:chExt cx="864261" cy="216000"/>
        </a:xfrm>
      </xdr:grpSpPr>
      <xdr:grpSp>
        <xdr:nvGrpSpPr>
          <xdr:cNvPr id="49" name="Grupo 48">
            <a:extLst>
              <a:ext uri="{FF2B5EF4-FFF2-40B4-BE49-F238E27FC236}">
                <a16:creationId xmlns:a16="http://schemas.microsoft.com/office/drawing/2014/main" id="{1085B187-42BC-4D9E-A9E0-3F16E6C1827D}"/>
              </a:ext>
            </a:extLst>
          </xdr:cNvPr>
          <xdr:cNvGrpSpPr/>
        </xdr:nvGrpSpPr>
        <xdr:grpSpPr>
          <a:xfrm>
            <a:off x="1499129" y="7971701"/>
            <a:ext cx="864261" cy="216000"/>
            <a:chOff x="2211065" y="3050303"/>
            <a:chExt cx="360000" cy="288239"/>
          </a:xfrm>
        </xdr:grpSpPr>
        <xdr:cxnSp macro="">
          <xdr:nvCxnSpPr>
            <xdr:cNvPr id="51" name="Conector recto 50">
              <a:extLst>
                <a:ext uri="{FF2B5EF4-FFF2-40B4-BE49-F238E27FC236}">
                  <a16:creationId xmlns:a16="http://schemas.microsoft.com/office/drawing/2014/main" id="{6A83AD7B-98FD-4FD6-8A4F-3DA936DE1696}"/>
                </a:ext>
              </a:extLst>
            </xdr:cNvPr>
            <xdr:cNvCxnSpPr/>
          </xdr:nvCxnSpPr>
          <xdr:spPr>
            <a:xfrm flipH="1">
              <a:off x="2217505" y="3050303"/>
              <a:ext cx="0" cy="288239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2" name="Conector recto 51">
              <a:extLst>
                <a:ext uri="{FF2B5EF4-FFF2-40B4-BE49-F238E27FC236}">
                  <a16:creationId xmlns:a16="http://schemas.microsoft.com/office/drawing/2014/main" id="{68D9444B-E6E9-4B3E-AE79-82CFB4FE08F9}"/>
                </a:ext>
              </a:extLst>
            </xdr:cNvPr>
            <xdr:cNvCxnSpPr/>
          </xdr:nvCxnSpPr>
          <xdr:spPr>
            <a:xfrm rot="5400000" flipH="1">
              <a:off x="2391065" y="3153819"/>
              <a:ext cx="0" cy="360000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50" name="Conector recto 49">
            <a:extLst>
              <a:ext uri="{FF2B5EF4-FFF2-40B4-BE49-F238E27FC236}">
                <a16:creationId xmlns:a16="http://schemas.microsoft.com/office/drawing/2014/main" id="{5D69AC55-DB88-43A2-A56E-0F650F11480A}"/>
              </a:ext>
            </a:extLst>
          </xdr:cNvPr>
          <xdr:cNvCxnSpPr/>
        </xdr:nvCxnSpPr>
        <xdr:spPr>
          <a:xfrm flipH="1">
            <a:off x="2356379" y="7971701"/>
            <a:ext cx="0" cy="216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212864</xdr:colOff>
      <xdr:row>24</xdr:row>
      <xdr:rowOff>0</xdr:rowOff>
    </xdr:from>
    <xdr:to>
      <xdr:col>6</xdr:col>
      <xdr:colOff>174110</xdr:colOff>
      <xdr:row>24</xdr:row>
      <xdr:rowOff>0</xdr:rowOff>
    </xdr:to>
    <xdr:grpSp>
      <xdr:nvGrpSpPr>
        <xdr:cNvPr id="53" name="Grupo 52">
          <a:extLst>
            <a:ext uri="{FF2B5EF4-FFF2-40B4-BE49-F238E27FC236}">
              <a16:creationId xmlns:a16="http://schemas.microsoft.com/office/drawing/2014/main" id="{D7C8E9C4-8BE9-445A-91AE-EDCDBA02894C}"/>
            </a:ext>
          </a:extLst>
        </xdr:cNvPr>
        <xdr:cNvGrpSpPr/>
      </xdr:nvGrpSpPr>
      <xdr:grpSpPr>
        <a:xfrm rot="16200000">
          <a:off x="2574737" y="4581852"/>
          <a:ext cx="0" cy="304146"/>
          <a:chOff x="2211064" y="3050303"/>
          <a:chExt cx="304285" cy="295827"/>
        </a:xfrm>
      </xdr:grpSpPr>
      <xdr:cxnSp macro="">
        <xdr:nvCxnSpPr>
          <xdr:cNvPr id="54" name="Conector recto 53">
            <a:extLst>
              <a:ext uri="{FF2B5EF4-FFF2-40B4-BE49-F238E27FC236}">
                <a16:creationId xmlns:a16="http://schemas.microsoft.com/office/drawing/2014/main" id="{6612AB9F-96BB-44EC-8AAF-E3763EDCDF58}"/>
              </a:ext>
            </a:extLst>
          </xdr:cNvPr>
          <xdr:cNvCxnSpPr/>
        </xdr:nvCxnSpPr>
        <xdr:spPr>
          <a:xfrm flipH="1">
            <a:off x="2217505" y="3050303"/>
            <a:ext cx="0" cy="28823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Conector recto 54">
            <a:extLst>
              <a:ext uri="{FF2B5EF4-FFF2-40B4-BE49-F238E27FC236}">
                <a16:creationId xmlns:a16="http://schemas.microsoft.com/office/drawing/2014/main" id="{96BA4419-D415-48C3-AD8C-414B33D0795F}"/>
              </a:ext>
            </a:extLst>
          </xdr:cNvPr>
          <xdr:cNvCxnSpPr/>
        </xdr:nvCxnSpPr>
        <xdr:spPr>
          <a:xfrm rot="5400000" flipH="1">
            <a:off x="2357052" y="3187832"/>
            <a:ext cx="12310" cy="304285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34178</xdr:colOff>
      <xdr:row>24</xdr:row>
      <xdr:rowOff>0</xdr:rowOff>
    </xdr:from>
    <xdr:to>
      <xdr:col>6</xdr:col>
      <xdr:colOff>52541</xdr:colOff>
      <xdr:row>24</xdr:row>
      <xdr:rowOff>0</xdr:rowOff>
    </xdr:to>
    <xdr:grpSp>
      <xdr:nvGrpSpPr>
        <xdr:cNvPr id="56" name="Grupo 55">
          <a:extLst>
            <a:ext uri="{FF2B5EF4-FFF2-40B4-BE49-F238E27FC236}">
              <a16:creationId xmlns:a16="http://schemas.microsoft.com/office/drawing/2014/main" id="{E10943FB-F973-4CCA-B056-04553D84EE4F}"/>
            </a:ext>
          </a:extLst>
        </xdr:cNvPr>
        <xdr:cNvGrpSpPr/>
      </xdr:nvGrpSpPr>
      <xdr:grpSpPr>
        <a:xfrm>
          <a:off x="2243978" y="4733925"/>
          <a:ext cx="361263" cy="0"/>
          <a:chOff x="1351185" y="2633225"/>
          <a:chExt cx="828000" cy="2565051"/>
        </a:xfrm>
      </xdr:grpSpPr>
      <xdr:cxnSp macro="">
        <xdr:nvCxnSpPr>
          <xdr:cNvPr id="57" name="Conector recto 56">
            <a:extLst>
              <a:ext uri="{FF2B5EF4-FFF2-40B4-BE49-F238E27FC236}">
                <a16:creationId xmlns:a16="http://schemas.microsoft.com/office/drawing/2014/main" id="{755F612D-38D6-439E-935E-98A2E2C973FA}"/>
              </a:ext>
            </a:extLst>
          </xdr:cNvPr>
          <xdr:cNvCxnSpPr/>
        </xdr:nvCxnSpPr>
        <xdr:spPr>
          <a:xfrm rot="5400000" flipH="1">
            <a:off x="1765185" y="4784276"/>
            <a:ext cx="0" cy="828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Conector recto 57">
            <a:extLst>
              <a:ext uri="{FF2B5EF4-FFF2-40B4-BE49-F238E27FC236}">
                <a16:creationId xmlns:a16="http://schemas.microsoft.com/office/drawing/2014/main" id="{2244CD86-62B4-466A-9F42-9E06C4798F8D}"/>
              </a:ext>
            </a:extLst>
          </xdr:cNvPr>
          <xdr:cNvCxnSpPr/>
        </xdr:nvCxnSpPr>
        <xdr:spPr>
          <a:xfrm flipH="1">
            <a:off x="2150862" y="2633225"/>
            <a:ext cx="0" cy="254479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58473</xdr:colOff>
      <xdr:row>24</xdr:row>
      <xdr:rowOff>0</xdr:rowOff>
    </xdr:from>
    <xdr:to>
      <xdr:col>6</xdr:col>
      <xdr:colOff>1314</xdr:colOff>
      <xdr:row>24</xdr:row>
      <xdr:rowOff>0</xdr:rowOff>
    </xdr:to>
    <xdr:grpSp>
      <xdr:nvGrpSpPr>
        <xdr:cNvPr id="59" name="Grupo 58">
          <a:extLst>
            <a:ext uri="{FF2B5EF4-FFF2-40B4-BE49-F238E27FC236}">
              <a16:creationId xmlns:a16="http://schemas.microsoft.com/office/drawing/2014/main" id="{592D6C72-669F-4EB5-9D4A-2CFC053239B2}"/>
            </a:ext>
          </a:extLst>
        </xdr:cNvPr>
        <xdr:cNvGrpSpPr/>
      </xdr:nvGrpSpPr>
      <xdr:grpSpPr>
        <a:xfrm>
          <a:off x="2268273" y="4733925"/>
          <a:ext cx="285741" cy="0"/>
          <a:chOff x="2211065" y="3050303"/>
          <a:chExt cx="360000" cy="288239"/>
        </a:xfrm>
      </xdr:grpSpPr>
      <xdr:cxnSp macro="">
        <xdr:nvCxnSpPr>
          <xdr:cNvPr id="60" name="Conector recto 59">
            <a:extLst>
              <a:ext uri="{FF2B5EF4-FFF2-40B4-BE49-F238E27FC236}">
                <a16:creationId xmlns:a16="http://schemas.microsoft.com/office/drawing/2014/main" id="{AFDF0883-ADFE-46CC-AF8B-A376FF137629}"/>
              </a:ext>
            </a:extLst>
          </xdr:cNvPr>
          <xdr:cNvCxnSpPr/>
        </xdr:nvCxnSpPr>
        <xdr:spPr>
          <a:xfrm flipH="1">
            <a:off x="2217505" y="3050303"/>
            <a:ext cx="0" cy="28823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Conector recto 60">
            <a:extLst>
              <a:ext uri="{FF2B5EF4-FFF2-40B4-BE49-F238E27FC236}">
                <a16:creationId xmlns:a16="http://schemas.microsoft.com/office/drawing/2014/main" id="{A0509182-FAA9-42B2-9F86-CBBC40760EA0}"/>
              </a:ext>
            </a:extLst>
          </xdr:cNvPr>
          <xdr:cNvCxnSpPr/>
        </xdr:nvCxnSpPr>
        <xdr:spPr>
          <a:xfrm rot="5400000" flipH="1">
            <a:off x="2391065" y="3153819"/>
            <a:ext cx="0" cy="360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193676</xdr:colOff>
      <xdr:row>24</xdr:row>
      <xdr:rowOff>0</xdr:rowOff>
    </xdr:from>
    <xdr:to>
      <xdr:col>6</xdr:col>
      <xdr:colOff>141979</xdr:colOff>
      <xdr:row>24</xdr:row>
      <xdr:rowOff>0</xdr:rowOff>
    </xdr:to>
    <xdr:grpSp>
      <xdr:nvGrpSpPr>
        <xdr:cNvPr id="62" name="Grupo 61">
          <a:extLst>
            <a:ext uri="{FF2B5EF4-FFF2-40B4-BE49-F238E27FC236}">
              <a16:creationId xmlns:a16="http://schemas.microsoft.com/office/drawing/2014/main" id="{FB961C74-9164-46C4-B0E0-4E9148B2E1CF}"/>
            </a:ext>
          </a:extLst>
        </xdr:cNvPr>
        <xdr:cNvGrpSpPr/>
      </xdr:nvGrpSpPr>
      <xdr:grpSpPr>
        <a:xfrm rot="10800000">
          <a:off x="2403476" y="4733925"/>
          <a:ext cx="291203" cy="0"/>
          <a:chOff x="1351185" y="2364579"/>
          <a:chExt cx="828000" cy="2890831"/>
        </a:xfrm>
      </xdr:grpSpPr>
      <xdr:cxnSp macro="">
        <xdr:nvCxnSpPr>
          <xdr:cNvPr id="63" name="Conector recto 62">
            <a:extLst>
              <a:ext uri="{FF2B5EF4-FFF2-40B4-BE49-F238E27FC236}">
                <a16:creationId xmlns:a16="http://schemas.microsoft.com/office/drawing/2014/main" id="{4DCB8026-0E8A-4550-9869-A188FA71F69C}"/>
              </a:ext>
            </a:extLst>
          </xdr:cNvPr>
          <xdr:cNvCxnSpPr/>
        </xdr:nvCxnSpPr>
        <xdr:spPr>
          <a:xfrm rot="5400000" flipH="1">
            <a:off x="1765185" y="4784276"/>
            <a:ext cx="0" cy="828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Conector recto 63">
            <a:extLst>
              <a:ext uri="{FF2B5EF4-FFF2-40B4-BE49-F238E27FC236}">
                <a16:creationId xmlns:a16="http://schemas.microsoft.com/office/drawing/2014/main" id="{EB09B829-0F48-4798-AF40-B28A1ECFE6CC}"/>
              </a:ext>
            </a:extLst>
          </xdr:cNvPr>
          <xdr:cNvCxnSpPr/>
        </xdr:nvCxnSpPr>
        <xdr:spPr>
          <a:xfrm rot="5400000" flipV="1">
            <a:off x="-77966" y="3809556"/>
            <a:ext cx="2890831" cy="878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58473</xdr:colOff>
      <xdr:row>24</xdr:row>
      <xdr:rowOff>0</xdr:rowOff>
    </xdr:from>
    <xdr:to>
      <xdr:col>6</xdr:col>
      <xdr:colOff>1314</xdr:colOff>
      <xdr:row>24</xdr:row>
      <xdr:rowOff>0</xdr:rowOff>
    </xdr:to>
    <xdr:grpSp>
      <xdr:nvGrpSpPr>
        <xdr:cNvPr id="65" name="Grupo 64">
          <a:extLst>
            <a:ext uri="{FF2B5EF4-FFF2-40B4-BE49-F238E27FC236}">
              <a16:creationId xmlns:a16="http://schemas.microsoft.com/office/drawing/2014/main" id="{888AF9C7-D6BA-4586-89D4-812022964838}"/>
            </a:ext>
          </a:extLst>
        </xdr:cNvPr>
        <xdr:cNvGrpSpPr/>
      </xdr:nvGrpSpPr>
      <xdr:grpSpPr>
        <a:xfrm>
          <a:off x="2268273" y="4733925"/>
          <a:ext cx="285741" cy="0"/>
          <a:chOff x="2211065" y="3050303"/>
          <a:chExt cx="360000" cy="288239"/>
        </a:xfrm>
      </xdr:grpSpPr>
      <xdr:cxnSp macro="">
        <xdr:nvCxnSpPr>
          <xdr:cNvPr id="66" name="Conector recto 65">
            <a:extLst>
              <a:ext uri="{FF2B5EF4-FFF2-40B4-BE49-F238E27FC236}">
                <a16:creationId xmlns:a16="http://schemas.microsoft.com/office/drawing/2014/main" id="{02153C2E-0C10-455F-8E51-C7B95CBE87B2}"/>
              </a:ext>
            </a:extLst>
          </xdr:cNvPr>
          <xdr:cNvCxnSpPr/>
        </xdr:nvCxnSpPr>
        <xdr:spPr>
          <a:xfrm flipH="1">
            <a:off x="2217505" y="3050303"/>
            <a:ext cx="0" cy="28823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Conector recto 66">
            <a:extLst>
              <a:ext uri="{FF2B5EF4-FFF2-40B4-BE49-F238E27FC236}">
                <a16:creationId xmlns:a16="http://schemas.microsoft.com/office/drawing/2014/main" id="{443ED8A5-8D96-4643-97F8-E47C36142855}"/>
              </a:ext>
            </a:extLst>
          </xdr:cNvPr>
          <xdr:cNvCxnSpPr/>
        </xdr:nvCxnSpPr>
        <xdr:spPr>
          <a:xfrm rot="5400000" flipH="1">
            <a:off x="2391065" y="3153819"/>
            <a:ext cx="0" cy="360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319423</xdr:colOff>
      <xdr:row>24</xdr:row>
      <xdr:rowOff>0</xdr:rowOff>
    </xdr:from>
    <xdr:to>
      <xdr:col>7</xdr:col>
      <xdr:colOff>1465</xdr:colOff>
      <xdr:row>24</xdr:row>
      <xdr:rowOff>0</xdr:rowOff>
    </xdr:to>
    <xdr:grpSp>
      <xdr:nvGrpSpPr>
        <xdr:cNvPr id="68" name="Grupo 67">
          <a:extLst>
            <a:ext uri="{FF2B5EF4-FFF2-40B4-BE49-F238E27FC236}">
              <a16:creationId xmlns:a16="http://schemas.microsoft.com/office/drawing/2014/main" id="{34E21606-4230-4BF3-B3AA-61B7F29103D6}"/>
            </a:ext>
          </a:extLst>
        </xdr:cNvPr>
        <xdr:cNvGrpSpPr/>
      </xdr:nvGrpSpPr>
      <xdr:grpSpPr>
        <a:xfrm>
          <a:off x="2186323" y="4733925"/>
          <a:ext cx="710742" cy="0"/>
          <a:chOff x="1623868" y="32663115"/>
          <a:chExt cx="459827" cy="298487"/>
        </a:xfrm>
      </xdr:grpSpPr>
      <xdr:grpSp>
        <xdr:nvGrpSpPr>
          <xdr:cNvPr id="69" name="Grupo 68">
            <a:extLst>
              <a:ext uri="{FF2B5EF4-FFF2-40B4-BE49-F238E27FC236}">
                <a16:creationId xmlns:a16="http://schemas.microsoft.com/office/drawing/2014/main" id="{BFF9BC91-3268-4EA5-8BBA-CFDE9A2940D3}"/>
              </a:ext>
            </a:extLst>
          </xdr:cNvPr>
          <xdr:cNvGrpSpPr/>
        </xdr:nvGrpSpPr>
        <xdr:grpSpPr>
          <a:xfrm>
            <a:off x="1623868" y="32663115"/>
            <a:ext cx="458484" cy="292031"/>
            <a:chOff x="1351185" y="2614000"/>
            <a:chExt cx="828000" cy="2584276"/>
          </a:xfrm>
        </xdr:grpSpPr>
        <xdr:cxnSp macro="">
          <xdr:nvCxnSpPr>
            <xdr:cNvPr id="71" name="Conector recto 70">
              <a:extLst>
                <a:ext uri="{FF2B5EF4-FFF2-40B4-BE49-F238E27FC236}">
                  <a16:creationId xmlns:a16="http://schemas.microsoft.com/office/drawing/2014/main" id="{7B1159DD-B731-4BBF-9BAF-5F7FD2E5B4F4}"/>
                </a:ext>
              </a:extLst>
            </xdr:cNvPr>
            <xdr:cNvCxnSpPr/>
          </xdr:nvCxnSpPr>
          <xdr:spPr>
            <a:xfrm rot="5400000" flipH="1">
              <a:off x="1765185" y="4784276"/>
              <a:ext cx="0" cy="828000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" name="Conector recto 71">
              <a:extLst>
                <a:ext uri="{FF2B5EF4-FFF2-40B4-BE49-F238E27FC236}">
                  <a16:creationId xmlns:a16="http://schemas.microsoft.com/office/drawing/2014/main" id="{0EDB64DB-61E3-4B24-AD76-E88A681BE216}"/>
                </a:ext>
              </a:extLst>
            </xdr:cNvPr>
            <xdr:cNvCxnSpPr/>
          </xdr:nvCxnSpPr>
          <xdr:spPr>
            <a:xfrm flipH="1">
              <a:off x="1361905" y="2614000"/>
              <a:ext cx="0" cy="2544790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70" name="Conector recto 69">
            <a:extLst>
              <a:ext uri="{FF2B5EF4-FFF2-40B4-BE49-F238E27FC236}">
                <a16:creationId xmlns:a16="http://schemas.microsoft.com/office/drawing/2014/main" id="{8B20BCDE-F854-497D-8107-F8D530EE8A24}"/>
              </a:ext>
            </a:extLst>
          </xdr:cNvPr>
          <xdr:cNvCxnSpPr/>
        </xdr:nvCxnSpPr>
        <xdr:spPr>
          <a:xfrm flipH="1">
            <a:off x="2083695" y="32674033"/>
            <a:ext cx="0" cy="28756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58473</xdr:colOff>
      <xdr:row>24</xdr:row>
      <xdr:rowOff>0</xdr:rowOff>
    </xdr:from>
    <xdr:to>
      <xdr:col>6</xdr:col>
      <xdr:colOff>1314</xdr:colOff>
      <xdr:row>24</xdr:row>
      <xdr:rowOff>0</xdr:rowOff>
    </xdr:to>
    <xdr:grpSp>
      <xdr:nvGrpSpPr>
        <xdr:cNvPr id="73" name="Grupo 72">
          <a:extLst>
            <a:ext uri="{FF2B5EF4-FFF2-40B4-BE49-F238E27FC236}">
              <a16:creationId xmlns:a16="http://schemas.microsoft.com/office/drawing/2014/main" id="{9C4864C5-C65E-44E4-91DD-36DD345B7405}"/>
            </a:ext>
          </a:extLst>
        </xdr:cNvPr>
        <xdr:cNvGrpSpPr/>
      </xdr:nvGrpSpPr>
      <xdr:grpSpPr>
        <a:xfrm>
          <a:off x="2268273" y="4733925"/>
          <a:ext cx="285741" cy="0"/>
          <a:chOff x="2211065" y="3050303"/>
          <a:chExt cx="360000" cy="288239"/>
        </a:xfrm>
      </xdr:grpSpPr>
      <xdr:cxnSp macro="">
        <xdr:nvCxnSpPr>
          <xdr:cNvPr id="74" name="Conector recto 73">
            <a:extLst>
              <a:ext uri="{FF2B5EF4-FFF2-40B4-BE49-F238E27FC236}">
                <a16:creationId xmlns:a16="http://schemas.microsoft.com/office/drawing/2014/main" id="{FC410411-49F2-4605-9C02-7DC34969837A}"/>
              </a:ext>
            </a:extLst>
          </xdr:cNvPr>
          <xdr:cNvCxnSpPr/>
        </xdr:nvCxnSpPr>
        <xdr:spPr>
          <a:xfrm flipH="1">
            <a:off x="2217505" y="3050303"/>
            <a:ext cx="0" cy="28823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" name="Conector recto 74">
            <a:extLst>
              <a:ext uri="{FF2B5EF4-FFF2-40B4-BE49-F238E27FC236}">
                <a16:creationId xmlns:a16="http://schemas.microsoft.com/office/drawing/2014/main" id="{CBCF759B-4891-43CC-8A4B-E0E50DAC5C5C}"/>
              </a:ext>
            </a:extLst>
          </xdr:cNvPr>
          <xdr:cNvCxnSpPr/>
        </xdr:nvCxnSpPr>
        <xdr:spPr>
          <a:xfrm rot="5400000" flipH="1">
            <a:off x="2391065" y="3153819"/>
            <a:ext cx="0" cy="360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3154</xdr:colOff>
      <xdr:row>24</xdr:row>
      <xdr:rowOff>0</xdr:rowOff>
    </xdr:from>
    <xdr:to>
      <xdr:col>7</xdr:col>
      <xdr:colOff>316813</xdr:colOff>
      <xdr:row>24</xdr:row>
      <xdr:rowOff>0</xdr:rowOff>
    </xdr:to>
    <xdr:grpSp>
      <xdr:nvGrpSpPr>
        <xdr:cNvPr id="76" name="Grupo 75">
          <a:extLst>
            <a:ext uri="{FF2B5EF4-FFF2-40B4-BE49-F238E27FC236}">
              <a16:creationId xmlns:a16="http://schemas.microsoft.com/office/drawing/2014/main" id="{3486806E-22F5-4107-8ABA-9E507FA7BC0F}"/>
            </a:ext>
          </a:extLst>
        </xdr:cNvPr>
        <xdr:cNvGrpSpPr/>
      </xdr:nvGrpSpPr>
      <xdr:grpSpPr>
        <a:xfrm>
          <a:off x="2212954" y="4733925"/>
          <a:ext cx="999459" cy="0"/>
          <a:chOff x="1615966" y="35333770"/>
          <a:chExt cx="1143296" cy="481831"/>
        </a:xfrm>
      </xdr:grpSpPr>
      <xdr:grpSp>
        <xdr:nvGrpSpPr>
          <xdr:cNvPr id="77" name="Grupo 76">
            <a:extLst>
              <a:ext uri="{FF2B5EF4-FFF2-40B4-BE49-F238E27FC236}">
                <a16:creationId xmlns:a16="http://schemas.microsoft.com/office/drawing/2014/main" id="{9371DA2A-237D-4EBA-A616-51C6EA000762}"/>
              </a:ext>
            </a:extLst>
          </xdr:cNvPr>
          <xdr:cNvGrpSpPr/>
        </xdr:nvGrpSpPr>
        <xdr:grpSpPr>
          <a:xfrm>
            <a:off x="1623867" y="35333770"/>
            <a:ext cx="902540" cy="481831"/>
            <a:chOff x="1623868" y="32476270"/>
            <a:chExt cx="458484" cy="481831"/>
          </a:xfrm>
        </xdr:grpSpPr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9AAFB589-4373-4590-A14D-CA28A3B5F064}"/>
                </a:ext>
              </a:extLst>
            </xdr:cNvPr>
            <xdr:cNvGrpSpPr/>
          </xdr:nvGrpSpPr>
          <xdr:grpSpPr>
            <a:xfrm>
              <a:off x="1623868" y="32490101"/>
              <a:ext cx="458484" cy="468000"/>
              <a:chOff x="1351185" y="1082946"/>
              <a:chExt cx="828000" cy="4141478"/>
            </a:xfrm>
          </xdr:grpSpPr>
          <xdr:cxnSp macro="">
            <xdr:nvCxnSpPr>
              <xdr:cNvPr id="82" name="Conector recto 81">
                <a:extLst>
                  <a:ext uri="{FF2B5EF4-FFF2-40B4-BE49-F238E27FC236}">
                    <a16:creationId xmlns:a16="http://schemas.microsoft.com/office/drawing/2014/main" id="{75DFF922-D359-4D8E-9649-887A4E2D3359}"/>
                  </a:ext>
                </a:extLst>
              </xdr:cNvPr>
              <xdr:cNvCxnSpPr/>
            </xdr:nvCxnSpPr>
            <xdr:spPr>
              <a:xfrm rot="5400000" flipH="1">
                <a:off x="1765185" y="4784276"/>
                <a:ext cx="0" cy="828000"/>
              </a:xfrm>
              <a:prstGeom prst="line">
                <a:avLst/>
              </a:prstGeom>
              <a:ln w="28575">
                <a:solidFill>
                  <a:srgbClr val="0000FF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83" name="Conector recto 82">
                <a:extLst>
                  <a:ext uri="{FF2B5EF4-FFF2-40B4-BE49-F238E27FC236}">
                    <a16:creationId xmlns:a16="http://schemas.microsoft.com/office/drawing/2014/main" id="{4E7AB66D-0D29-423E-9D73-C7EAC36B6E37}"/>
                  </a:ext>
                </a:extLst>
              </xdr:cNvPr>
              <xdr:cNvCxnSpPr/>
            </xdr:nvCxnSpPr>
            <xdr:spPr>
              <a:xfrm flipH="1">
                <a:off x="1355835" y="1082946"/>
                <a:ext cx="0" cy="4141478"/>
              </a:xfrm>
              <a:prstGeom prst="line">
                <a:avLst/>
              </a:prstGeom>
              <a:ln w="28575">
                <a:solidFill>
                  <a:srgbClr val="0000FF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81" name="Conector recto 80">
              <a:extLst>
                <a:ext uri="{FF2B5EF4-FFF2-40B4-BE49-F238E27FC236}">
                  <a16:creationId xmlns:a16="http://schemas.microsoft.com/office/drawing/2014/main" id="{CC5EFE02-5FCA-4542-96E9-BCD0D27876BF}"/>
                </a:ext>
              </a:extLst>
            </xdr:cNvPr>
            <xdr:cNvCxnSpPr/>
          </xdr:nvCxnSpPr>
          <xdr:spPr>
            <a:xfrm flipH="1">
              <a:off x="2080385" y="32476270"/>
              <a:ext cx="0" cy="476611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78" name="Conector recto 77">
            <a:extLst>
              <a:ext uri="{FF2B5EF4-FFF2-40B4-BE49-F238E27FC236}">
                <a16:creationId xmlns:a16="http://schemas.microsoft.com/office/drawing/2014/main" id="{86B84947-EBD9-4097-ACE4-553CD1D045F2}"/>
              </a:ext>
            </a:extLst>
          </xdr:cNvPr>
          <xdr:cNvCxnSpPr/>
        </xdr:nvCxnSpPr>
        <xdr:spPr>
          <a:xfrm flipH="1">
            <a:off x="1615966" y="35354172"/>
            <a:ext cx="229914" cy="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Conector recto 78">
            <a:extLst>
              <a:ext uri="{FF2B5EF4-FFF2-40B4-BE49-F238E27FC236}">
                <a16:creationId xmlns:a16="http://schemas.microsoft.com/office/drawing/2014/main" id="{A781AA98-ECA9-42B5-B735-1B319072B8D0}"/>
              </a:ext>
            </a:extLst>
          </xdr:cNvPr>
          <xdr:cNvCxnSpPr/>
        </xdr:nvCxnSpPr>
        <xdr:spPr>
          <a:xfrm flipH="1">
            <a:off x="2529348" y="35344078"/>
            <a:ext cx="229914" cy="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282557</xdr:colOff>
      <xdr:row>206</xdr:row>
      <xdr:rowOff>16565</xdr:rowOff>
    </xdr:from>
    <xdr:to>
      <xdr:col>6</xdr:col>
      <xdr:colOff>281609</xdr:colOff>
      <xdr:row>206</xdr:row>
      <xdr:rowOff>16565</xdr:rowOff>
    </xdr:to>
    <xdr:cxnSp macro="">
      <xdr:nvCxnSpPr>
        <xdr:cNvPr id="84" name="Conector recto 83">
          <a:extLst>
            <a:ext uri="{FF2B5EF4-FFF2-40B4-BE49-F238E27FC236}">
              <a16:creationId xmlns:a16="http://schemas.microsoft.com/office/drawing/2014/main" id="{06AA2F8C-B93A-4070-B957-A63B4F28A915}"/>
            </a:ext>
          </a:extLst>
        </xdr:cNvPr>
        <xdr:cNvCxnSpPr/>
      </xdr:nvCxnSpPr>
      <xdr:spPr>
        <a:xfrm flipH="1">
          <a:off x="3452477" y="37689845"/>
          <a:ext cx="1584012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310331</xdr:colOff>
      <xdr:row>15</xdr:row>
      <xdr:rowOff>3072</xdr:rowOff>
    </xdr:from>
    <xdr:to>
      <xdr:col>4</xdr:col>
      <xdr:colOff>310331</xdr:colOff>
      <xdr:row>15</xdr:row>
      <xdr:rowOff>168991</xdr:rowOff>
    </xdr:to>
    <xdr:cxnSp macro="">
      <xdr:nvCxnSpPr>
        <xdr:cNvPr id="85" name="Conector recto 84">
          <a:extLst>
            <a:ext uri="{FF2B5EF4-FFF2-40B4-BE49-F238E27FC236}">
              <a16:creationId xmlns:a16="http://schemas.microsoft.com/office/drawing/2014/main" id="{202A7506-0AD4-40E6-AC5D-840E7143782F}"/>
            </a:ext>
          </a:extLst>
        </xdr:cNvPr>
        <xdr:cNvCxnSpPr/>
      </xdr:nvCxnSpPr>
      <xdr:spPr>
        <a:xfrm flipV="1">
          <a:off x="3480251" y="2746272"/>
          <a:ext cx="0" cy="16591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165229</xdr:colOff>
      <xdr:row>25</xdr:row>
      <xdr:rowOff>0</xdr:rowOff>
    </xdr:from>
    <xdr:to>
      <xdr:col>5</xdr:col>
      <xdr:colOff>165230</xdr:colOff>
      <xdr:row>28</xdr:row>
      <xdr:rowOff>19439</xdr:rowOff>
    </xdr:to>
    <xdr:cxnSp macro="">
      <xdr:nvCxnSpPr>
        <xdr:cNvPr id="86" name="Conector recto 85">
          <a:extLst>
            <a:ext uri="{FF2B5EF4-FFF2-40B4-BE49-F238E27FC236}">
              <a16:creationId xmlns:a16="http://schemas.microsoft.com/office/drawing/2014/main" id="{71500852-E5AA-4129-86BF-78E2D4575010}"/>
            </a:ext>
          </a:extLst>
        </xdr:cNvPr>
        <xdr:cNvCxnSpPr/>
      </xdr:nvCxnSpPr>
      <xdr:spPr>
        <a:xfrm>
          <a:off x="4127629" y="4572000"/>
          <a:ext cx="1" cy="56807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414286</xdr:colOff>
      <xdr:row>31</xdr:row>
      <xdr:rowOff>49049</xdr:rowOff>
    </xdr:from>
    <xdr:to>
      <xdr:col>6</xdr:col>
      <xdr:colOff>435055</xdr:colOff>
      <xdr:row>31</xdr:row>
      <xdr:rowOff>49049</xdr:rowOff>
    </xdr:to>
    <xdr:cxnSp macro="">
      <xdr:nvCxnSpPr>
        <xdr:cNvPr id="87" name="Conector recto 86">
          <a:extLst>
            <a:ext uri="{FF2B5EF4-FFF2-40B4-BE49-F238E27FC236}">
              <a16:creationId xmlns:a16="http://schemas.microsoft.com/office/drawing/2014/main" id="{21A071BC-0970-4A4C-BF17-737B4682AC17}"/>
            </a:ext>
          </a:extLst>
        </xdr:cNvPr>
        <xdr:cNvCxnSpPr/>
      </xdr:nvCxnSpPr>
      <xdr:spPr>
        <a:xfrm rot="5400000" flipH="1">
          <a:off x="4387071" y="4915464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85239</xdr:colOff>
      <xdr:row>70</xdr:row>
      <xdr:rowOff>14949</xdr:rowOff>
    </xdr:from>
    <xdr:to>
      <xdr:col>6</xdr:col>
      <xdr:colOff>264956</xdr:colOff>
      <xdr:row>70</xdr:row>
      <xdr:rowOff>14949</xdr:rowOff>
    </xdr:to>
    <xdr:cxnSp macro="">
      <xdr:nvCxnSpPr>
        <xdr:cNvPr id="88" name="Conector recto 87">
          <a:extLst>
            <a:ext uri="{FF2B5EF4-FFF2-40B4-BE49-F238E27FC236}">
              <a16:creationId xmlns:a16="http://schemas.microsoft.com/office/drawing/2014/main" id="{8538AC85-41EA-4B47-BFB5-81EA046DFE4A}"/>
            </a:ext>
          </a:extLst>
        </xdr:cNvPr>
        <xdr:cNvCxnSpPr/>
      </xdr:nvCxnSpPr>
      <xdr:spPr>
        <a:xfrm flipH="1">
          <a:off x="4840119" y="12816549"/>
          <a:ext cx="179717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246794</xdr:colOff>
      <xdr:row>72</xdr:row>
      <xdr:rowOff>183641</xdr:rowOff>
    </xdr:from>
    <xdr:to>
      <xdr:col>6</xdr:col>
      <xdr:colOff>426511</xdr:colOff>
      <xdr:row>72</xdr:row>
      <xdr:rowOff>183641</xdr:rowOff>
    </xdr:to>
    <xdr:cxnSp macro="">
      <xdr:nvCxnSpPr>
        <xdr:cNvPr id="89" name="Conector recto 88">
          <a:extLst>
            <a:ext uri="{FF2B5EF4-FFF2-40B4-BE49-F238E27FC236}">
              <a16:creationId xmlns:a16="http://schemas.microsoft.com/office/drawing/2014/main" id="{22A1AEB5-A49C-4D03-AA99-B80DCB203417}"/>
            </a:ext>
          </a:extLst>
        </xdr:cNvPr>
        <xdr:cNvCxnSpPr/>
      </xdr:nvCxnSpPr>
      <xdr:spPr>
        <a:xfrm flipH="1">
          <a:off x="5001674" y="13351001"/>
          <a:ext cx="179717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</xdr:colOff>
      <xdr:row>97</xdr:row>
      <xdr:rowOff>142875</xdr:rowOff>
    </xdr:from>
    <xdr:to>
      <xdr:col>5</xdr:col>
      <xdr:colOff>276225</xdr:colOff>
      <xdr:row>97</xdr:row>
      <xdr:rowOff>142875</xdr:rowOff>
    </xdr:to>
    <xdr:cxnSp macro="">
      <xdr:nvCxnSpPr>
        <xdr:cNvPr id="90" name="Conector recto 89">
          <a:extLst>
            <a:ext uri="{FF2B5EF4-FFF2-40B4-BE49-F238E27FC236}">
              <a16:creationId xmlns:a16="http://schemas.microsoft.com/office/drawing/2014/main" id="{43C038B8-4EE6-4C30-A90D-B5E3569A9EB3}"/>
            </a:ext>
          </a:extLst>
        </xdr:cNvPr>
        <xdr:cNvCxnSpPr/>
      </xdr:nvCxnSpPr>
      <xdr:spPr>
        <a:xfrm flipH="1">
          <a:off x="4029075" y="17882235"/>
          <a:ext cx="209550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100053</xdr:colOff>
      <xdr:row>122</xdr:row>
      <xdr:rowOff>104054</xdr:rowOff>
    </xdr:from>
    <xdr:to>
      <xdr:col>6</xdr:col>
      <xdr:colOff>319848</xdr:colOff>
      <xdr:row>122</xdr:row>
      <xdr:rowOff>107257</xdr:rowOff>
    </xdr:to>
    <xdr:cxnSp macro="">
      <xdr:nvCxnSpPr>
        <xdr:cNvPr id="91" name="Conector recto 90">
          <a:extLst>
            <a:ext uri="{FF2B5EF4-FFF2-40B4-BE49-F238E27FC236}">
              <a16:creationId xmlns:a16="http://schemas.microsoft.com/office/drawing/2014/main" id="{B97A467A-5BA1-4C70-87EC-4ED3221F131F}"/>
            </a:ext>
          </a:extLst>
        </xdr:cNvPr>
        <xdr:cNvCxnSpPr/>
      </xdr:nvCxnSpPr>
      <xdr:spPr>
        <a:xfrm>
          <a:off x="4854933" y="22415414"/>
          <a:ext cx="219795" cy="3203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110</xdr:row>
      <xdr:rowOff>142875</xdr:rowOff>
    </xdr:from>
    <xdr:to>
      <xdr:col>6</xdr:col>
      <xdr:colOff>1</xdr:colOff>
      <xdr:row>112</xdr:row>
      <xdr:rowOff>123825</xdr:rowOff>
    </xdr:to>
    <xdr:cxnSp macro="">
      <xdr:nvCxnSpPr>
        <xdr:cNvPr id="92" name="Conector recto 91">
          <a:extLst>
            <a:ext uri="{FF2B5EF4-FFF2-40B4-BE49-F238E27FC236}">
              <a16:creationId xmlns:a16="http://schemas.microsoft.com/office/drawing/2014/main" id="{F6397C84-6231-48D6-ACDA-36570E9DE62B}"/>
            </a:ext>
          </a:extLst>
        </xdr:cNvPr>
        <xdr:cNvCxnSpPr/>
      </xdr:nvCxnSpPr>
      <xdr:spPr>
        <a:xfrm>
          <a:off x="4754880" y="20259675"/>
          <a:ext cx="1" cy="34671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110</xdr:row>
      <xdr:rowOff>28575</xdr:rowOff>
    </xdr:from>
    <xdr:to>
      <xdr:col>6</xdr:col>
      <xdr:colOff>0</xdr:colOff>
      <xdr:row>110</xdr:row>
      <xdr:rowOff>142875</xdr:rowOff>
    </xdr:to>
    <xdr:cxnSp macro="">
      <xdr:nvCxnSpPr>
        <xdr:cNvPr id="93" name="Conector recto 92">
          <a:extLst>
            <a:ext uri="{FF2B5EF4-FFF2-40B4-BE49-F238E27FC236}">
              <a16:creationId xmlns:a16="http://schemas.microsoft.com/office/drawing/2014/main" id="{19CCFC9D-1785-420B-A370-212EA072332D}"/>
            </a:ext>
          </a:extLst>
        </xdr:cNvPr>
        <xdr:cNvCxnSpPr/>
      </xdr:nvCxnSpPr>
      <xdr:spPr>
        <a:xfrm flipH="1" flipV="1">
          <a:off x="4124325" y="20145375"/>
          <a:ext cx="630555" cy="11430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409575</xdr:colOff>
      <xdr:row>100</xdr:row>
      <xdr:rowOff>0</xdr:rowOff>
    </xdr:from>
    <xdr:to>
      <xdr:col>5</xdr:col>
      <xdr:colOff>409577</xdr:colOff>
      <xdr:row>102</xdr:row>
      <xdr:rowOff>133350</xdr:rowOff>
    </xdr:to>
    <xdr:cxnSp macro="">
      <xdr:nvCxnSpPr>
        <xdr:cNvPr id="94" name="Conector recto 93">
          <a:extLst>
            <a:ext uri="{FF2B5EF4-FFF2-40B4-BE49-F238E27FC236}">
              <a16:creationId xmlns:a16="http://schemas.microsoft.com/office/drawing/2014/main" id="{2739753B-DDD1-4DA5-BDAB-447CF9100230}"/>
            </a:ext>
          </a:extLst>
        </xdr:cNvPr>
        <xdr:cNvCxnSpPr/>
      </xdr:nvCxnSpPr>
      <xdr:spPr>
        <a:xfrm>
          <a:off x="4371975" y="18288000"/>
          <a:ext cx="2" cy="49911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400050</xdr:colOff>
      <xdr:row>102</xdr:row>
      <xdr:rowOff>133350</xdr:rowOff>
    </xdr:from>
    <xdr:to>
      <xdr:col>6</xdr:col>
      <xdr:colOff>171450</xdr:colOff>
      <xdr:row>102</xdr:row>
      <xdr:rowOff>133350</xdr:rowOff>
    </xdr:to>
    <xdr:cxnSp macro="">
      <xdr:nvCxnSpPr>
        <xdr:cNvPr id="95" name="Conector recto 94">
          <a:extLst>
            <a:ext uri="{FF2B5EF4-FFF2-40B4-BE49-F238E27FC236}">
              <a16:creationId xmlns:a16="http://schemas.microsoft.com/office/drawing/2014/main" id="{AFC8C4CB-FA37-4325-96EC-0D532DDABB4C}"/>
            </a:ext>
          </a:extLst>
        </xdr:cNvPr>
        <xdr:cNvCxnSpPr/>
      </xdr:nvCxnSpPr>
      <xdr:spPr>
        <a:xfrm flipH="1">
          <a:off x="4362450" y="18787110"/>
          <a:ext cx="563880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105</xdr:row>
      <xdr:rowOff>19050</xdr:rowOff>
    </xdr:from>
    <xdr:to>
      <xdr:col>6</xdr:col>
      <xdr:colOff>1</xdr:colOff>
      <xdr:row>107</xdr:row>
      <xdr:rowOff>142875</xdr:rowOff>
    </xdr:to>
    <xdr:cxnSp macro="">
      <xdr:nvCxnSpPr>
        <xdr:cNvPr id="96" name="Conector recto 95">
          <a:extLst>
            <a:ext uri="{FF2B5EF4-FFF2-40B4-BE49-F238E27FC236}">
              <a16:creationId xmlns:a16="http://schemas.microsoft.com/office/drawing/2014/main" id="{29496D0E-DFEE-4E44-89F7-1FA9B81852AE}"/>
            </a:ext>
          </a:extLst>
        </xdr:cNvPr>
        <xdr:cNvCxnSpPr/>
      </xdr:nvCxnSpPr>
      <xdr:spPr>
        <a:xfrm>
          <a:off x="4754880" y="19221450"/>
          <a:ext cx="1" cy="489585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35944</xdr:colOff>
      <xdr:row>115</xdr:row>
      <xdr:rowOff>8986</xdr:rowOff>
    </xdr:from>
    <xdr:to>
      <xdr:col>6</xdr:col>
      <xdr:colOff>38101</xdr:colOff>
      <xdr:row>117</xdr:row>
      <xdr:rowOff>161925</xdr:rowOff>
    </xdr:to>
    <xdr:cxnSp macro="">
      <xdr:nvCxnSpPr>
        <xdr:cNvPr id="97" name="Conector recto 96">
          <a:extLst>
            <a:ext uri="{FF2B5EF4-FFF2-40B4-BE49-F238E27FC236}">
              <a16:creationId xmlns:a16="http://schemas.microsoft.com/office/drawing/2014/main" id="{613BD46E-A77B-481B-AEB0-6F838B2399E0}"/>
            </a:ext>
          </a:extLst>
        </xdr:cNvPr>
        <xdr:cNvCxnSpPr/>
      </xdr:nvCxnSpPr>
      <xdr:spPr>
        <a:xfrm>
          <a:off x="4790824" y="21040186"/>
          <a:ext cx="2157" cy="51869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428626</xdr:colOff>
      <xdr:row>112</xdr:row>
      <xdr:rowOff>114300</xdr:rowOff>
    </xdr:from>
    <xdr:to>
      <xdr:col>6</xdr:col>
      <xdr:colOff>304800</xdr:colOff>
      <xdr:row>112</xdr:row>
      <xdr:rowOff>114300</xdr:rowOff>
    </xdr:to>
    <xdr:cxnSp macro="">
      <xdr:nvCxnSpPr>
        <xdr:cNvPr id="98" name="Conector recto 97">
          <a:extLst>
            <a:ext uri="{FF2B5EF4-FFF2-40B4-BE49-F238E27FC236}">
              <a16:creationId xmlns:a16="http://schemas.microsoft.com/office/drawing/2014/main" id="{88CBDD1F-4B9C-48E8-8060-775718AE6162}"/>
            </a:ext>
          </a:extLst>
        </xdr:cNvPr>
        <xdr:cNvCxnSpPr/>
      </xdr:nvCxnSpPr>
      <xdr:spPr>
        <a:xfrm flipH="1">
          <a:off x="4391026" y="20596860"/>
          <a:ext cx="668654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402325</xdr:colOff>
      <xdr:row>126</xdr:row>
      <xdr:rowOff>16513</xdr:rowOff>
    </xdr:from>
    <xdr:to>
      <xdr:col>6</xdr:col>
      <xdr:colOff>402325</xdr:colOff>
      <xdr:row>127</xdr:row>
      <xdr:rowOff>6127</xdr:rowOff>
    </xdr:to>
    <xdr:cxnSp macro="">
      <xdr:nvCxnSpPr>
        <xdr:cNvPr id="99" name="Conector recto 98">
          <a:extLst>
            <a:ext uri="{FF2B5EF4-FFF2-40B4-BE49-F238E27FC236}">
              <a16:creationId xmlns:a16="http://schemas.microsoft.com/office/drawing/2014/main" id="{61950AE6-BDCE-4D9C-9D2C-A82DF3B5F480}"/>
            </a:ext>
          </a:extLst>
        </xdr:cNvPr>
        <xdr:cNvCxnSpPr/>
      </xdr:nvCxnSpPr>
      <xdr:spPr>
        <a:xfrm>
          <a:off x="5157205" y="23059393"/>
          <a:ext cx="0" cy="172494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156082</xdr:colOff>
      <xdr:row>129</xdr:row>
      <xdr:rowOff>180094</xdr:rowOff>
    </xdr:from>
    <xdr:to>
      <xdr:col>6</xdr:col>
      <xdr:colOff>312164</xdr:colOff>
      <xdr:row>129</xdr:row>
      <xdr:rowOff>180096</xdr:rowOff>
    </xdr:to>
    <xdr:cxnSp macro="">
      <xdr:nvCxnSpPr>
        <xdr:cNvPr id="100" name="Conector recto 99">
          <a:extLst>
            <a:ext uri="{FF2B5EF4-FFF2-40B4-BE49-F238E27FC236}">
              <a16:creationId xmlns:a16="http://schemas.microsoft.com/office/drawing/2014/main" id="{2E996A72-B5A8-47AA-8523-B023D4DDB504}"/>
            </a:ext>
          </a:extLst>
        </xdr:cNvPr>
        <xdr:cNvCxnSpPr/>
      </xdr:nvCxnSpPr>
      <xdr:spPr>
        <a:xfrm flipH="1">
          <a:off x="4910962" y="23771614"/>
          <a:ext cx="156082" cy="2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133</xdr:row>
      <xdr:rowOff>24333</xdr:rowOff>
    </xdr:from>
    <xdr:to>
      <xdr:col>6</xdr:col>
      <xdr:colOff>308482</xdr:colOff>
      <xdr:row>133</xdr:row>
      <xdr:rowOff>24335</xdr:rowOff>
    </xdr:to>
    <xdr:cxnSp macro="">
      <xdr:nvCxnSpPr>
        <xdr:cNvPr id="101" name="Conector recto 100">
          <a:extLst>
            <a:ext uri="{FF2B5EF4-FFF2-40B4-BE49-F238E27FC236}">
              <a16:creationId xmlns:a16="http://schemas.microsoft.com/office/drawing/2014/main" id="{A901BD82-F996-45E7-AB24-F3FB444800D4}"/>
            </a:ext>
          </a:extLst>
        </xdr:cNvPr>
        <xdr:cNvCxnSpPr/>
      </xdr:nvCxnSpPr>
      <xdr:spPr>
        <a:xfrm flipH="1">
          <a:off x="4907280" y="24347373"/>
          <a:ext cx="156082" cy="2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286775</xdr:colOff>
      <xdr:row>79</xdr:row>
      <xdr:rowOff>102420</xdr:rowOff>
    </xdr:from>
    <xdr:to>
      <xdr:col>5</xdr:col>
      <xdr:colOff>286776</xdr:colOff>
      <xdr:row>83</xdr:row>
      <xdr:rowOff>10242</xdr:rowOff>
    </xdr:to>
    <xdr:cxnSp macro="">
      <xdr:nvCxnSpPr>
        <xdr:cNvPr id="102" name="Conector recto 101">
          <a:extLst>
            <a:ext uri="{FF2B5EF4-FFF2-40B4-BE49-F238E27FC236}">
              <a16:creationId xmlns:a16="http://schemas.microsoft.com/office/drawing/2014/main" id="{18E1F5B0-C56C-4AFF-950A-9CC0FDB651F2}"/>
            </a:ext>
          </a:extLst>
        </xdr:cNvPr>
        <xdr:cNvCxnSpPr/>
      </xdr:nvCxnSpPr>
      <xdr:spPr>
        <a:xfrm flipH="1">
          <a:off x="4249175" y="14549940"/>
          <a:ext cx="1" cy="639342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92178</xdr:colOff>
      <xdr:row>162</xdr:row>
      <xdr:rowOff>170434</xdr:rowOff>
    </xdr:from>
    <xdr:to>
      <xdr:col>5</xdr:col>
      <xdr:colOff>346267</xdr:colOff>
      <xdr:row>162</xdr:row>
      <xdr:rowOff>174113</xdr:rowOff>
    </xdr:to>
    <xdr:cxnSp macro="">
      <xdr:nvCxnSpPr>
        <xdr:cNvPr id="103" name="Conector recto 102">
          <a:extLst>
            <a:ext uri="{FF2B5EF4-FFF2-40B4-BE49-F238E27FC236}">
              <a16:creationId xmlns:a16="http://schemas.microsoft.com/office/drawing/2014/main" id="{506207F4-FEB8-4D67-868F-8E29431DEB84}"/>
            </a:ext>
          </a:extLst>
        </xdr:cNvPr>
        <xdr:cNvCxnSpPr/>
      </xdr:nvCxnSpPr>
      <xdr:spPr>
        <a:xfrm flipV="1">
          <a:off x="4054578" y="29796994"/>
          <a:ext cx="254089" cy="367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368709</xdr:colOff>
      <xdr:row>165</xdr:row>
      <xdr:rowOff>92177</xdr:rowOff>
    </xdr:from>
    <xdr:to>
      <xdr:col>6</xdr:col>
      <xdr:colOff>369194</xdr:colOff>
      <xdr:row>166</xdr:row>
      <xdr:rowOff>189458</xdr:rowOff>
    </xdr:to>
    <xdr:cxnSp macro="">
      <xdr:nvCxnSpPr>
        <xdr:cNvPr id="104" name="Conector recto 103">
          <a:extLst>
            <a:ext uri="{FF2B5EF4-FFF2-40B4-BE49-F238E27FC236}">
              <a16:creationId xmlns:a16="http://schemas.microsoft.com/office/drawing/2014/main" id="{26B1666A-857A-453E-9D61-E5C0E55C4DBD}"/>
            </a:ext>
          </a:extLst>
        </xdr:cNvPr>
        <xdr:cNvCxnSpPr/>
      </xdr:nvCxnSpPr>
      <xdr:spPr>
        <a:xfrm>
          <a:off x="5123589" y="30267377"/>
          <a:ext cx="485" cy="272541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282557</xdr:colOff>
      <xdr:row>216</xdr:row>
      <xdr:rowOff>16565</xdr:rowOff>
    </xdr:from>
    <xdr:to>
      <xdr:col>6</xdr:col>
      <xdr:colOff>281609</xdr:colOff>
      <xdr:row>216</xdr:row>
      <xdr:rowOff>16565</xdr:rowOff>
    </xdr:to>
    <xdr:cxnSp macro="">
      <xdr:nvCxnSpPr>
        <xdr:cNvPr id="105" name="Conector recto 104">
          <a:extLst>
            <a:ext uri="{FF2B5EF4-FFF2-40B4-BE49-F238E27FC236}">
              <a16:creationId xmlns:a16="http://schemas.microsoft.com/office/drawing/2014/main" id="{B0565BD2-BD20-4751-8350-4024CFEE0EEC}"/>
            </a:ext>
          </a:extLst>
        </xdr:cNvPr>
        <xdr:cNvCxnSpPr/>
      </xdr:nvCxnSpPr>
      <xdr:spPr>
        <a:xfrm flipH="1">
          <a:off x="3452477" y="39518645"/>
          <a:ext cx="1584012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399437</xdr:colOff>
      <xdr:row>209</xdr:row>
      <xdr:rowOff>112661</xdr:rowOff>
    </xdr:from>
    <xdr:to>
      <xdr:col>5</xdr:col>
      <xdr:colOff>409678</xdr:colOff>
      <xdr:row>213</xdr:row>
      <xdr:rowOff>81936</xdr:rowOff>
    </xdr:to>
    <xdr:cxnSp macro="">
      <xdr:nvCxnSpPr>
        <xdr:cNvPr id="106" name="Conector recto 105">
          <a:extLst>
            <a:ext uri="{FF2B5EF4-FFF2-40B4-BE49-F238E27FC236}">
              <a16:creationId xmlns:a16="http://schemas.microsoft.com/office/drawing/2014/main" id="{C69804FB-CCB9-4900-80DC-138F55D83519}"/>
            </a:ext>
          </a:extLst>
        </xdr:cNvPr>
        <xdr:cNvCxnSpPr/>
      </xdr:nvCxnSpPr>
      <xdr:spPr>
        <a:xfrm flipH="1">
          <a:off x="4361837" y="38334581"/>
          <a:ext cx="10241" cy="700795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307257</xdr:colOff>
      <xdr:row>14</xdr:row>
      <xdr:rowOff>165919</xdr:rowOff>
    </xdr:from>
    <xdr:to>
      <xdr:col>7</xdr:col>
      <xdr:colOff>38098</xdr:colOff>
      <xdr:row>17</xdr:row>
      <xdr:rowOff>115216</xdr:rowOff>
    </xdr:to>
    <xdr:grpSp>
      <xdr:nvGrpSpPr>
        <xdr:cNvPr id="107" name="Grupo 106">
          <a:extLst>
            <a:ext uri="{FF2B5EF4-FFF2-40B4-BE49-F238E27FC236}">
              <a16:creationId xmlns:a16="http://schemas.microsoft.com/office/drawing/2014/main" id="{C49D4C06-0BFC-4B46-9F25-5E1FF86E2C55}"/>
            </a:ext>
          </a:extLst>
        </xdr:cNvPr>
        <xdr:cNvGrpSpPr/>
      </xdr:nvGrpSpPr>
      <xdr:grpSpPr>
        <a:xfrm rot="10800000">
          <a:off x="2174157" y="2985319"/>
          <a:ext cx="759541" cy="530322"/>
          <a:chOff x="1770676" y="3947959"/>
          <a:chExt cx="841116" cy="123753"/>
        </a:xfrm>
      </xdr:grpSpPr>
      <xdr:cxnSp macro="">
        <xdr:nvCxnSpPr>
          <xdr:cNvPr id="108" name="Conector recto 107">
            <a:extLst>
              <a:ext uri="{FF2B5EF4-FFF2-40B4-BE49-F238E27FC236}">
                <a16:creationId xmlns:a16="http://schemas.microsoft.com/office/drawing/2014/main" id="{C20C3F38-2A1C-4471-949B-072DE13EB1EC}"/>
              </a:ext>
            </a:extLst>
          </xdr:cNvPr>
          <xdr:cNvCxnSpPr/>
        </xdr:nvCxnSpPr>
        <xdr:spPr>
          <a:xfrm rot="10800000" flipV="1">
            <a:off x="1770676" y="4061490"/>
            <a:ext cx="841116" cy="2045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Conector recto 108">
            <a:extLst>
              <a:ext uri="{FF2B5EF4-FFF2-40B4-BE49-F238E27FC236}">
                <a16:creationId xmlns:a16="http://schemas.microsoft.com/office/drawing/2014/main" id="{514ACAE9-FE7D-412A-BE8C-71A8EC29ED71}"/>
              </a:ext>
            </a:extLst>
          </xdr:cNvPr>
          <xdr:cNvCxnSpPr/>
        </xdr:nvCxnSpPr>
        <xdr:spPr>
          <a:xfrm rot="10800000" flipH="1">
            <a:off x="2569426" y="3947959"/>
            <a:ext cx="10785" cy="123753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14134</xdr:colOff>
      <xdr:row>14</xdr:row>
      <xdr:rowOff>172064</xdr:rowOff>
    </xdr:from>
    <xdr:to>
      <xdr:col>5</xdr:col>
      <xdr:colOff>159774</xdr:colOff>
      <xdr:row>14</xdr:row>
      <xdr:rowOff>173908</xdr:rowOff>
    </xdr:to>
    <xdr:cxnSp macro="">
      <xdr:nvCxnSpPr>
        <xdr:cNvPr id="110" name="Conector recto 109">
          <a:extLst>
            <a:ext uri="{FF2B5EF4-FFF2-40B4-BE49-F238E27FC236}">
              <a16:creationId xmlns:a16="http://schemas.microsoft.com/office/drawing/2014/main" id="{99020B3E-1C55-416E-AB42-A05441E4B4B7}"/>
            </a:ext>
          </a:extLst>
        </xdr:cNvPr>
        <xdr:cNvCxnSpPr/>
      </xdr:nvCxnSpPr>
      <xdr:spPr>
        <a:xfrm flipV="1">
          <a:off x="3976534" y="2732384"/>
          <a:ext cx="145640" cy="1844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57922</xdr:colOff>
      <xdr:row>36</xdr:row>
      <xdr:rowOff>186638</xdr:rowOff>
    </xdr:from>
    <xdr:ext cx="1548912" cy="1055845"/>
    <xdr:pic>
      <xdr:nvPicPr>
        <xdr:cNvPr id="2" name="Imagen 1">
          <a:extLst>
            <a:ext uri="{FF2B5EF4-FFF2-40B4-BE49-F238E27FC236}">
              <a16:creationId xmlns:a16="http://schemas.microsoft.com/office/drawing/2014/main" id="{77620544-AF57-4A63-81A4-D820F94A52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558" t="19393" r="32932" b="27799"/>
        <a:stretch/>
      </xdr:blipFill>
      <xdr:spPr bwMode="auto">
        <a:xfrm>
          <a:off x="1475242" y="6770318"/>
          <a:ext cx="1548912" cy="10558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1448058</xdr:colOff>
      <xdr:row>37</xdr:row>
      <xdr:rowOff>6436</xdr:rowOff>
    </xdr:from>
    <xdr:ext cx="1566005" cy="2336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8C6D388C-65BC-4D7C-AB90-963C7CA25C23}"/>
                </a:ext>
              </a:extLst>
            </xdr:cNvPr>
            <xdr:cNvSpPr txBox="1"/>
          </xdr:nvSpPr>
          <xdr:spPr>
            <a:xfrm>
              <a:off x="2126238" y="6772996"/>
              <a:ext cx="1566005" cy="2336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8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s-PE" sz="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800" b="0" i="1">
                            <a:latin typeface="Cambria Math" panose="02040503050406030204" pitchFamily="18" charset="0"/>
                          </a:rPr>
                          <m:t>h</m:t>
                        </m:r>
                      </m:num>
                      <m:den>
                        <m:r>
                          <a:rPr lang="es-PE" sz="800" b="0" i="1">
                            <a:latin typeface="Cambria Math" panose="02040503050406030204" pitchFamily="18" charset="0"/>
                          </a:rPr>
                          <m:t>6</m:t>
                        </m:r>
                      </m:den>
                    </m:f>
                    <m:d>
                      <m:dPr>
                        <m:begChr m:val="["/>
                        <m:endChr m:val="]"/>
                        <m:ctrlPr>
                          <a:rPr lang="es-PE" sz="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s-PE" sz="8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´</m:t>
                            </m:r>
                          </m:e>
                        </m:d>
                        <m:r>
                          <a:rPr lang="es-PE" sz="800" b="0" i="1">
                            <a:latin typeface="Cambria Math" panose="02040503050406030204" pitchFamily="18" charset="0"/>
                          </a:rPr>
                          <m:t>𝑥𝑏</m:t>
                        </m:r>
                        <m:r>
                          <a:rPr lang="es-PE" sz="800" b="0" i="1">
                            <a:latin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ctrlPr>
                              <a:rPr lang="es-PE" sz="8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´+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>
                          <a:rPr lang="es-PE" sz="800" b="0" i="1">
                            <a:latin typeface="Cambria Math" panose="02040503050406030204" pitchFamily="18" charset="0"/>
                          </a:rPr>
                          <m:t>𝑥𝑏</m:t>
                        </m:r>
                        <m:r>
                          <a:rPr lang="es-PE" sz="800" b="0" i="1">
                            <a:latin typeface="Cambria Math" panose="02040503050406030204" pitchFamily="18" charset="0"/>
                          </a:rPr>
                          <m:t>´</m:t>
                        </m:r>
                      </m:e>
                    </m:d>
                  </m:oMath>
                </m:oMathPara>
              </a14:m>
              <a:endParaRPr lang="es-PE" sz="800">
                <a:latin typeface="Arial Narrow" panose="020B0606020202030204" pitchFamily="34" charset="0"/>
              </a:endParaRPr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8C6D388C-65BC-4D7C-AB90-963C7CA25C23}"/>
                </a:ext>
              </a:extLst>
            </xdr:cNvPr>
            <xdr:cNvSpPr txBox="1"/>
          </xdr:nvSpPr>
          <xdr:spPr>
            <a:xfrm>
              <a:off x="2126238" y="6772996"/>
              <a:ext cx="1566005" cy="2336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800" b="0" i="0">
                  <a:latin typeface="Cambria Math" panose="02040503050406030204" pitchFamily="18" charset="0"/>
                </a:rPr>
                <a:t>𝑉=ℎ/6 [(2𝑎+𝑎´)𝑥𝑏+(2𝑎´+𝑎)𝑥𝑏´]</a:t>
              </a:r>
              <a:endParaRPr lang="es-PE" sz="800">
                <a:latin typeface="Arial Narrow" panose="020B0606020202030204" pitchFamily="3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165651</xdr:colOff>
      <xdr:row>4</xdr:row>
      <xdr:rowOff>104667</xdr:rowOff>
    </xdr:from>
    <xdr:ext cx="3810002" cy="2103353"/>
    <xdr:pic>
      <xdr:nvPicPr>
        <xdr:cNvPr id="4" name="Imagen 3">
          <a:extLst>
            <a:ext uri="{FF2B5EF4-FFF2-40B4-BE49-F238E27FC236}">
              <a16:creationId xmlns:a16="http://schemas.microsoft.com/office/drawing/2014/main" id="{E92BE1FB-9834-4F90-BA4C-0DE70370A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2971" y="836187"/>
          <a:ext cx="3810002" cy="2103353"/>
        </a:xfrm>
        <a:prstGeom prst="rect">
          <a:avLst/>
        </a:prstGeom>
      </xdr:spPr>
    </xdr:pic>
    <xdr:clientData/>
  </xdr:oneCellAnchor>
  <xdr:oneCellAnchor>
    <xdr:from>
      <xdr:col>2</xdr:col>
      <xdr:colOff>4286250</xdr:colOff>
      <xdr:row>4</xdr:row>
      <xdr:rowOff>129955</xdr:rowOff>
    </xdr:from>
    <xdr:ext cx="3914883" cy="2037750"/>
    <xdr:pic>
      <xdr:nvPicPr>
        <xdr:cNvPr id="5" name="Imagen 4">
          <a:extLst>
            <a:ext uri="{FF2B5EF4-FFF2-40B4-BE49-F238E27FC236}">
              <a16:creationId xmlns:a16="http://schemas.microsoft.com/office/drawing/2014/main" id="{A68B2199-2F85-49DF-A0F6-207519056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22170" y="861475"/>
          <a:ext cx="3914883" cy="20377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406796</xdr:colOff>
      <xdr:row>219</xdr:row>
      <xdr:rowOff>119063</xdr:rowOff>
    </xdr:from>
    <xdr:to>
      <xdr:col>5</xdr:col>
      <xdr:colOff>406796</xdr:colOff>
      <xdr:row>223</xdr:row>
      <xdr:rowOff>129516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37F3D446-9FF9-4B4F-9F14-C684C154E44C}"/>
            </a:ext>
          </a:extLst>
        </xdr:cNvPr>
        <xdr:cNvCxnSpPr/>
      </xdr:nvCxnSpPr>
      <xdr:spPr>
        <a:xfrm flipH="1">
          <a:off x="4369196" y="40169783"/>
          <a:ext cx="0" cy="741973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3435</xdr:colOff>
      <xdr:row>24</xdr:row>
      <xdr:rowOff>0</xdr:rowOff>
    </xdr:from>
    <xdr:to>
      <xdr:col>7</xdr:col>
      <xdr:colOff>573</xdr:colOff>
      <xdr:row>24</xdr:row>
      <xdr:rowOff>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349E6B18-64A0-4E6B-9480-B81E5D45FFED}"/>
            </a:ext>
          </a:extLst>
        </xdr:cNvPr>
        <xdr:cNvGrpSpPr/>
      </xdr:nvGrpSpPr>
      <xdr:grpSpPr>
        <a:xfrm>
          <a:off x="2213235" y="4886325"/>
          <a:ext cx="682938" cy="0"/>
          <a:chOff x="1351185" y="3785308"/>
          <a:chExt cx="828000" cy="1470100"/>
        </a:xfrm>
      </xdr:grpSpPr>
      <xdr:cxnSp macro="">
        <xdr:nvCxnSpPr>
          <xdr:cNvPr id="4" name="Conector recto 3">
            <a:extLst>
              <a:ext uri="{FF2B5EF4-FFF2-40B4-BE49-F238E27FC236}">
                <a16:creationId xmlns:a16="http://schemas.microsoft.com/office/drawing/2014/main" id="{C2BB87F3-0E85-409B-8F9B-2FDC8AB030A4}"/>
              </a:ext>
            </a:extLst>
          </xdr:cNvPr>
          <xdr:cNvCxnSpPr/>
        </xdr:nvCxnSpPr>
        <xdr:spPr>
          <a:xfrm rot="5400000" flipH="1">
            <a:off x="1765185" y="4784276"/>
            <a:ext cx="0" cy="828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recto 4">
            <a:extLst>
              <a:ext uri="{FF2B5EF4-FFF2-40B4-BE49-F238E27FC236}">
                <a16:creationId xmlns:a16="http://schemas.microsoft.com/office/drawing/2014/main" id="{19FD555B-398C-44A4-A299-0BBCC4CDE5E1}"/>
              </a:ext>
            </a:extLst>
          </xdr:cNvPr>
          <xdr:cNvCxnSpPr/>
        </xdr:nvCxnSpPr>
        <xdr:spPr>
          <a:xfrm flipH="1">
            <a:off x="1367888" y="3785308"/>
            <a:ext cx="4037" cy="14701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318931</xdr:colOff>
      <xdr:row>10</xdr:row>
      <xdr:rowOff>0</xdr:rowOff>
    </xdr:from>
    <xdr:to>
      <xdr:col>6</xdr:col>
      <xdr:colOff>319599</xdr:colOff>
      <xdr:row>12</xdr:row>
      <xdr:rowOff>158750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2F2335C1-59EB-4B06-8387-9B3E3653AFF0}"/>
            </a:ext>
          </a:extLst>
        </xdr:cNvPr>
        <xdr:cNvGrpSpPr/>
      </xdr:nvGrpSpPr>
      <xdr:grpSpPr>
        <a:xfrm>
          <a:off x="2528731" y="2200275"/>
          <a:ext cx="343568" cy="539750"/>
          <a:chOff x="2211065" y="2581603"/>
          <a:chExt cx="360000" cy="762000"/>
        </a:xfrm>
      </xdr:grpSpPr>
      <xdr:cxnSp macro="">
        <xdr:nvCxnSpPr>
          <xdr:cNvPr id="7" name="Conector recto 6">
            <a:extLst>
              <a:ext uri="{FF2B5EF4-FFF2-40B4-BE49-F238E27FC236}">
                <a16:creationId xmlns:a16="http://schemas.microsoft.com/office/drawing/2014/main" id="{939BF13E-E7F8-42BD-B0B4-3196FD8B170B}"/>
              </a:ext>
            </a:extLst>
          </xdr:cNvPr>
          <xdr:cNvCxnSpPr/>
        </xdr:nvCxnSpPr>
        <xdr:spPr>
          <a:xfrm flipH="1">
            <a:off x="2217505" y="2581603"/>
            <a:ext cx="0" cy="762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Conector recto 7">
            <a:extLst>
              <a:ext uri="{FF2B5EF4-FFF2-40B4-BE49-F238E27FC236}">
                <a16:creationId xmlns:a16="http://schemas.microsoft.com/office/drawing/2014/main" id="{1BC48B3E-FF55-4B98-8CD6-195D9F556894}"/>
              </a:ext>
            </a:extLst>
          </xdr:cNvPr>
          <xdr:cNvCxnSpPr/>
        </xdr:nvCxnSpPr>
        <xdr:spPr>
          <a:xfrm rot="5400000" flipH="1">
            <a:off x="2391065" y="3153819"/>
            <a:ext cx="0" cy="360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9922</xdr:colOff>
      <xdr:row>35</xdr:row>
      <xdr:rowOff>138907</xdr:rowOff>
    </xdr:from>
    <xdr:to>
      <xdr:col>7</xdr:col>
      <xdr:colOff>30691</xdr:colOff>
      <xdr:row>35</xdr:row>
      <xdr:rowOff>138907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6F9255F5-6E75-4397-B3B4-8AAB62D0464E}"/>
            </a:ext>
          </a:extLst>
        </xdr:cNvPr>
        <xdr:cNvCxnSpPr/>
      </xdr:nvCxnSpPr>
      <xdr:spPr>
        <a:xfrm rot="5400000" flipH="1">
          <a:off x="4775187" y="5736842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15980</xdr:colOff>
      <xdr:row>15</xdr:row>
      <xdr:rowOff>12909</xdr:rowOff>
    </xdr:from>
    <xdr:to>
      <xdr:col>7</xdr:col>
      <xdr:colOff>28716</xdr:colOff>
      <xdr:row>17</xdr:row>
      <xdr:rowOff>120975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F37810FA-98B1-4F79-A6E5-99B0B3EFFF46}"/>
            </a:ext>
          </a:extLst>
        </xdr:cNvPr>
        <xdr:cNvGrpSpPr/>
      </xdr:nvGrpSpPr>
      <xdr:grpSpPr>
        <a:xfrm>
          <a:off x="2225780" y="3184734"/>
          <a:ext cx="698536" cy="489066"/>
          <a:chOff x="1770676" y="3952340"/>
          <a:chExt cx="801623" cy="116213"/>
        </a:xfrm>
      </xdr:grpSpPr>
      <xdr:cxnSp macro="">
        <xdr:nvCxnSpPr>
          <xdr:cNvPr id="11" name="Conector recto 10">
            <a:extLst>
              <a:ext uri="{FF2B5EF4-FFF2-40B4-BE49-F238E27FC236}">
                <a16:creationId xmlns:a16="http://schemas.microsoft.com/office/drawing/2014/main" id="{0FB4BC8B-0FFA-41CB-B301-3832B7CD5589}"/>
              </a:ext>
            </a:extLst>
          </xdr:cNvPr>
          <xdr:cNvCxnSpPr/>
        </xdr:nvCxnSpPr>
        <xdr:spPr>
          <a:xfrm flipH="1">
            <a:off x="1770676" y="4065467"/>
            <a:ext cx="801623" cy="244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Conector recto 11">
            <a:extLst>
              <a:ext uri="{FF2B5EF4-FFF2-40B4-BE49-F238E27FC236}">
                <a16:creationId xmlns:a16="http://schemas.microsoft.com/office/drawing/2014/main" id="{5B2EB789-8A5E-44A2-A78C-A4D87BABA935}"/>
              </a:ext>
            </a:extLst>
          </xdr:cNvPr>
          <xdr:cNvCxnSpPr/>
        </xdr:nvCxnSpPr>
        <xdr:spPr>
          <a:xfrm flipV="1">
            <a:off x="2558401" y="3952340"/>
            <a:ext cx="10256" cy="116213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9922</xdr:colOff>
      <xdr:row>20</xdr:row>
      <xdr:rowOff>138907</xdr:rowOff>
    </xdr:from>
    <xdr:to>
      <xdr:col>7</xdr:col>
      <xdr:colOff>30691</xdr:colOff>
      <xdr:row>20</xdr:row>
      <xdr:rowOff>138907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7D17BD59-3B59-453C-BDB0-1BD9CC64B210}"/>
            </a:ext>
          </a:extLst>
        </xdr:cNvPr>
        <xdr:cNvCxnSpPr/>
      </xdr:nvCxnSpPr>
      <xdr:spPr>
        <a:xfrm rot="5400000" flipH="1">
          <a:off x="4775187" y="2993642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164087</xdr:colOff>
      <xdr:row>129</xdr:row>
      <xdr:rowOff>170732</xdr:rowOff>
    </xdr:from>
    <xdr:to>
      <xdr:col>6</xdr:col>
      <xdr:colOff>170731</xdr:colOff>
      <xdr:row>133</xdr:row>
      <xdr:rowOff>28015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DE13F51B-3F00-4ABA-81FA-8DAA0D14D1F6}"/>
            </a:ext>
          </a:extLst>
        </xdr:cNvPr>
        <xdr:cNvCxnSpPr/>
      </xdr:nvCxnSpPr>
      <xdr:spPr>
        <a:xfrm flipV="1">
          <a:off x="4918967" y="23762252"/>
          <a:ext cx="6644" cy="588803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487</xdr:colOff>
      <xdr:row>24</xdr:row>
      <xdr:rowOff>0</xdr:rowOff>
    </xdr:from>
    <xdr:to>
      <xdr:col>6</xdr:col>
      <xdr:colOff>319599</xdr:colOff>
      <xdr:row>24</xdr:row>
      <xdr:rowOff>0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DA6F4A83-34FA-4E98-AEA4-4ECE322EAA01}"/>
            </a:ext>
          </a:extLst>
        </xdr:cNvPr>
        <xdr:cNvGrpSpPr/>
      </xdr:nvGrpSpPr>
      <xdr:grpSpPr>
        <a:xfrm>
          <a:off x="2553187" y="4886325"/>
          <a:ext cx="319112" cy="0"/>
          <a:chOff x="2211065" y="2581603"/>
          <a:chExt cx="360000" cy="762000"/>
        </a:xfrm>
      </xdr:grpSpPr>
      <xdr:cxnSp macro="">
        <xdr:nvCxnSpPr>
          <xdr:cNvPr id="16" name="Conector recto 15">
            <a:extLst>
              <a:ext uri="{FF2B5EF4-FFF2-40B4-BE49-F238E27FC236}">
                <a16:creationId xmlns:a16="http://schemas.microsoft.com/office/drawing/2014/main" id="{711F82C0-F777-4074-8DB8-06C39573675E}"/>
              </a:ext>
            </a:extLst>
          </xdr:cNvPr>
          <xdr:cNvCxnSpPr/>
        </xdr:nvCxnSpPr>
        <xdr:spPr>
          <a:xfrm flipH="1">
            <a:off x="2217505" y="2581603"/>
            <a:ext cx="0" cy="762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Conector recto 16">
            <a:extLst>
              <a:ext uri="{FF2B5EF4-FFF2-40B4-BE49-F238E27FC236}">
                <a16:creationId xmlns:a16="http://schemas.microsoft.com/office/drawing/2014/main" id="{8A405F0F-834D-49F5-913E-BFE90E3603B0}"/>
              </a:ext>
            </a:extLst>
          </xdr:cNvPr>
          <xdr:cNvCxnSpPr/>
        </xdr:nvCxnSpPr>
        <xdr:spPr>
          <a:xfrm rot="5400000" flipH="1">
            <a:off x="2391065" y="3153819"/>
            <a:ext cx="0" cy="360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9922</xdr:colOff>
      <xdr:row>55</xdr:row>
      <xdr:rowOff>138907</xdr:rowOff>
    </xdr:from>
    <xdr:to>
      <xdr:col>7</xdr:col>
      <xdr:colOff>30691</xdr:colOff>
      <xdr:row>55</xdr:row>
      <xdr:rowOff>138907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B022CD1F-16DC-4F4B-BADF-4778E0ECFDE0}"/>
            </a:ext>
          </a:extLst>
        </xdr:cNvPr>
        <xdr:cNvCxnSpPr/>
      </xdr:nvCxnSpPr>
      <xdr:spPr>
        <a:xfrm rot="5400000" flipH="1">
          <a:off x="4775187" y="9394442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52344</xdr:colOff>
      <xdr:row>47</xdr:row>
      <xdr:rowOff>1439</xdr:rowOff>
    </xdr:from>
    <xdr:to>
      <xdr:col>6</xdr:col>
      <xdr:colOff>413844</xdr:colOff>
      <xdr:row>47</xdr:row>
      <xdr:rowOff>1439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A37BDDFB-E94B-493B-BEEC-4FD35B4871B8}"/>
            </a:ext>
          </a:extLst>
        </xdr:cNvPr>
        <xdr:cNvCxnSpPr/>
      </xdr:nvCxnSpPr>
      <xdr:spPr>
        <a:xfrm flipH="1" flipV="1">
          <a:off x="4014744" y="8596799"/>
          <a:ext cx="1153980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406798</xdr:colOff>
      <xdr:row>51</xdr:row>
      <xdr:rowOff>109141</xdr:rowOff>
    </xdr:from>
    <xdr:to>
      <xdr:col>6</xdr:col>
      <xdr:colOff>427567</xdr:colOff>
      <xdr:row>51</xdr:row>
      <xdr:rowOff>109141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489FAA9E-A8FD-4C1A-A2F7-159AF1B5106C}"/>
            </a:ext>
          </a:extLst>
        </xdr:cNvPr>
        <xdr:cNvCxnSpPr/>
      </xdr:nvCxnSpPr>
      <xdr:spPr>
        <a:xfrm rot="5400000" flipH="1">
          <a:off x="4379583" y="8633156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319606</xdr:colOff>
      <xdr:row>24</xdr:row>
      <xdr:rowOff>0</xdr:rowOff>
    </xdr:from>
    <xdr:to>
      <xdr:col>7</xdr:col>
      <xdr:colOff>19048</xdr:colOff>
      <xdr:row>24</xdr:row>
      <xdr:rowOff>0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id="{AC7C55E0-D7F8-4EDB-A021-E1A3222CE753}"/>
            </a:ext>
          </a:extLst>
        </xdr:cNvPr>
        <xdr:cNvGrpSpPr/>
      </xdr:nvGrpSpPr>
      <xdr:grpSpPr>
        <a:xfrm>
          <a:off x="2529406" y="4886325"/>
          <a:ext cx="385242" cy="0"/>
          <a:chOff x="2211066" y="2581603"/>
          <a:chExt cx="466547" cy="762000"/>
        </a:xfrm>
      </xdr:grpSpPr>
      <xdr:cxnSp macro="">
        <xdr:nvCxnSpPr>
          <xdr:cNvPr id="22" name="Conector recto 21">
            <a:extLst>
              <a:ext uri="{FF2B5EF4-FFF2-40B4-BE49-F238E27FC236}">
                <a16:creationId xmlns:a16="http://schemas.microsoft.com/office/drawing/2014/main" id="{2C7CB98F-D758-435B-BFAC-FE915FD2E1DE}"/>
              </a:ext>
            </a:extLst>
          </xdr:cNvPr>
          <xdr:cNvCxnSpPr/>
        </xdr:nvCxnSpPr>
        <xdr:spPr>
          <a:xfrm flipH="1">
            <a:off x="2217505" y="2581603"/>
            <a:ext cx="0" cy="762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Conector recto 22">
            <a:extLst>
              <a:ext uri="{FF2B5EF4-FFF2-40B4-BE49-F238E27FC236}">
                <a16:creationId xmlns:a16="http://schemas.microsoft.com/office/drawing/2014/main" id="{00024B14-D978-41B2-85E8-EAAB0BC01EEE}"/>
              </a:ext>
            </a:extLst>
          </xdr:cNvPr>
          <xdr:cNvCxnSpPr/>
        </xdr:nvCxnSpPr>
        <xdr:spPr>
          <a:xfrm flipH="1" flipV="1">
            <a:off x="2211066" y="2588215"/>
            <a:ext cx="466547" cy="1213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111127</xdr:colOff>
      <xdr:row>119</xdr:row>
      <xdr:rowOff>152400</xdr:rowOff>
    </xdr:from>
    <xdr:to>
      <xdr:col>6</xdr:col>
      <xdr:colOff>114300</xdr:colOff>
      <xdr:row>122</xdr:row>
      <xdr:rowOff>109935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27ADFB3C-595E-41F4-B49C-6924701DF3F9}"/>
            </a:ext>
          </a:extLst>
        </xdr:cNvPr>
        <xdr:cNvCxnSpPr/>
      </xdr:nvCxnSpPr>
      <xdr:spPr>
        <a:xfrm flipH="1">
          <a:off x="4866007" y="21915120"/>
          <a:ext cx="3173" cy="506175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111465</xdr:colOff>
      <xdr:row>89</xdr:row>
      <xdr:rowOff>133350</xdr:rowOff>
    </xdr:from>
    <xdr:to>
      <xdr:col>5</xdr:col>
      <xdr:colOff>114300</xdr:colOff>
      <xdr:row>92</xdr:row>
      <xdr:rowOff>106543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81725C49-1B46-4A14-80BA-BF11BD996A78}"/>
            </a:ext>
          </a:extLst>
        </xdr:cNvPr>
        <xdr:cNvCxnSpPr/>
      </xdr:nvCxnSpPr>
      <xdr:spPr>
        <a:xfrm flipH="1">
          <a:off x="4073865" y="16409670"/>
          <a:ext cx="2835" cy="521833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276225</xdr:colOff>
      <xdr:row>95</xdr:row>
      <xdr:rowOff>9525</xdr:rowOff>
    </xdr:from>
    <xdr:to>
      <xdr:col>6</xdr:col>
      <xdr:colOff>209550</xdr:colOff>
      <xdr:row>97</xdr:row>
      <xdr:rowOff>142875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29E52493-BEFD-4AE4-B008-054E0C2682DB}"/>
            </a:ext>
          </a:extLst>
        </xdr:cNvPr>
        <xdr:cNvCxnSpPr/>
      </xdr:nvCxnSpPr>
      <xdr:spPr>
        <a:xfrm flipH="1">
          <a:off x="4238625" y="17383125"/>
          <a:ext cx="725805" cy="49911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26955</xdr:colOff>
      <xdr:row>24</xdr:row>
      <xdr:rowOff>0</xdr:rowOff>
    </xdr:from>
    <xdr:to>
      <xdr:col>6</xdr:col>
      <xdr:colOff>269524</xdr:colOff>
      <xdr:row>24</xdr:row>
      <xdr:rowOff>0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2EBCE4E4-C1E2-4AD0-A013-9FC2479D11D9}"/>
            </a:ext>
          </a:extLst>
        </xdr:cNvPr>
        <xdr:cNvGrpSpPr/>
      </xdr:nvGrpSpPr>
      <xdr:grpSpPr>
        <a:xfrm>
          <a:off x="2236755" y="4886325"/>
          <a:ext cx="585469" cy="0"/>
          <a:chOff x="1725164" y="2832651"/>
          <a:chExt cx="681443" cy="576696"/>
        </a:xfrm>
      </xdr:grpSpPr>
      <xdr:grpSp>
        <xdr:nvGrpSpPr>
          <xdr:cNvPr id="28" name="Grupo 27">
            <a:extLst>
              <a:ext uri="{FF2B5EF4-FFF2-40B4-BE49-F238E27FC236}">
                <a16:creationId xmlns:a16="http://schemas.microsoft.com/office/drawing/2014/main" id="{DE7DF142-5238-4974-9136-19CF9F626CF2}"/>
              </a:ext>
            </a:extLst>
          </xdr:cNvPr>
          <xdr:cNvGrpSpPr/>
        </xdr:nvGrpSpPr>
        <xdr:grpSpPr>
          <a:xfrm>
            <a:off x="1725164" y="2832651"/>
            <a:ext cx="405889" cy="576696"/>
            <a:chOff x="1814321" y="2581603"/>
            <a:chExt cx="403184" cy="778328"/>
          </a:xfrm>
        </xdr:grpSpPr>
        <xdr:cxnSp macro="">
          <xdr:nvCxnSpPr>
            <xdr:cNvPr id="30" name="Conector recto 29">
              <a:extLst>
                <a:ext uri="{FF2B5EF4-FFF2-40B4-BE49-F238E27FC236}">
                  <a16:creationId xmlns:a16="http://schemas.microsoft.com/office/drawing/2014/main" id="{F801000B-E988-4A20-8731-F9870ED7DFF6}"/>
                </a:ext>
              </a:extLst>
            </xdr:cNvPr>
            <xdr:cNvCxnSpPr/>
          </xdr:nvCxnSpPr>
          <xdr:spPr>
            <a:xfrm flipH="1">
              <a:off x="2028091" y="2581603"/>
              <a:ext cx="189414" cy="778326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" name="Conector recto 30">
              <a:extLst>
                <a:ext uri="{FF2B5EF4-FFF2-40B4-BE49-F238E27FC236}">
                  <a16:creationId xmlns:a16="http://schemas.microsoft.com/office/drawing/2014/main" id="{AF451848-CE6F-4A0B-B907-44BE79F38013}"/>
                </a:ext>
              </a:extLst>
            </xdr:cNvPr>
            <xdr:cNvCxnSpPr/>
          </xdr:nvCxnSpPr>
          <xdr:spPr>
            <a:xfrm flipH="1">
              <a:off x="1814321" y="3358309"/>
              <a:ext cx="213405" cy="1622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9" name="Conector recto 28">
            <a:extLst>
              <a:ext uri="{FF2B5EF4-FFF2-40B4-BE49-F238E27FC236}">
                <a16:creationId xmlns:a16="http://schemas.microsoft.com/office/drawing/2014/main" id="{A1F5E50D-9010-41C5-B120-C997F24ACB9E}"/>
              </a:ext>
            </a:extLst>
          </xdr:cNvPr>
          <xdr:cNvCxnSpPr/>
        </xdr:nvCxnSpPr>
        <xdr:spPr>
          <a:xfrm>
            <a:off x="2133281" y="2838916"/>
            <a:ext cx="273326" cy="201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9922</xdr:colOff>
      <xdr:row>75</xdr:row>
      <xdr:rowOff>138907</xdr:rowOff>
    </xdr:from>
    <xdr:to>
      <xdr:col>7</xdr:col>
      <xdr:colOff>30691</xdr:colOff>
      <xdr:row>75</xdr:row>
      <xdr:rowOff>138907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25A99C5C-311C-4117-9A4C-FA7E6E1A13AE}"/>
            </a:ext>
          </a:extLst>
        </xdr:cNvPr>
        <xdr:cNvCxnSpPr/>
      </xdr:nvCxnSpPr>
      <xdr:spPr>
        <a:xfrm rot="5400000" flipH="1">
          <a:off x="4775187" y="13052042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206675</xdr:colOff>
      <xdr:row>65</xdr:row>
      <xdr:rowOff>44930</xdr:rowOff>
    </xdr:from>
    <xdr:to>
      <xdr:col>6</xdr:col>
      <xdr:colOff>206676</xdr:colOff>
      <xdr:row>68</xdr:row>
      <xdr:rowOff>89858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1B69B6A5-4BE4-4EDA-9DCE-D513A501ABBC}"/>
            </a:ext>
          </a:extLst>
        </xdr:cNvPr>
        <xdr:cNvCxnSpPr/>
      </xdr:nvCxnSpPr>
      <xdr:spPr>
        <a:xfrm flipH="1" flipV="1">
          <a:off x="4961555" y="11932130"/>
          <a:ext cx="1" cy="593568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251604</xdr:colOff>
      <xdr:row>70</xdr:row>
      <xdr:rowOff>0</xdr:rowOff>
    </xdr:from>
    <xdr:to>
      <xdr:col>6</xdr:col>
      <xdr:colOff>251605</xdr:colOff>
      <xdr:row>73</xdr:row>
      <xdr:rowOff>0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30514458-6275-4C0B-9BB6-A4FA7073D37A}"/>
            </a:ext>
          </a:extLst>
        </xdr:cNvPr>
        <xdr:cNvCxnSpPr/>
      </xdr:nvCxnSpPr>
      <xdr:spPr>
        <a:xfrm>
          <a:off x="5006484" y="12801600"/>
          <a:ext cx="1" cy="54864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3353</xdr:colOff>
      <xdr:row>24</xdr:row>
      <xdr:rowOff>0</xdr:rowOff>
    </xdr:from>
    <xdr:to>
      <xdr:col>7</xdr:col>
      <xdr:colOff>1261</xdr:colOff>
      <xdr:row>24</xdr:row>
      <xdr:rowOff>0</xdr:rowOff>
    </xdr:to>
    <xdr:grpSp>
      <xdr:nvGrpSpPr>
        <xdr:cNvPr id="35" name="Grupo 34">
          <a:extLst>
            <a:ext uri="{FF2B5EF4-FFF2-40B4-BE49-F238E27FC236}">
              <a16:creationId xmlns:a16="http://schemas.microsoft.com/office/drawing/2014/main" id="{60B14BE0-1B41-4336-A19F-A3DB7FB93EC5}"/>
            </a:ext>
          </a:extLst>
        </xdr:cNvPr>
        <xdr:cNvGrpSpPr/>
      </xdr:nvGrpSpPr>
      <xdr:grpSpPr>
        <a:xfrm>
          <a:off x="2213153" y="4886325"/>
          <a:ext cx="683708" cy="0"/>
          <a:chOff x="1704715" y="19077235"/>
          <a:chExt cx="901010" cy="192178"/>
        </a:xfrm>
      </xdr:grpSpPr>
      <xdr:cxnSp macro="">
        <xdr:nvCxnSpPr>
          <xdr:cNvPr id="36" name="Conector recto 35">
            <a:extLst>
              <a:ext uri="{FF2B5EF4-FFF2-40B4-BE49-F238E27FC236}">
                <a16:creationId xmlns:a16="http://schemas.microsoft.com/office/drawing/2014/main" id="{30B7C78F-11E0-4371-B538-F3D99652C7E9}"/>
              </a:ext>
            </a:extLst>
          </xdr:cNvPr>
          <xdr:cNvCxnSpPr/>
        </xdr:nvCxnSpPr>
        <xdr:spPr>
          <a:xfrm rot="5400000" flipH="1">
            <a:off x="2155220" y="18626730"/>
            <a:ext cx="0" cy="90101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Conector recto 36">
            <a:extLst>
              <a:ext uri="{FF2B5EF4-FFF2-40B4-BE49-F238E27FC236}">
                <a16:creationId xmlns:a16="http://schemas.microsoft.com/office/drawing/2014/main" id="{05881577-63B4-4417-9A4E-8B9F67EEA56D}"/>
              </a:ext>
            </a:extLst>
          </xdr:cNvPr>
          <xdr:cNvCxnSpPr/>
        </xdr:nvCxnSpPr>
        <xdr:spPr>
          <a:xfrm>
            <a:off x="1714499" y="19089413"/>
            <a:ext cx="0" cy="180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9922</xdr:colOff>
      <xdr:row>140</xdr:row>
      <xdr:rowOff>138907</xdr:rowOff>
    </xdr:from>
    <xdr:to>
      <xdr:col>7</xdr:col>
      <xdr:colOff>30691</xdr:colOff>
      <xdr:row>140</xdr:row>
      <xdr:rowOff>138907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1FF2B90E-F447-4E0B-94D9-63437E69D3D8}"/>
            </a:ext>
          </a:extLst>
        </xdr:cNvPr>
        <xdr:cNvCxnSpPr/>
      </xdr:nvCxnSpPr>
      <xdr:spPr>
        <a:xfrm rot="5400000" flipH="1">
          <a:off x="4775187" y="24939242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71886</xdr:colOff>
      <xdr:row>135</xdr:row>
      <xdr:rowOff>66452</xdr:rowOff>
    </xdr:from>
    <xdr:to>
      <xdr:col>6</xdr:col>
      <xdr:colOff>74382</xdr:colOff>
      <xdr:row>138</xdr:row>
      <xdr:rowOff>71887</xdr:rowOff>
    </xdr:to>
    <xdr:cxnSp macro="">
      <xdr:nvCxnSpPr>
        <xdr:cNvPr id="39" name="Conector recto 38">
          <a:extLst>
            <a:ext uri="{FF2B5EF4-FFF2-40B4-BE49-F238E27FC236}">
              <a16:creationId xmlns:a16="http://schemas.microsoft.com/office/drawing/2014/main" id="{684B7F24-6392-43E9-9D77-F3D6D7CC4FF3}"/>
            </a:ext>
          </a:extLst>
        </xdr:cNvPr>
        <xdr:cNvCxnSpPr/>
      </xdr:nvCxnSpPr>
      <xdr:spPr>
        <a:xfrm flipH="1">
          <a:off x="4826766" y="24755252"/>
          <a:ext cx="2496" cy="554075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58473</xdr:colOff>
      <xdr:row>24</xdr:row>
      <xdr:rowOff>0</xdr:rowOff>
    </xdr:from>
    <xdr:to>
      <xdr:col>7</xdr:col>
      <xdr:colOff>41671</xdr:colOff>
      <xdr:row>24</xdr:row>
      <xdr:rowOff>0</xdr:rowOff>
    </xdr:to>
    <xdr:grpSp>
      <xdr:nvGrpSpPr>
        <xdr:cNvPr id="40" name="Grupo 39">
          <a:extLst>
            <a:ext uri="{FF2B5EF4-FFF2-40B4-BE49-F238E27FC236}">
              <a16:creationId xmlns:a16="http://schemas.microsoft.com/office/drawing/2014/main" id="{B0D42257-2A55-458C-B53B-F0A6CA3C4594}"/>
            </a:ext>
          </a:extLst>
        </xdr:cNvPr>
        <xdr:cNvGrpSpPr/>
      </xdr:nvGrpSpPr>
      <xdr:grpSpPr>
        <a:xfrm>
          <a:off x="2268273" y="4886325"/>
          <a:ext cx="668998" cy="0"/>
          <a:chOff x="1499129" y="7971701"/>
          <a:chExt cx="864261" cy="350371"/>
        </a:xfrm>
      </xdr:grpSpPr>
      <xdr:grpSp>
        <xdr:nvGrpSpPr>
          <xdr:cNvPr id="41" name="Grupo 40">
            <a:extLst>
              <a:ext uri="{FF2B5EF4-FFF2-40B4-BE49-F238E27FC236}">
                <a16:creationId xmlns:a16="http://schemas.microsoft.com/office/drawing/2014/main" id="{8365E7ED-E859-4DA7-8E65-A0F34F082718}"/>
              </a:ext>
            </a:extLst>
          </xdr:cNvPr>
          <xdr:cNvGrpSpPr/>
        </xdr:nvGrpSpPr>
        <xdr:grpSpPr>
          <a:xfrm>
            <a:off x="1499129" y="8184156"/>
            <a:ext cx="864261" cy="137916"/>
            <a:chOff x="2211065" y="3333819"/>
            <a:chExt cx="360000" cy="184041"/>
          </a:xfrm>
        </xdr:grpSpPr>
        <xdr:cxnSp macro="">
          <xdr:nvCxnSpPr>
            <xdr:cNvPr id="43" name="Conector recto 42">
              <a:extLst>
                <a:ext uri="{FF2B5EF4-FFF2-40B4-BE49-F238E27FC236}">
                  <a16:creationId xmlns:a16="http://schemas.microsoft.com/office/drawing/2014/main" id="{20F50CC9-5565-4C9D-9915-9B3A63D0A09C}"/>
                </a:ext>
              </a:extLst>
            </xdr:cNvPr>
            <xdr:cNvCxnSpPr/>
          </xdr:nvCxnSpPr>
          <xdr:spPr>
            <a:xfrm>
              <a:off x="2217505" y="3344500"/>
              <a:ext cx="3336" cy="173360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Conector recto 43">
              <a:extLst>
                <a:ext uri="{FF2B5EF4-FFF2-40B4-BE49-F238E27FC236}">
                  <a16:creationId xmlns:a16="http://schemas.microsoft.com/office/drawing/2014/main" id="{EF0B4623-3BAE-4517-BA3E-194401DEF19D}"/>
                </a:ext>
              </a:extLst>
            </xdr:cNvPr>
            <xdr:cNvCxnSpPr/>
          </xdr:nvCxnSpPr>
          <xdr:spPr>
            <a:xfrm rot="5400000" flipH="1">
              <a:off x="2391065" y="3153819"/>
              <a:ext cx="0" cy="360000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42" name="Conector recto 41">
            <a:extLst>
              <a:ext uri="{FF2B5EF4-FFF2-40B4-BE49-F238E27FC236}">
                <a16:creationId xmlns:a16="http://schemas.microsoft.com/office/drawing/2014/main" id="{32ED9520-0298-4A2F-A047-A483876B109F}"/>
              </a:ext>
            </a:extLst>
          </xdr:cNvPr>
          <xdr:cNvCxnSpPr/>
        </xdr:nvCxnSpPr>
        <xdr:spPr>
          <a:xfrm flipH="1">
            <a:off x="2356379" y="7971701"/>
            <a:ext cx="0" cy="216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3685</xdr:colOff>
      <xdr:row>24</xdr:row>
      <xdr:rowOff>0</xdr:rowOff>
    </xdr:from>
    <xdr:to>
      <xdr:col>6</xdr:col>
      <xdr:colOff>235562</xdr:colOff>
      <xdr:row>24</xdr:row>
      <xdr:rowOff>0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91D69736-39BF-4D3F-AF9B-051A6AB1CA1A}"/>
            </a:ext>
          </a:extLst>
        </xdr:cNvPr>
        <xdr:cNvGrpSpPr/>
      </xdr:nvGrpSpPr>
      <xdr:grpSpPr>
        <a:xfrm rot="5400000">
          <a:off x="2672324" y="4770386"/>
          <a:ext cx="0" cy="231877"/>
          <a:chOff x="1703076" y="23175311"/>
          <a:chExt cx="901010" cy="256189"/>
        </a:xfrm>
      </xdr:grpSpPr>
      <xdr:cxnSp macro="">
        <xdr:nvCxnSpPr>
          <xdr:cNvPr id="46" name="Conector recto 45">
            <a:extLst>
              <a:ext uri="{FF2B5EF4-FFF2-40B4-BE49-F238E27FC236}">
                <a16:creationId xmlns:a16="http://schemas.microsoft.com/office/drawing/2014/main" id="{24920E52-0CBB-4075-8E7E-546E058627E1}"/>
              </a:ext>
            </a:extLst>
          </xdr:cNvPr>
          <xdr:cNvCxnSpPr/>
        </xdr:nvCxnSpPr>
        <xdr:spPr>
          <a:xfrm rot="5400000" flipH="1">
            <a:off x="2153581" y="22980995"/>
            <a:ext cx="0" cy="90101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Conector recto 46">
            <a:extLst>
              <a:ext uri="{FF2B5EF4-FFF2-40B4-BE49-F238E27FC236}">
                <a16:creationId xmlns:a16="http://schemas.microsoft.com/office/drawing/2014/main" id="{354BCB3F-EA85-4FE9-9E65-B85E8B3A5F75}"/>
              </a:ext>
            </a:extLst>
          </xdr:cNvPr>
          <xdr:cNvCxnSpPr/>
        </xdr:nvCxnSpPr>
        <xdr:spPr>
          <a:xfrm flipH="1">
            <a:off x="1707931" y="23175311"/>
            <a:ext cx="0" cy="252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65042</xdr:colOff>
      <xdr:row>24</xdr:row>
      <xdr:rowOff>0</xdr:rowOff>
    </xdr:from>
    <xdr:to>
      <xdr:col>7</xdr:col>
      <xdr:colOff>48240</xdr:colOff>
      <xdr:row>24</xdr:row>
      <xdr:rowOff>0</xdr:rowOff>
    </xdr:to>
    <xdr:grpSp>
      <xdr:nvGrpSpPr>
        <xdr:cNvPr id="48" name="Grupo 47">
          <a:extLst>
            <a:ext uri="{FF2B5EF4-FFF2-40B4-BE49-F238E27FC236}">
              <a16:creationId xmlns:a16="http://schemas.microsoft.com/office/drawing/2014/main" id="{82AC4FE4-F3AF-42C1-A582-A02AEF399D55}"/>
            </a:ext>
          </a:extLst>
        </xdr:cNvPr>
        <xdr:cNvGrpSpPr/>
      </xdr:nvGrpSpPr>
      <xdr:grpSpPr>
        <a:xfrm>
          <a:off x="2274842" y="4886325"/>
          <a:ext cx="668998" cy="0"/>
          <a:chOff x="1499129" y="7971701"/>
          <a:chExt cx="864261" cy="216000"/>
        </a:xfrm>
      </xdr:grpSpPr>
      <xdr:grpSp>
        <xdr:nvGrpSpPr>
          <xdr:cNvPr id="49" name="Grupo 48">
            <a:extLst>
              <a:ext uri="{FF2B5EF4-FFF2-40B4-BE49-F238E27FC236}">
                <a16:creationId xmlns:a16="http://schemas.microsoft.com/office/drawing/2014/main" id="{30A27F6A-7943-4E7C-BD78-912DD0E349B6}"/>
              </a:ext>
            </a:extLst>
          </xdr:cNvPr>
          <xdr:cNvGrpSpPr/>
        </xdr:nvGrpSpPr>
        <xdr:grpSpPr>
          <a:xfrm>
            <a:off x="1499129" y="7971701"/>
            <a:ext cx="864261" cy="216000"/>
            <a:chOff x="2211065" y="3050303"/>
            <a:chExt cx="360000" cy="288239"/>
          </a:xfrm>
        </xdr:grpSpPr>
        <xdr:cxnSp macro="">
          <xdr:nvCxnSpPr>
            <xdr:cNvPr id="51" name="Conector recto 50">
              <a:extLst>
                <a:ext uri="{FF2B5EF4-FFF2-40B4-BE49-F238E27FC236}">
                  <a16:creationId xmlns:a16="http://schemas.microsoft.com/office/drawing/2014/main" id="{D6C6BDFA-688E-4907-A1F5-37DF091BB81A}"/>
                </a:ext>
              </a:extLst>
            </xdr:cNvPr>
            <xdr:cNvCxnSpPr/>
          </xdr:nvCxnSpPr>
          <xdr:spPr>
            <a:xfrm flipH="1">
              <a:off x="2217505" y="3050303"/>
              <a:ext cx="0" cy="288239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2" name="Conector recto 51">
              <a:extLst>
                <a:ext uri="{FF2B5EF4-FFF2-40B4-BE49-F238E27FC236}">
                  <a16:creationId xmlns:a16="http://schemas.microsoft.com/office/drawing/2014/main" id="{C17735DE-069B-4797-B630-466B8275DC43}"/>
                </a:ext>
              </a:extLst>
            </xdr:cNvPr>
            <xdr:cNvCxnSpPr/>
          </xdr:nvCxnSpPr>
          <xdr:spPr>
            <a:xfrm rot="5400000" flipH="1">
              <a:off x="2391065" y="3153819"/>
              <a:ext cx="0" cy="360000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50" name="Conector recto 49">
            <a:extLst>
              <a:ext uri="{FF2B5EF4-FFF2-40B4-BE49-F238E27FC236}">
                <a16:creationId xmlns:a16="http://schemas.microsoft.com/office/drawing/2014/main" id="{7B95D154-092F-4E5A-BBB9-5B85AFDDEF61}"/>
              </a:ext>
            </a:extLst>
          </xdr:cNvPr>
          <xdr:cNvCxnSpPr/>
        </xdr:nvCxnSpPr>
        <xdr:spPr>
          <a:xfrm flipH="1">
            <a:off x="2356379" y="7971701"/>
            <a:ext cx="0" cy="216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212864</xdr:colOff>
      <xdr:row>24</xdr:row>
      <xdr:rowOff>0</xdr:rowOff>
    </xdr:from>
    <xdr:to>
      <xdr:col>6</xdr:col>
      <xdr:colOff>174110</xdr:colOff>
      <xdr:row>24</xdr:row>
      <xdr:rowOff>0</xdr:rowOff>
    </xdr:to>
    <xdr:grpSp>
      <xdr:nvGrpSpPr>
        <xdr:cNvPr id="53" name="Grupo 52">
          <a:extLst>
            <a:ext uri="{FF2B5EF4-FFF2-40B4-BE49-F238E27FC236}">
              <a16:creationId xmlns:a16="http://schemas.microsoft.com/office/drawing/2014/main" id="{C41108D1-05CC-46FD-9C0A-E9C4AAFB36A3}"/>
            </a:ext>
          </a:extLst>
        </xdr:cNvPr>
        <xdr:cNvGrpSpPr/>
      </xdr:nvGrpSpPr>
      <xdr:grpSpPr>
        <a:xfrm rot="16200000">
          <a:off x="2574737" y="4734252"/>
          <a:ext cx="0" cy="304146"/>
          <a:chOff x="2211064" y="3050303"/>
          <a:chExt cx="304285" cy="295827"/>
        </a:xfrm>
      </xdr:grpSpPr>
      <xdr:cxnSp macro="">
        <xdr:nvCxnSpPr>
          <xdr:cNvPr id="54" name="Conector recto 53">
            <a:extLst>
              <a:ext uri="{FF2B5EF4-FFF2-40B4-BE49-F238E27FC236}">
                <a16:creationId xmlns:a16="http://schemas.microsoft.com/office/drawing/2014/main" id="{944E1178-C6A1-4E82-AEFD-A95BC985E97F}"/>
              </a:ext>
            </a:extLst>
          </xdr:cNvPr>
          <xdr:cNvCxnSpPr/>
        </xdr:nvCxnSpPr>
        <xdr:spPr>
          <a:xfrm flipH="1">
            <a:off x="2217505" y="3050303"/>
            <a:ext cx="0" cy="28823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Conector recto 54">
            <a:extLst>
              <a:ext uri="{FF2B5EF4-FFF2-40B4-BE49-F238E27FC236}">
                <a16:creationId xmlns:a16="http://schemas.microsoft.com/office/drawing/2014/main" id="{AC535781-F57C-4963-BCF1-F22724D822CF}"/>
              </a:ext>
            </a:extLst>
          </xdr:cNvPr>
          <xdr:cNvCxnSpPr/>
        </xdr:nvCxnSpPr>
        <xdr:spPr>
          <a:xfrm rot="5400000" flipH="1">
            <a:off x="2357052" y="3187832"/>
            <a:ext cx="12310" cy="304285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34178</xdr:colOff>
      <xdr:row>24</xdr:row>
      <xdr:rowOff>0</xdr:rowOff>
    </xdr:from>
    <xdr:to>
      <xdr:col>6</xdr:col>
      <xdr:colOff>52541</xdr:colOff>
      <xdr:row>24</xdr:row>
      <xdr:rowOff>0</xdr:rowOff>
    </xdr:to>
    <xdr:grpSp>
      <xdr:nvGrpSpPr>
        <xdr:cNvPr id="56" name="Grupo 55">
          <a:extLst>
            <a:ext uri="{FF2B5EF4-FFF2-40B4-BE49-F238E27FC236}">
              <a16:creationId xmlns:a16="http://schemas.microsoft.com/office/drawing/2014/main" id="{85D35C57-7C7E-4E7D-82E8-73FC11325A32}"/>
            </a:ext>
          </a:extLst>
        </xdr:cNvPr>
        <xdr:cNvGrpSpPr/>
      </xdr:nvGrpSpPr>
      <xdr:grpSpPr>
        <a:xfrm>
          <a:off x="2243978" y="4886325"/>
          <a:ext cx="361263" cy="0"/>
          <a:chOff x="1351185" y="2633225"/>
          <a:chExt cx="828000" cy="2565051"/>
        </a:xfrm>
      </xdr:grpSpPr>
      <xdr:cxnSp macro="">
        <xdr:nvCxnSpPr>
          <xdr:cNvPr id="57" name="Conector recto 56">
            <a:extLst>
              <a:ext uri="{FF2B5EF4-FFF2-40B4-BE49-F238E27FC236}">
                <a16:creationId xmlns:a16="http://schemas.microsoft.com/office/drawing/2014/main" id="{CA2FD590-8375-425C-AFF7-A5BD17C2CD40}"/>
              </a:ext>
            </a:extLst>
          </xdr:cNvPr>
          <xdr:cNvCxnSpPr/>
        </xdr:nvCxnSpPr>
        <xdr:spPr>
          <a:xfrm rot="5400000" flipH="1">
            <a:off x="1765185" y="4784276"/>
            <a:ext cx="0" cy="828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Conector recto 57">
            <a:extLst>
              <a:ext uri="{FF2B5EF4-FFF2-40B4-BE49-F238E27FC236}">
                <a16:creationId xmlns:a16="http://schemas.microsoft.com/office/drawing/2014/main" id="{C2E8D548-D3AC-41F1-9E8C-EC4D942A4BB5}"/>
              </a:ext>
            </a:extLst>
          </xdr:cNvPr>
          <xdr:cNvCxnSpPr/>
        </xdr:nvCxnSpPr>
        <xdr:spPr>
          <a:xfrm flipH="1">
            <a:off x="2150862" y="2633225"/>
            <a:ext cx="0" cy="254479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58473</xdr:colOff>
      <xdr:row>24</xdr:row>
      <xdr:rowOff>0</xdr:rowOff>
    </xdr:from>
    <xdr:to>
      <xdr:col>6</xdr:col>
      <xdr:colOff>1314</xdr:colOff>
      <xdr:row>24</xdr:row>
      <xdr:rowOff>0</xdr:rowOff>
    </xdr:to>
    <xdr:grpSp>
      <xdr:nvGrpSpPr>
        <xdr:cNvPr id="59" name="Grupo 58">
          <a:extLst>
            <a:ext uri="{FF2B5EF4-FFF2-40B4-BE49-F238E27FC236}">
              <a16:creationId xmlns:a16="http://schemas.microsoft.com/office/drawing/2014/main" id="{967FDE18-5C02-42B0-8917-6F6DFBDF1D0D}"/>
            </a:ext>
          </a:extLst>
        </xdr:cNvPr>
        <xdr:cNvGrpSpPr/>
      </xdr:nvGrpSpPr>
      <xdr:grpSpPr>
        <a:xfrm>
          <a:off x="2268273" y="4886325"/>
          <a:ext cx="285741" cy="0"/>
          <a:chOff x="2211065" y="3050303"/>
          <a:chExt cx="360000" cy="288239"/>
        </a:xfrm>
      </xdr:grpSpPr>
      <xdr:cxnSp macro="">
        <xdr:nvCxnSpPr>
          <xdr:cNvPr id="60" name="Conector recto 59">
            <a:extLst>
              <a:ext uri="{FF2B5EF4-FFF2-40B4-BE49-F238E27FC236}">
                <a16:creationId xmlns:a16="http://schemas.microsoft.com/office/drawing/2014/main" id="{54552531-83C2-48FB-A9C7-635DCB33898D}"/>
              </a:ext>
            </a:extLst>
          </xdr:cNvPr>
          <xdr:cNvCxnSpPr/>
        </xdr:nvCxnSpPr>
        <xdr:spPr>
          <a:xfrm flipH="1">
            <a:off x="2217505" y="3050303"/>
            <a:ext cx="0" cy="28823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Conector recto 60">
            <a:extLst>
              <a:ext uri="{FF2B5EF4-FFF2-40B4-BE49-F238E27FC236}">
                <a16:creationId xmlns:a16="http://schemas.microsoft.com/office/drawing/2014/main" id="{9AD58108-DB95-4BD1-A6BA-67D5A8064362}"/>
              </a:ext>
            </a:extLst>
          </xdr:cNvPr>
          <xdr:cNvCxnSpPr/>
        </xdr:nvCxnSpPr>
        <xdr:spPr>
          <a:xfrm rot="5400000" flipH="1">
            <a:off x="2391065" y="3153819"/>
            <a:ext cx="0" cy="360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193676</xdr:colOff>
      <xdr:row>24</xdr:row>
      <xdr:rowOff>0</xdr:rowOff>
    </xdr:from>
    <xdr:to>
      <xdr:col>6</xdr:col>
      <xdr:colOff>141979</xdr:colOff>
      <xdr:row>24</xdr:row>
      <xdr:rowOff>0</xdr:rowOff>
    </xdr:to>
    <xdr:grpSp>
      <xdr:nvGrpSpPr>
        <xdr:cNvPr id="62" name="Grupo 61">
          <a:extLst>
            <a:ext uri="{FF2B5EF4-FFF2-40B4-BE49-F238E27FC236}">
              <a16:creationId xmlns:a16="http://schemas.microsoft.com/office/drawing/2014/main" id="{1F51866D-CA59-4029-B53F-6FF8861E1A0D}"/>
            </a:ext>
          </a:extLst>
        </xdr:cNvPr>
        <xdr:cNvGrpSpPr/>
      </xdr:nvGrpSpPr>
      <xdr:grpSpPr>
        <a:xfrm rot="10800000">
          <a:off x="2403476" y="4886325"/>
          <a:ext cx="291203" cy="0"/>
          <a:chOff x="1351185" y="2364579"/>
          <a:chExt cx="828000" cy="2890831"/>
        </a:xfrm>
      </xdr:grpSpPr>
      <xdr:cxnSp macro="">
        <xdr:nvCxnSpPr>
          <xdr:cNvPr id="63" name="Conector recto 62">
            <a:extLst>
              <a:ext uri="{FF2B5EF4-FFF2-40B4-BE49-F238E27FC236}">
                <a16:creationId xmlns:a16="http://schemas.microsoft.com/office/drawing/2014/main" id="{683C3790-5A7F-48EE-B0EB-8FC3EEEE2559}"/>
              </a:ext>
            </a:extLst>
          </xdr:cNvPr>
          <xdr:cNvCxnSpPr/>
        </xdr:nvCxnSpPr>
        <xdr:spPr>
          <a:xfrm rot="5400000" flipH="1">
            <a:off x="1765185" y="4784276"/>
            <a:ext cx="0" cy="828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Conector recto 63">
            <a:extLst>
              <a:ext uri="{FF2B5EF4-FFF2-40B4-BE49-F238E27FC236}">
                <a16:creationId xmlns:a16="http://schemas.microsoft.com/office/drawing/2014/main" id="{809D458D-B720-4853-876A-20303D274EA3}"/>
              </a:ext>
            </a:extLst>
          </xdr:cNvPr>
          <xdr:cNvCxnSpPr/>
        </xdr:nvCxnSpPr>
        <xdr:spPr>
          <a:xfrm rot="5400000" flipV="1">
            <a:off x="-77966" y="3809556"/>
            <a:ext cx="2890831" cy="878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58473</xdr:colOff>
      <xdr:row>24</xdr:row>
      <xdr:rowOff>0</xdr:rowOff>
    </xdr:from>
    <xdr:to>
      <xdr:col>6</xdr:col>
      <xdr:colOff>1314</xdr:colOff>
      <xdr:row>24</xdr:row>
      <xdr:rowOff>0</xdr:rowOff>
    </xdr:to>
    <xdr:grpSp>
      <xdr:nvGrpSpPr>
        <xdr:cNvPr id="65" name="Grupo 64">
          <a:extLst>
            <a:ext uri="{FF2B5EF4-FFF2-40B4-BE49-F238E27FC236}">
              <a16:creationId xmlns:a16="http://schemas.microsoft.com/office/drawing/2014/main" id="{E74F5559-CE71-4D71-A54B-66032EEFAB31}"/>
            </a:ext>
          </a:extLst>
        </xdr:cNvPr>
        <xdr:cNvGrpSpPr/>
      </xdr:nvGrpSpPr>
      <xdr:grpSpPr>
        <a:xfrm>
          <a:off x="2268273" y="4886325"/>
          <a:ext cx="285741" cy="0"/>
          <a:chOff x="2211065" y="3050303"/>
          <a:chExt cx="360000" cy="288239"/>
        </a:xfrm>
      </xdr:grpSpPr>
      <xdr:cxnSp macro="">
        <xdr:nvCxnSpPr>
          <xdr:cNvPr id="66" name="Conector recto 65">
            <a:extLst>
              <a:ext uri="{FF2B5EF4-FFF2-40B4-BE49-F238E27FC236}">
                <a16:creationId xmlns:a16="http://schemas.microsoft.com/office/drawing/2014/main" id="{7F5427FB-973A-484A-A03E-961A2FCFC46B}"/>
              </a:ext>
            </a:extLst>
          </xdr:cNvPr>
          <xdr:cNvCxnSpPr/>
        </xdr:nvCxnSpPr>
        <xdr:spPr>
          <a:xfrm flipH="1">
            <a:off x="2217505" y="3050303"/>
            <a:ext cx="0" cy="28823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Conector recto 66">
            <a:extLst>
              <a:ext uri="{FF2B5EF4-FFF2-40B4-BE49-F238E27FC236}">
                <a16:creationId xmlns:a16="http://schemas.microsoft.com/office/drawing/2014/main" id="{6293CBD5-1003-438A-B80D-836167CE6363}"/>
              </a:ext>
            </a:extLst>
          </xdr:cNvPr>
          <xdr:cNvCxnSpPr/>
        </xdr:nvCxnSpPr>
        <xdr:spPr>
          <a:xfrm rot="5400000" flipH="1">
            <a:off x="2391065" y="3153819"/>
            <a:ext cx="0" cy="360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319423</xdr:colOff>
      <xdr:row>24</xdr:row>
      <xdr:rowOff>0</xdr:rowOff>
    </xdr:from>
    <xdr:to>
      <xdr:col>7</xdr:col>
      <xdr:colOff>1465</xdr:colOff>
      <xdr:row>24</xdr:row>
      <xdr:rowOff>0</xdr:rowOff>
    </xdr:to>
    <xdr:grpSp>
      <xdr:nvGrpSpPr>
        <xdr:cNvPr id="68" name="Grupo 67">
          <a:extLst>
            <a:ext uri="{FF2B5EF4-FFF2-40B4-BE49-F238E27FC236}">
              <a16:creationId xmlns:a16="http://schemas.microsoft.com/office/drawing/2014/main" id="{A137A3AF-7098-4DAF-A3F5-72248F688233}"/>
            </a:ext>
          </a:extLst>
        </xdr:cNvPr>
        <xdr:cNvGrpSpPr/>
      </xdr:nvGrpSpPr>
      <xdr:grpSpPr>
        <a:xfrm>
          <a:off x="2186323" y="4886325"/>
          <a:ext cx="710742" cy="0"/>
          <a:chOff x="1623868" y="32663115"/>
          <a:chExt cx="459827" cy="298487"/>
        </a:xfrm>
      </xdr:grpSpPr>
      <xdr:grpSp>
        <xdr:nvGrpSpPr>
          <xdr:cNvPr id="69" name="Grupo 68">
            <a:extLst>
              <a:ext uri="{FF2B5EF4-FFF2-40B4-BE49-F238E27FC236}">
                <a16:creationId xmlns:a16="http://schemas.microsoft.com/office/drawing/2014/main" id="{078C1BDF-7281-487A-9912-45D0B8611DE5}"/>
              </a:ext>
            </a:extLst>
          </xdr:cNvPr>
          <xdr:cNvGrpSpPr/>
        </xdr:nvGrpSpPr>
        <xdr:grpSpPr>
          <a:xfrm>
            <a:off x="1623868" y="32663115"/>
            <a:ext cx="458484" cy="292031"/>
            <a:chOff x="1351185" y="2614000"/>
            <a:chExt cx="828000" cy="2584276"/>
          </a:xfrm>
        </xdr:grpSpPr>
        <xdr:cxnSp macro="">
          <xdr:nvCxnSpPr>
            <xdr:cNvPr id="71" name="Conector recto 70">
              <a:extLst>
                <a:ext uri="{FF2B5EF4-FFF2-40B4-BE49-F238E27FC236}">
                  <a16:creationId xmlns:a16="http://schemas.microsoft.com/office/drawing/2014/main" id="{65259657-80BD-4D25-9553-A793E850816B}"/>
                </a:ext>
              </a:extLst>
            </xdr:cNvPr>
            <xdr:cNvCxnSpPr/>
          </xdr:nvCxnSpPr>
          <xdr:spPr>
            <a:xfrm rot="5400000" flipH="1">
              <a:off x="1765185" y="4784276"/>
              <a:ext cx="0" cy="828000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" name="Conector recto 71">
              <a:extLst>
                <a:ext uri="{FF2B5EF4-FFF2-40B4-BE49-F238E27FC236}">
                  <a16:creationId xmlns:a16="http://schemas.microsoft.com/office/drawing/2014/main" id="{F966F298-9C59-4890-A7EB-3FD932A9590F}"/>
                </a:ext>
              </a:extLst>
            </xdr:cNvPr>
            <xdr:cNvCxnSpPr/>
          </xdr:nvCxnSpPr>
          <xdr:spPr>
            <a:xfrm flipH="1">
              <a:off x="1361905" y="2614000"/>
              <a:ext cx="0" cy="2544790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70" name="Conector recto 69">
            <a:extLst>
              <a:ext uri="{FF2B5EF4-FFF2-40B4-BE49-F238E27FC236}">
                <a16:creationId xmlns:a16="http://schemas.microsoft.com/office/drawing/2014/main" id="{0CD247B1-E95D-47F4-96E6-483369A53D1D}"/>
              </a:ext>
            </a:extLst>
          </xdr:cNvPr>
          <xdr:cNvCxnSpPr/>
        </xdr:nvCxnSpPr>
        <xdr:spPr>
          <a:xfrm flipH="1">
            <a:off x="2083695" y="32674033"/>
            <a:ext cx="0" cy="28756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58473</xdr:colOff>
      <xdr:row>24</xdr:row>
      <xdr:rowOff>0</xdr:rowOff>
    </xdr:from>
    <xdr:to>
      <xdr:col>6</xdr:col>
      <xdr:colOff>1314</xdr:colOff>
      <xdr:row>24</xdr:row>
      <xdr:rowOff>0</xdr:rowOff>
    </xdr:to>
    <xdr:grpSp>
      <xdr:nvGrpSpPr>
        <xdr:cNvPr id="73" name="Grupo 72">
          <a:extLst>
            <a:ext uri="{FF2B5EF4-FFF2-40B4-BE49-F238E27FC236}">
              <a16:creationId xmlns:a16="http://schemas.microsoft.com/office/drawing/2014/main" id="{5D336EE6-CBE4-4A3B-A86F-E8D6D83530C9}"/>
            </a:ext>
          </a:extLst>
        </xdr:cNvPr>
        <xdr:cNvGrpSpPr/>
      </xdr:nvGrpSpPr>
      <xdr:grpSpPr>
        <a:xfrm>
          <a:off x="2268273" y="4886325"/>
          <a:ext cx="285741" cy="0"/>
          <a:chOff x="2211065" y="3050303"/>
          <a:chExt cx="360000" cy="288239"/>
        </a:xfrm>
      </xdr:grpSpPr>
      <xdr:cxnSp macro="">
        <xdr:nvCxnSpPr>
          <xdr:cNvPr id="74" name="Conector recto 73">
            <a:extLst>
              <a:ext uri="{FF2B5EF4-FFF2-40B4-BE49-F238E27FC236}">
                <a16:creationId xmlns:a16="http://schemas.microsoft.com/office/drawing/2014/main" id="{285B9AC1-65A9-4776-866D-1B8CA23A49D1}"/>
              </a:ext>
            </a:extLst>
          </xdr:cNvPr>
          <xdr:cNvCxnSpPr/>
        </xdr:nvCxnSpPr>
        <xdr:spPr>
          <a:xfrm flipH="1">
            <a:off x="2217505" y="3050303"/>
            <a:ext cx="0" cy="28823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" name="Conector recto 74">
            <a:extLst>
              <a:ext uri="{FF2B5EF4-FFF2-40B4-BE49-F238E27FC236}">
                <a16:creationId xmlns:a16="http://schemas.microsoft.com/office/drawing/2014/main" id="{9AD36867-0BBC-472A-A030-EB2B50BEF521}"/>
              </a:ext>
            </a:extLst>
          </xdr:cNvPr>
          <xdr:cNvCxnSpPr/>
        </xdr:nvCxnSpPr>
        <xdr:spPr>
          <a:xfrm rot="5400000" flipH="1">
            <a:off x="2391065" y="3153819"/>
            <a:ext cx="0" cy="360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3154</xdr:colOff>
      <xdr:row>24</xdr:row>
      <xdr:rowOff>0</xdr:rowOff>
    </xdr:from>
    <xdr:to>
      <xdr:col>7</xdr:col>
      <xdr:colOff>316813</xdr:colOff>
      <xdr:row>24</xdr:row>
      <xdr:rowOff>0</xdr:rowOff>
    </xdr:to>
    <xdr:grpSp>
      <xdr:nvGrpSpPr>
        <xdr:cNvPr id="76" name="Grupo 75">
          <a:extLst>
            <a:ext uri="{FF2B5EF4-FFF2-40B4-BE49-F238E27FC236}">
              <a16:creationId xmlns:a16="http://schemas.microsoft.com/office/drawing/2014/main" id="{AF8F5AC9-F920-44AC-B086-38E3B4D5B15C}"/>
            </a:ext>
          </a:extLst>
        </xdr:cNvPr>
        <xdr:cNvGrpSpPr/>
      </xdr:nvGrpSpPr>
      <xdr:grpSpPr>
        <a:xfrm>
          <a:off x="2212954" y="4886325"/>
          <a:ext cx="999459" cy="0"/>
          <a:chOff x="1615966" y="35333770"/>
          <a:chExt cx="1143296" cy="481831"/>
        </a:xfrm>
      </xdr:grpSpPr>
      <xdr:grpSp>
        <xdr:nvGrpSpPr>
          <xdr:cNvPr id="77" name="Grupo 76">
            <a:extLst>
              <a:ext uri="{FF2B5EF4-FFF2-40B4-BE49-F238E27FC236}">
                <a16:creationId xmlns:a16="http://schemas.microsoft.com/office/drawing/2014/main" id="{EE888328-CE13-4D58-92CB-6C5FADC97F8B}"/>
              </a:ext>
            </a:extLst>
          </xdr:cNvPr>
          <xdr:cNvGrpSpPr/>
        </xdr:nvGrpSpPr>
        <xdr:grpSpPr>
          <a:xfrm>
            <a:off x="1623867" y="35333770"/>
            <a:ext cx="902540" cy="481831"/>
            <a:chOff x="1623868" y="32476270"/>
            <a:chExt cx="458484" cy="481831"/>
          </a:xfrm>
        </xdr:grpSpPr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683556B1-A28F-4D47-B45D-71DCB0153D88}"/>
                </a:ext>
              </a:extLst>
            </xdr:cNvPr>
            <xdr:cNvGrpSpPr/>
          </xdr:nvGrpSpPr>
          <xdr:grpSpPr>
            <a:xfrm>
              <a:off x="1623868" y="32490101"/>
              <a:ext cx="458484" cy="468000"/>
              <a:chOff x="1351185" y="1082946"/>
              <a:chExt cx="828000" cy="4141478"/>
            </a:xfrm>
          </xdr:grpSpPr>
          <xdr:cxnSp macro="">
            <xdr:nvCxnSpPr>
              <xdr:cNvPr id="82" name="Conector recto 81">
                <a:extLst>
                  <a:ext uri="{FF2B5EF4-FFF2-40B4-BE49-F238E27FC236}">
                    <a16:creationId xmlns:a16="http://schemas.microsoft.com/office/drawing/2014/main" id="{F9AF31CF-9BA5-491D-AE53-2E7A417D85DA}"/>
                  </a:ext>
                </a:extLst>
              </xdr:cNvPr>
              <xdr:cNvCxnSpPr/>
            </xdr:nvCxnSpPr>
            <xdr:spPr>
              <a:xfrm rot="5400000" flipH="1">
                <a:off x="1765185" y="4784276"/>
                <a:ext cx="0" cy="828000"/>
              </a:xfrm>
              <a:prstGeom prst="line">
                <a:avLst/>
              </a:prstGeom>
              <a:ln w="28575">
                <a:solidFill>
                  <a:srgbClr val="0000FF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83" name="Conector recto 82">
                <a:extLst>
                  <a:ext uri="{FF2B5EF4-FFF2-40B4-BE49-F238E27FC236}">
                    <a16:creationId xmlns:a16="http://schemas.microsoft.com/office/drawing/2014/main" id="{3CD3B0FB-503C-4D27-84AE-64E3BDAA76C5}"/>
                  </a:ext>
                </a:extLst>
              </xdr:cNvPr>
              <xdr:cNvCxnSpPr/>
            </xdr:nvCxnSpPr>
            <xdr:spPr>
              <a:xfrm flipH="1">
                <a:off x="1355835" y="1082946"/>
                <a:ext cx="0" cy="4141478"/>
              </a:xfrm>
              <a:prstGeom prst="line">
                <a:avLst/>
              </a:prstGeom>
              <a:ln w="28575">
                <a:solidFill>
                  <a:srgbClr val="0000FF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81" name="Conector recto 80">
              <a:extLst>
                <a:ext uri="{FF2B5EF4-FFF2-40B4-BE49-F238E27FC236}">
                  <a16:creationId xmlns:a16="http://schemas.microsoft.com/office/drawing/2014/main" id="{CA249C3F-17E7-4D08-8FAA-437E7AF3C3BE}"/>
                </a:ext>
              </a:extLst>
            </xdr:cNvPr>
            <xdr:cNvCxnSpPr/>
          </xdr:nvCxnSpPr>
          <xdr:spPr>
            <a:xfrm flipH="1">
              <a:off x="2080385" y="32476270"/>
              <a:ext cx="0" cy="476611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78" name="Conector recto 77">
            <a:extLst>
              <a:ext uri="{FF2B5EF4-FFF2-40B4-BE49-F238E27FC236}">
                <a16:creationId xmlns:a16="http://schemas.microsoft.com/office/drawing/2014/main" id="{BC263157-8030-4CA6-B516-4EDAFEA2FD73}"/>
              </a:ext>
            </a:extLst>
          </xdr:cNvPr>
          <xdr:cNvCxnSpPr/>
        </xdr:nvCxnSpPr>
        <xdr:spPr>
          <a:xfrm flipH="1">
            <a:off x="1615966" y="35354172"/>
            <a:ext cx="229914" cy="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Conector recto 78">
            <a:extLst>
              <a:ext uri="{FF2B5EF4-FFF2-40B4-BE49-F238E27FC236}">
                <a16:creationId xmlns:a16="http://schemas.microsoft.com/office/drawing/2014/main" id="{F4D7341D-7858-46DF-9482-2CAB93F194FD}"/>
              </a:ext>
            </a:extLst>
          </xdr:cNvPr>
          <xdr:cNvCxnSpPr/>
        </xdr:nvCxnSpPr>
        <xdr:spPr>
          <a:xfrm flipH="1">
            <a:off x="2529348" y="35344078"/>
            <a:ext cx="229914" cy="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282557</xdr:colOff>
      <xdr:row>206</xdr:row>
      <xdr:rowOff>16565</xdr:rowOff>
    </xdr:from>
    <xdr:to>
      <xdr:col>6</xdr:col>
      <xdr:colOff>281609</xdr:colOff>
      <xdr:row>206</xdr:row>
      <xdr:rowOff>16565</xdr:rowOff>
    </xdr:to>
    <xdr:cxnSp macro="">
      <xdr:nvCxnSpPr>
        <xdr:cNvPr id="84" name="Conector recto 83">
          <a:extLst>
            <a:ext uri="{FF2B5EF4-FFF2-40B4-BE49-F238E27FC236}">
              <a16:creationId xmlns:a16="http://schemas.microsoft.com/office/drawing/2014/main" id="{814091FF-99A9-4614-8AA6-9B0ADACBD3E6}"/>
            </a:ext>
          </a:extLst>
        </xdr:cNvPr>
        <xdr:cNvCxnSpPr/>
      </xdr:nvCxnSpPr>
      <xdr:spPr>
        <a:xfrm flipH="1">
          <a:off x="3452477" y="37689845"/>
          <a:ext cx="1584012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310331</xdr:colOff>
      <xdr:row>15</xdr:row>
      <xdr:rowOff>3072</xdr:rowOff>
    </xdr:from>
    <xdr:to>
      <xdr:col>4</xdr:col>
      <xdr:colOff>310331</xdr:colOff>
      <xdr:row>15</xdr:row>
      <xdr:rowOff>168991</xdr:rowOff>
    </xdr:to>
    <xdr:cxnSp macro="">
      <xdr:nvCxnSpPr>
        <xdr:cNvPr id="85" name="Conector recto 84">
          <a:extLst>
            <a:ext uri="{FF2B5EF4-FFF2-40B4-BE49-F238E27FC236}">
              <a16:creationId xmlns:a16="http://schemas.microsoft.com/office/drawing/2014/main" id="{CD09124A-1AE5-45F6-B85F-5C65400B7F2C}"/>
            </a:ext>
          </a:extLst>
        </xdr:cNvPr>
        <xdr:cNvCxnSpPr/>
      </xdr:nvCxnSpPr>
      <xdr:spPr>
        <a:xfrm flipV="1">
          <a:off x="3480251" y="2746272"/>
          <a:ext cx="0" cy="16591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165229</xdr:colOff>
      <xdr:row>25</xdr:row>
      <xdr:rowOff>0</xdr:rowOff>
    </xdr:from>
    <xdr:to>
      <xdr:col>5</xdr:col>
      <xdr:colOff>165230</xdr:colOff>
      <xdr:row>28</xdr:row>
      <xdr:rowOff>19439</xdr:rowOff>
    </xdr:to>
    <xdr:cxnSp macro="">
      <xdr:nvCxnSpPr>
        <xdr:cNvPr id="86" name="Conector recto 85">
          <a:extLst>
            <a:ext uri="{FF2B5EF4-FFF2-40B4-BE49-F238E27FC236}">
              <a16:creationId xmlns:a16="http://schemas.microsoft.com/office/drawing/2014/main" id="{A95AD876-E810-46F8-A318-FEE151B51E84}"/>
            </a:ext>
          </a:extLst>
        </xdr:cNvPr>
        <xdr:cNvCxnSpPr/>
      </xdr:nvCxnSpPr>
      <xdr:spPr>
        <a:xfrm>
          <a:off x="4127629" y="4572000"/>
          <a:ext cx="1" cy="56807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414286</xdr:colOff>
      <xdr:row>31</xdr:row>
      <xdr:rowOff>49049</xdr:rowOff>
    </xdr:from>
    <xdr:to>
      <xdr:col>6</xdr:col>
      <xdr:colOff>435055</xdr:colOff>
      <xdr:row>31</xdr:row>
      <xdr:rowOff>49049</xdr:rowOff>
    </xdr:to>
    <xdr:cxnSp macro="">
      <xdr:nvCxnSpPr>
        <xdr:cNvPr id="87" name="Conector recto 86">
          <a:extLst>
            <a:ext uri="{FF2B5EF4-FFF2-40B4-BE49-F238E27FC236}">
              <a16:creationId xmlns:a16="http://schemas.microsoft.com/office/drawing/2014/main" id="{E68ADE8F-89FD-42DA-B825-8829E2CDACDE}"/>
            </a:ext>
          </a:extLst>
        </xdr:cNvPr>
        <xdr:cNvCxnSpPr/>
      </xdr:nvCxnSpPr>
      <xdr:spPr>
        <a:xfrm rot="5400000" flipH="1">
          <a:off x="4387071" y="4915464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85239</xdr:colOff>
      <xdr:row>70</xdr:row>
      <xdr:rowOff>14949</xdr:rowOff>
    </xdr:from>
    <xdr:to>
      <xdr:col>6</xdr:col>
      <xdr:colOff>264956</xdr:colOff>
      <xdr:row>70</xdr:row>
      <xdr:rowOff>14949</xdr:rowOff>
    </xdr:to>
    <xdr:cxnSp macro="">
      <xdr:nvCxnSpPr>
        <xdr:cNvPr id="88" name="Conector recto 87">
          <a:extLst>
            <a:ext uri="{FF2B5EF4-FFF2-40B4-BE49-F238E27FC236}">
              <a16:creationId xmlns:a16="http://schemas.microsoft.com/office/drawing/2014/main" id="{6C6D5CE5-78E6-4C89-8281-AF16975B3664}"/>
            </a:ext>
          </a:extLst>
        </xdr:cNvPr>
        <xdr:cNvCxnSpPr/>
      </xdr:nvCxnSpPr>
      <xdr:spPr>
        <a:xfrm flipH="1">
          <a:off x="4840119" y="12816549"/>
          <a:ext cx="179717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246794</xdr:colOff>
      <xdr:row>72</xdr:row>
      <xdr:rowOff>183641</xdr:rowOff>
    </xdr:from>
    <xdr:to>
      <xdr:col>6</xdr:col>
      <xdr:colOff>426511</xdr:colOff>
      <xdr:row>72</xdr:row>
      <xdr:rowOff>183641</xdr:rowOff>
    </xdr:to>
    <xdr:cxnSp macro="">
      <xdr:nvCxnSpPr>
        <xdr:cNvPr id="89" name="Conector recto 88">
          <a:extLst>
            <a:ext uri="{FF2B5EF4-FFF2-40B4-BE49-F238E27FC236}">
              <a16:creationId xmlns:a16="http://schemas.microsoft.com/office/drawing/2014/main" id="{857B0E39-3C3F-4AF7-BC85-3D8D3A9081F8}"/>
            </a:ext>
          </a:extLst>
        </xdr:cNvPr>
        <xdr:cNvCxnSpPr/>
      </xdr:nvCxnSpPr>
      <xdr:spPr>
        <a:xfrm flipH="1">
          <a:off x="5001674" y="13351001"/>
          <a:ext cx="179717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</xdr:colOff>
      <xdr:row>97</xdr:row>
      <xdr:rowOff>142875</xdr:rowOff>
    </xdr:from>
    <xdr:to>
      <xdr:col>5</xdr:col>
      <xdr:colOff>276225</xdr:colOff>
      <xdr:row>97</xdr:row>
      <xdr:rowOff>142875</xdr:rowOff>
    </xdr:to>
    <xdr:cxnSp macro="">
      <xdr:nvCxnSpPr>
        <xdr:cNvPr id="90" name="Conector recto 89">
          <a:extLst>
            <a:ext uri="{FF2B5EF4-FFF2-40B4-BE49-F238E27FC236}">
              <a16:creationId xmlns:a16="http://schemas.microsoft.com/office/drawing/2014/main" id="{E87AD854-1885-41AB-A331-3125D53CF2A1}"/>
            </a:ext>
          </a:extLst>
        </xdr:cNvPr>
        <xdr:cNvCxnSpPr/>
      </xdr:nvCxnSpPr>
      <xdr:spPr>
        <a:xfrm flipH="1">
          <a:off x="4029075" y="17882235"/>
          <a:ext cx="209550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100053</xdr:colOff>
      <xdr:row>122</xdr:row>
      <xdr:rowOff>104054</xdr:rowOff>
    </xdr:from>
    <xdr:to>
      <xdr:col>6</xdr:col>
      <xdr:colOff>319848</xdr:colOff>
      <xdr:row>122</xdr:row>
      <xdr:rowOff>107257</xdr:rowOff>
    </xdr:to>
    <xdr:cxnSp macro="">
      <xdr:nvCxnSpPr>
        <xdr:cNvPr id="91" name="Conector recto 90">
          <a:extLst>
            <a:ext uri="{FF2B5EF4-FFF2-40B4-BE49-F238E27FC236}">
              <a16:creationId xmlns:a16="http://schemas.microsoft.com/office/drawing/2014/main" id="{98DCC2C7-95FF-4764-8F8F-ED3A72D23B84}"/>
            </a:ext>
          </a:extLst>
        </xdr:cNvPr>
        <xdr:cNvCxnSpPr/>
      </xdr:nvCxnSpPr>
      <xdr:spPr>
        <a:xfrm>
          <a:off x="4854933" y="22415414"/>
          <a:ext cx="219795" cy="3203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110</xdr:row>
      <xdr:rowOff>142875</xdr:rowOff>
    </xdr:from>
    <xdr:to>
      <xdr:col>6</xdr:col>
      <xdr:colOff>1</xdr:colOff>
      <xdr:row>112</xdr:row>
      <xdr:rowOff>123825</xdr:rowOff>
    </xdr:to>
    <xdr:cxnSp macro="">
      <xdr:nvCxnSpPr>
        <xdr:cNvPr id="92" name="Conector recto 91">
          <a:extLst>
            <a:ext uri="{FF2B5EF4-FFF2-40B4-BE49-F238E27FC236}">
              <a16:creationId xmlns:a16="http://schemas.microsoft.com/office/drawing/2014/main" id="{1DD3AA6A-28B2-43BF-9872-2102A9A73467}"/>
            </a:ext>
          </a:extLst>
        </xdr:cNvPr>
        <xdr:cNvCxnSpPr/>
      </xdr:nvCxnSpPr>
      <xdr:spPr>
        <a:xfrm>
          <a:off x="4754880" y="20259675"/>
          <a:ext cx="1" cy="34671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110</xdr:row>
      <xdr:rowOff>28575</xdr:rowOff>
    </xdr:from>
    <xdr:to>
      <xdr:col>6</xdr:col>
      <xdr:colOff>0</xdr:colOff>
      <xdr:row>110</xdr:row>
      <xdr:rowOff>142875</xdr:rowOff>
    </xdr:to>
    <xdr:cxnSp macro="">
      <xdr:nvCxnSpPr>
        <xdr:cNvPr id="93" name="Conector recto 92">
          <a:extLst>
            <a:ext uri="{FF2B5EF4-FFF2-40B4-BE49-F238E27FC236}">
              <a16:creationId xmlns:a16="http://schemas.microsoft.com/office/drawing/2014/main" id="{51AFB393-4271-4B36-BF4D-080908A4BA06}"/>
            </a:ext>
          </a:extLst>
        </xdr:cNvPr>
        <xdr:cNvCxnSpPr/>
      </xdr:nvCxnSpPr>
      <xdr:spPr>
        <a:xfrm flipH="1" flipV="1">
          <a:off x="4124325" y="20145375"/>
          <a:ext cx="630555" cy="11430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409575</xdr:colOff>
      <xdr:row>100</xdr:row>
      <xdr:rowOff>0</xdr:rowOff>
    </xdr:from>
    <xdr:to>
      <xdr:col>5</xdr:col>
      <xdr:colOff>409577</xdr:colOff>
      <xdr:row>102</xdr:row>
      <xdr:rowOff>133350</xdr:rowOff>
    </xdr:to>
    <xdr:cxnSp macro="">
      <xdr:nvCxnSpPr>
        <xdr:cNvPr id="94" name="Conector recto 93">
          <a:extLst>
            <a:ext uri="{FF2B5EF4-FFF2-40B4-BE49-F238E27FC236}">
              <a16:creationId xmlns:a16="http://schemas.microsoft.com/office/drawing/2014/main" id="{C5B9B6F1-62EB-401A-AE5F-666332DBD7A1}"/>
            </a:ext>
          </a:extLst>
        </xdr:cNvPr>
        <xdr:cNvCxnSpPr/>
      </xdr:nvCxnSpPr>
      <xdr:spPr>
        <a:xfrm>
          <a:off x="4371975" y="18288000"/>
          <a:ext cx="2" cy="49911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400050</xdr:colOff>
      <xdr:row>102</xdr:row>
      <xdr:rowOff>133350</xdr:rowOff>
    </xdr:from>
    <xdr:to>
      <xdr:col>6</xdr:col>
      <xdr:colOff>171450</xdr:colOff>
      <xdr:row>102</xdr:row>
      <xdr:rowOff>133350</xdr:rowOff>
    </xdr:to>
    <xdr:cxnSp macro="">
      <xdr:nvCxnSpPr>
        <xdr:cNvPr id="95" name="Conector recto 94">
          <a:extLst>
            <a:ext uri="{FF2B5EF4-FFF2-40B4-BE49-F238E27FC236}">
              <a16:creationId xmlns:a16="http://schemas.microsoft.com/office/drawing/2014/main" id="{CA26929C-7F11-447D-82EE-0737E01C795C}"/>
            </a:ext>
          </a:extLst>
        </xdr:cNvPr>
        <xdr:cNvCxnSpPr/>
      </xdr:nvCxnSpPr>
      <xdr:spPr>
        <a:xfrm flipH="1">
          <a:off x="4362450" y="18787110"/>
          <a:ext cx="563880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105</xdr:row>
      <xdr:rowOff>19050</xdr:rowOff>
    </xdr:from>
    <xdr:to>
      <xdr:col>6</xdr:col>
      <xdr:colOff>1</xdr:colOff>
      <xdr:row>107</xdr:row>
      <xdr:rowOff>142875</xdr:rowOff>
    </xdr:to>
    <xdr:cxnSp macro="">
      <xdr:nvCxnSpPr>
        <xdr:cNvPr id="96" name="Conector recto 95">
          <a:extLst>
            <a:ext uri="{FF2B5EF4-FFF2-40B4-BE49-F238E27FC236}">
              <a16:creationId xmlns:a16="http://schemas.microsoft.com/office/drawing/2014/main" id="{E6D93430-78E3-4571-B508-0DC3FB5FC65E}"/>
            </a:ext>
          </a:extLst>
        </xdr:cNvPr>
        <xdr:cNvCxnSpPr/>
      </xdr:nvCxnSpPr>
      <xdr:spPr>
        <a:xfrm>
          <a:off x="4754880" y="19221450"/>
          <a:ext cx="1" cy="489585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35944</xdr:colOff>
      <xdr:row>115</xdr:row>
      <xdr:rowOff>8986</xdr:rowOff>
    </xdr:from>
    <xdr:to>
      <xdr:col>6</xdr:col>
      <xdr:colOff>38101</xdr:colOff>
      <xdr:row>117</xdr:row>
      <xdr:rowOff>161925</xdr:rowOff>
    </xdr:to>
    <xdr:cxnSp macro="">
      <xdr:nvCxnSpPr>
        <xdr:cNvPr id="97" name="Conector recto 96">
          <a:extLst>
            <a:ext uri="{FF2B5EF4-FFF2-40B4-BE49-F238E27FC236}">
              <a16:creationId xmlns:a16="http://schemas.microsoft.com/office/drawing/2014/main" id="{49C6A076-52A8-4082-A377-C0061AC46D5C}"/>
            </a:ext>
          </a:extLst>
        </xdr:cNvPr>
        <xdr:cNvCxnSpPr/>
      </xdr:nvCxnSpPr>
      <xdr:spPr>
        <a:xfrm>
          <a:off x="4790824" y="21040186"/>
          <a:ext cx="2157" cy="51869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428626</xdr:colOff>
      <xdr:row>112</xdr:row>
      <xdr:rowOff>114300</xdr:rowOff>
    </xdr:from>
    <xdr:to>
      <xdr:col>6</xdr:col>
      <xdr:colOff>304800</xdr:colOff>
      <xdr:row>112</xdr:row>
      <xdr:rowOff>114300</xdr:rowOff>
    </xdr:to>
    <xdr:cxnSp macro="">
      <xdr:nvCxnSpPr>
        <xdr:cNvPr id="98" name="Conector recto 97">
          <a:extLst>
            <a:ext uri="{FF2B5EF4-FFF2-40B4-BE49-F238E27FC236}">
              <a16:creationId xmlns:a16="http://schemas.microsoft.com/office/drawing/2014/main" id="{3D621804-812A-45C7-9FA1-FB4CFC0FBD1F}"/>
            </a:ext>
          </a:extLst>
        </xdr:cNvPr>
        <xdr:cNvCxnSpPr/>
      </xdr:nvCxnSpPr>
      <xdr:spPr>
        <a:xfrm flipH="1">
          <a:off x="4391026" y="20596860"/>
          <a:ext cx="668654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402325</xdr:colOff>
      <xdr:row>126</xdr:row>
      <xdr:rowOff>16513</xdr:rowOff>
    </xdr:from>
    <xdr:to>
      <xdr:col>6</xdr:col>
      <xdr:colOff>402325</xdr:colOff>
      <xdr:row>127</xdr:row>
      <xdr:rowOff>6127</xdr:rowOff>
    </xdr:to>
    <xdr:cxnSp macro="">
      <xdr:nvCxnSpPr>
        <xdr:cNvPr id="99" name="Conector recto 98">
          <a:extLst>
            <a:ext uri="{FF2B5EF4-FFF2-40B4-BE49-F238E27FC236}">
              <a16:creationId xmlns:a16="http://schemas.microsoft.com/office/drawing/2014/main" id="{14A29F3B-29BE-4B4F-8477-4B33B982B8CD}"/>
            </a:ext>
          </a:extLst>
        </xdr:cNvPr>
        <xdr:cNvCxnSpPr/>
      </xdr:nvCxnSpPr>
      <xdr:spPr>
        <a:xfrm>
          <a:off x="5157205" y="23059393"/>
          <a:ext cx="0" cy="172494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156082</xdr:colOff>
      <xdr:row>129</xdr:row>
      <xdr:rowOff>180094</xdr:rowOff>
    </xdr:from>
    <xdr:to>
      <xdr:col>6</xdr:col>
      <xdr:colOff>312164</xdr:colOff>
      <xdr:row>129</xdr:row>
      <xdr:rowOff>180096</xdr:rowOff>
    </xdr:to>
    <xdr:cxnSp macro="">
      <xdr:nvCxnSpPr>
        <xdr:cNvPr id="100" name="Conector recto 99">
          <a:extLst>
            <a:ext uri="{FF2B5EF4-FFF2-40B4-BE49-F238E27FC236}">
              <a16:creationId xmlns:a16="http://schemas.microsoft.com/office/drawing/2014/main" id="{8FD607B4-9C55-47CB-81B6-DF22FA019D7B}"/>
            </a:ext>
          </a:extLst>
        </xdr:cNvPr>
        <xdr:cNvCxnSpPr/>
      </xdr:nvCxnSpPr>
      <xdr:spPr>
        <a:xfrm flipH="1">
          <a:off x="4910962" y="23771614"/>
          <a:ext cx="156082" cy="2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133</xdr:row>
      <xdr:rowOff>24333</xdr:rowOff>
    </xdr:from>
    <xdr:to>
      <xdr:col>6</xdr:col>
      <xdr:colOff>308482</xdr:colOff>
      <xdr:row>133</xdr:row>
      <xdr:rowOff>24335</xdr:rowOff>
    </xdr:to>
    <xdr:cxnSp macro="">
      <xdr:nvCxnSpPr>
        <xdr:cNvPr id="101" name="Conector recto 100">
          <a:extLst>
            <a:ext uri="{FF2B5EF4-FFF2-40B4-BE49-F238E27FC236}">
              <a16:creationId xmlns:a16="http://schemas.microsoft.com/office/drawing/2014/main" id="{B13B2E7F-6FDF-426C-BEC5-B9D4895B0326}"/>
            </a:ext>
          </a:extLst>
        </xdr:cNvPr>
        <xdr:cNvCxnSpPr/>
      </xdr:nvCxnSpPr>
      <xdr:spPr>
        <a:xfrm flipH="1">
          <a:off x="4907280" y="24347373"/>
          <a:ext cx="156082" cy="2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286775</xdr:colOff>
      <xdr:row>79</xdr:row>
      <xdr:rowOff>102420</xdr:rowOff>
    </xdr:from>
    <xdr:to>
      <xdr:col>5</xdr:col>
      <xdr:colOff>286776</xdr:colOff>
      <xdr:row>83</xdr:row>
      <xdr:rowOff>10242</xdr:rowOff>
    </xdr:to>
    <xdr:cxnSp macro="">
      <xdr:nvCxnSpPr>
        <xdr:cNvPr id="102" name="Conector recto 101">
          <a:extLst>
            <a:ext uri="{FF2B5EF4-FFF2-40B4-BE49-F238E27FC236}">
              <a16:creationId xmlns:a16="http://schemas.microsoft.com/office/drawing/2014/main" id="{FD9FC2C4-37FE-4B8D-8C56-DCC48C4F8038}"/>
            </a:ext>
          </a:extLst>
        </xdr:cNvPr>
        <xdr:cNvCxnSpPr/>
      </xdr:nvCxnSpPr>
      <xdr:spPr>
        <a:xfrm flipH="1">
          <a:off x="4249175" y="14549940"/>
          <a:ext cx="1" cy="639342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92178</xdr:colOff>
      <xdr:row>162</xdr:row>
      <xdr:rowOff>170434</xdr:rowOff>
    </xdr:from>
    <xdr:to>
      <xdr:col>5</xdr:col>
      <xdr:colOff>346267</xdr:colOff>
      <xdr:row>162</xdr:row>
      <xdr:rowOff>174113</xdr:rowOff>
    </xdr:to>
    <xdr:cxnSp macro="">
      <xdr:nvCxnSpPr>
        <xdr:cNvPr id="103" name="Conector recto 102">
          <a:extLst>
            <a:ext uri="{FF2B5EF4-FFF2-40B4-BE49-F238E27FC236}">
              <a16:creationId xmlns:a16="http://schemas.microsoft.com/office/drawing/2014/main" id="{6AD88E88-585B-47A5-B1E7-F325982E9501}"/>
            </a:ext>
          </a:extLst>
        </xdr:cNvPr>
        <xdr:cNvCxnSpPr/>
      </xdr:nvCxnSpPr>
      <xdr:spPr>
        <a:xfrm flipV="1">
          <a:off x="4054578" y="29796994"/>
          <a:ext cx="254089" cy="367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368709</xdr:colOff>
      <xdr:row>165</xdr:row>
      <xdr:rowOff>92177</xdr:rowOff>
    </xdr:from>
    <xdr:to>
      <xdr:col>6</xdr:col>
      <xdr:colOff>369194</xdr:colOff>
      <xdr:row>166</xdr:row>
      <xdr:rowOff>189458</xdr:rowOff>
    </xdr:to>
    <xdr:cxnSp macro="">
      <xdr:nvCxnSpPr>
        <xdr:cNvPr id="104" name="Conector recto 103">
          <a:extLst>
            <a:ext uri="{FF2B5EF4-FFF2-40B4-BE49-F238E27FC236}">
              <a16:creationId xmlns:a16="http://schemas.microsoft.com/office/drawing/2014/main" id="{0A814B71-FB38-43A8-B795-067242E96117}"/>
            </a:ext>
          </a:extLst>
        </xdr:cNvPr>
        <xdr:cNvCxnSpPr/>
      </xdr:nvCxnSpPr>
      <xdr:spPr>
        <a:xfrm>
          <a:off x="5123589" y="30267377"/>
          <a:ext cx="485" cy="272541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282557</xdr:colOff>
      <xdr:row>216</xdr:row>
      <xdr:rowOff>16565</xdr:rowOff>
    </xdr:from>
    <xdr:to>
      <xdr:col>6</xdr:col>
      <xdr:colOff>281609</xdr:colOff>
      <xdr:row>216</xdr:row>
      <xdr:rowOff>16565</xdr:rowOff>
    </xdr:to>
    <xdr:cxnSp macro="">
      <xdr:nvCxnSpPr>
        <xdr:cNvPr id="105" name="Conector recto 104">
          <a:extLst>
            <a:ext uri="{FF2B5EF4-FFF2-40B4-BE49-F238E27FC236}">
              <a16:creationId xmlns:a16="http://schemas.microsoft.com/office/drawing/2014/main" id="{FDF8075C-7D10-4308-8CC2-58AB125C52D0}"/>
            </a:ext>
          </a:extLst>
        </xdr:cNvPr>
        <xdr:cNvCxnSpPr/>
      </xdr:nvCxnSpPr>
      <xdr:spPr>
        <a:xfrm flipH="1">
          <a:off x="3452477" y="39518645"/>
          <a:ext cx="1584012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399437</xdr:colOff>
      <xdr:row>209</xdr:row>
      <xdr:rowOff>112661</xdr:rowOff>
    </xdr:from>
    <xdr:to>
      <xdr:col>5</xdr:col>
      <xdr:colOff>409678</xdr:colOff>
      <xdr:row>213</xdr:row>
      <xdr:rowOff>81936</xdr:rowOff>
    </xdr:to>
    <xdr:cxnSp macro="">
      <xdr:nvCxnSpPr>
        <xdr:cNvPr id="106" name="Conector recto 105">
          <a:extLst>
            <a:ext uri="{FF2B5EF4-FFF2-40B4-BE49-F238E27FC236}">
              <a16:creationId xmlns:a16="http://schemas.microsoft.com/office/drawing/2014/main" id="{F90CC3B0-DCF2-4172-85D6-CF7A42F98939}"/>
            </a:ext>
          </a:extLst>
        </xdr:cNvPr>
        <xdr:cNvCxnSpPr/>
      </xdr:nvCxnSpPr>
      <xdr:spPr>
        <a:xfrm flipH="1">
          <a:off x="4361837" y="38334581"/>
          <a:ext cx="10241" cy="700795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307257</xdr:colOff>
      <xdr:row>14</xdr:row>
      <xdr:rowOff>165919</xdr:rowOff>
    </xdr:from>
    <xdr:to>
      <xdr:col>7</xdr:col>
      <xdr:colOff>38098</xdr:colOff>
      <xdr:row>17</xdr:row>
      <xdr:rowOff>115216</xdr:rowOff>
    </xdr:to>
    <xdr:grpSp>
      <xdr:nvGrpSpPr>
        <xdr:cNvPr id="107" name="Grupo 106">
          <a:extLst>
            <a:ext uri="{FF2B5EF4-FFF2-40B4-BE49-F238E27FC236}">
              <a16:creationId xmlns:a16="http://schemas.microsoft.com/office/drawing/2014/main" id="{3C41FF8B-231E-40F5-8470-F46F30A4157D}"/>
            </a:ext>
          </a:extLst>
        </xdr:cNvPr>
        <xdr:cNvGrpSpPr/>
      </xdr:nvGrpSpPr>
      <xdr:grpSpPr>
        <a:xfrm rot="10800000">
          <a:off x="2174157" y="3137719"/>
          <a:ext cx="759541" cy="530322"/>
          <a:chOff x="1770676" y="3947959"/>
          <a:chExt cx="841116" cy="123753"/>
        </a:xfrm>
      </xdr:grpSpPr>
      <xdr:cxnSp macro="">
        <xdr:nvCxnSpPr>
          <xdr:cNvPr id="108" name="Conector recto 107">
            <a:extLst>
              <a:ext uri="{FF2B5EF4-FFF2-40B4-BE49-F238E27FC236}">
                <a16:creationId xmlns:a16="http://schemas.microsoft.com/office/drawing/2014/main" id="{BA3E8C53-2A72-4FB5-9515-391EF2ED2CF7}"/>
              </a:ext>
            </a:extLst>
          </xdr:cNvPr>
          <xdr:cNvCxnSpPr/>
        </xdr:nvCxnSpPr>
        <xdr:spPr>
          <a:xfrm rot="10800000" flipV="1">
            <a:off x="1770676" y="4061490"/>
            <a:ext cx="841116" cy="2045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Conector recto 108">
            <a:extLst>
              <a:ext uri="{FF2B5EF4-FFF2-40B4-BE49-F238E27FC236}">
                <a16:creationId xmlns:a16="http://schemas.microsoft.com/office/drawing/2014/main" id="{B8A151A4-1D36-40B6-B32E-12CEF0D02388}"/>
              </a:ext>
            </a:extLst>
          </xdr:cNvPr>
          <xdr:cNvCxnSpPr/>
        </xdr:nvCxnSpPr>
        <xdr:spPr>
          <a:xfrm rot="10800000" flipH="1">
            <a:off x="2569426" y="3947959"/>
            <a:ext cx="10785" cy="123753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14134</xdr:colOff>
      <xdr:row>14</xdr:row>
      <xdr:rowOff>172064</xdr:rowOff>
    </xdr:from>
    <xdr:to>
      <xdr:col>5</xdr:col>
      <xdr:colOff>159774</xdr:colOff>
      <xdr:row>14</xdr:row>
      <xdr:rowOff>173908</xdr:rowOff>
    </xdr:to>
    <xdr:cxnSp macro="">
      <xdr:nvCxnSpPr>
        <xdr:cNvPr id="110" name="Conector recto 109">
          <a:extLst>
            <a:ext uri="{FF2B5EF4-FFF2-40B4-BE49-F238E27FC236}">
              <a16:creationId xmlns:a16="http://schemas.microsoft.com/office/drawing/2014/main" id="{CBE27644-5507-493F-AE67-571337ABAB6D}"/>
            </a:ext>
          </a:extLst>
        </xdr:cNvPr>
        <xdr:cNvCxnSpPr/>
      </xdr:nvCxnSpPr>
      <xdr:spPr>
        <a:xfrm flipV="1">
          <a:off x="3976534" y="2732384"/>
          <a:ext cx="145640" cy="1844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77666</xdr:colOff>
      <xdr:row>35</xdr:row>
      <xdr:rowOff>31097</xdr:rowOff>
    </xdr:from>
    <xdr:ext cx="1548912" cy="1038633"/>
    <xdr:pic>
      <xdr:nvPicPr>
        <xdr:cNvPr id="2" name="Imagen 1">
          <a:extLst>
            <a:ext uri="{FF2B5EF4-FFF2-40B4-BE49-F238E27FC236}">
              <a16:creationId xmlns:a16="http://schemas.microsoft.com/office/drawing/2014/main" id="{EB3CD84C-527F-470E-ACD4-0AF9FA4994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558" t="19393" r="32932" b="27799"/>
        <a:stretch/>
      </xdr:blipFill>
      <xdr:spPr bwMode="auto">
        <a:xfrm>
          <a:off x="1494986" y="6431897"/>
          <a:ext cx="1548912" cy="1038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1499088</xdr:colOff>
      <xdr:row>35</xdr:row>
      <xdr:rowOff>81328</xdr:rowOff>
    </xdr:from>
    <xdr:ext cx="1566005" cy="2336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82A6F12-D938-4D71-BFDB-09590D2D0744}"/>
                </a:ext>
              </a:extLst>
            </xdr:cNvPr>
            <xdr:cNvSpPr txBox="1"/>
          </xdr:nvSpPr>
          <xdr:spPr>
            <a:xfrm>
              <a:off x="2123928" y="6482128"/>
              <a:ext cx="1566005" cy="2336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8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s-PE" sz="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800" b="0" i="1">
                            <a:latin typeface="Cambria Math" panose="02040503050406030204" pitchFamily="18" charset="0"/>
                          </a:rPr>
                          <m:t>h</m:t>
                        </m:r>
                      </m:num>
                      <m:den>
                        <m:r>
                          <a:rPr lang="es-PE" sz="800" b="0" i="1">
                            <a:latin typeface="Cambria Math" panose="02040503050406030204" pitchFamily="18" charset="0"/>
                          </a:rPr>
                          <m:t>6</m:t>
                        </m:r>
                      </m:den>
                    </m:f>
                    <m:d>
                      <m:dPr>
                        <m:begChr m:val="["/>
                        <m:endChr m:val="]"/>
                        <m:ctrlPr>
                          <a:rPr lang="es-PE" sz="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s-PE" sz="8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´</m:t>
                            </m:r>
                          </m:e>
                        </m:d>
                        <m:r>
                          <a:rPr lang="es-PE" sz="800" b="0" i="1">
                            <a:latin typeface="Cambria Math" panose="02040503050406030204" pitchFamily="18" charset="0"/>
                          </a:rPr>
                          <m:t>𝑥𝑏</m:t>
                        </m:r>
                        <m:r>
                          <a:rPr lang="es-PE" sz="800" b="0" i="1">
                            <a:latin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ctrlPr>
                              <a:rPr lang="es-PE" sz="8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´+</m:t>
                            </m:r>
                            <m:r>
                              <a:rPr lang="es-PE" sz="8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>
                          <a:rPr lang="es-PE" sz="800" b="0" i="1">
                            <a:latin typeface="Cambria Math" panose="02040503050406030204" pitchFamily="18" charset="0"/>
                          </a:rPr>
                          <m:t>𝑥𝑏</m:t>
                        </m:r>
                        <m:r>
                          <a:rPr lang="es-PE" sz="800" b="0" i="1">
                            <a:latin typeface="Cambria Math" panose="02040503050406030204" pitchFamily="18" charset="0"/>
                          </a:rPr>
                          <m:t>´</m:t>
                        </m:r>
                      </m:e>
                    </m:d>
                  </m:oMath>
                </m:oMathPara>
              </a14:m>
              <a:endParaRPr lang="es-PE" sz="800">
                <a:latin typeface="Arial Narrow" panose="020B0606020202030204" pitchFamily="34" charset="0"/>
              </a:endParaRPr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82A6F12-D938-4D71-BFDB-09590D2D0744}"/>
                </a:ext>
              </a:extLst>
            </xdr:cNvPr>
            <xdr:cNvSpPr txBox="1"/>
          </xdr:nvSpPr>
          <xdr:spPr>
            <a:xfrm>
              <a:off x="2123928" y="6482128"/>
              <a:ext cx="1566005" cy="2336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800" b="0" i="0">
                  <a:latin typeface="Cambria Math" panose="02040503050406030204" pitchFamily="18" charset="0"/>
                </a:rPr>
                <a:t>𝑉=ℎ/6 [(2𝑎+𝑎´)𝑥𝑏+(2𝑎´+𝑎)𝑥𝑏´]</a:t>
              </a:r>
              <a:endParaRPr lang="es-PE" sz="800">
                <a:latin typeface="Arial Narrow" panose="020B0606020202030204" pitchFamily="3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204107</xdr:colOff>
      <xdr:row>4</xdr:row>
      <xdr:rowOff>136073</xdr:rowOff>
    </xdr:from>
    <xdr:ext cx="3007180" cy="2020541"/>
    <xdr:pic>
      <xdr:nvPicPr>
        <xdr:cNvPr id="4" name="Imagen 3">
          <a:extLst>
            <a:ext uri="{FF2B5EF4-FFF2-40B4-BE49-F238E27FC236}">
              <a16:creationId xmlns:a16="http://schemas.microsoft.com/office/drawing/2014/main" id="{47A16C19-363E-4174-A46B-B789B6FB3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1427" y="867593"/>
          <a:ext cx="3007180" cy="2020541"/>
        </a:xfrm>
        <a:prstGeom prst="rect">
          <a:avLst/>
        </a:prstGeom>
      </xdr:spPr>
    </xdr:pic>
    <xdr:clientData/>
  </xdr:oneCellAnchor>
  <xdr:oneCellAnchor>
    <xdr:from>
      <xdr:col>2</xdr:col>
      <xdr:colOff>3483428</xdr:colOff>
      <xdr:row>4</xdr:row>
      <xdr:rowOff>40822</xdr:rowOff>
    </xdr:from>
    <xdr:ext cx="3737163" cy="2168143"/>
    <xdr:pic>
      <xdr:nvPicPr>
        <xdr:cNvPr id="5" name="Imagen 4">
          <a:extLst>
            <a:ext uri="{FF2B5EF4-FFF2-40B4-BE49-F238E27FC236}">
              <a16:creationId xmlns:a16="http://schemas.microsoft.com/office/drawing/2014/main" id="{75318AAC-502D-4840-A7A1-E6095D4C5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27068" y="772342"/>
          <a:ext cx="3737163" cy="2168143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406796</xdr:colOff>
      <xdr:row>222</xdr:row>
      <xdr:rowOff>119063</xdr:rowOff>
    </xdr:from>
    <xdr:to>
      <xdr:col>6</xdr:col>
      <xdr:colOff>406796</xdr:colOff>
      <xdr:row>226</xdr:row>
      <xdr:rowOff>129516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3FB4A97B-C92A-46C3-8F11-68829397E619}"/>
            </a:ext>
          </a:extLst>
        </xdr:cNvPr>
        <xdr:cNvCxnSpPr/>
      </xdr:nvCxnSpPr>
      <xdr:spPr>
        <a:xfrm flipH="1">
          <a:off x="5161676" y="40718423"/>
          <a:ext cx="0" cy="741973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3435</xdr:colOff>
      <xdr:row>27</xdr:row>
      <xdr:rowOff>0</xdr:rowOff>
    </xdr:from>
    <xdr:to>
      <xdr:col>8</xdr:col>
      <xdr:colOff>573</xdr:colOff>
      <xdr:row>27</xdr:row>
      <xdr:rowOff>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37093373-8D58-444B-BEE9-C0DD19EF8493}"/>
            </a:ext>
          </a:extLst>
        </xdr:cNvPr>
        <xdr:cNvGrpSpPr/>
      </xdr:nvGrpSpPr>
      <xdr:grpSpPr>
        <a:xfrm>
          <a:off x="2883347" y="5210735"/>
          <a:ext cx="691902" cy="0"/>
          <a:chOff x="1351185" y="3785308"/>
          <a:chExt cx="828000" cy="1470100"/>
        </a:xfrm>
      </xdr:grpSpPr>
      <xdr:cxnSp macro="">
        <xdr:nvCxnSpPr>
          <xdr:cNvPr id="4" name="Conector recto 3">
            <a:extLst>
              <a:ext uri="{FF2B5EF4-FFF2-40B4-BE49-F238E27FC236}">
                <a16:creationId xmlns:a16="http://schemas.microsoft.com/office/drawing/2014/main" id="{99AD6EE7-22A8-4A9A-8ACB-EF03AB6EAE88}"/>
              </a:ext>
            </a:extLst>
          </xdr:cNvPr>
          <xdr:cNvCxnSpPr/>
        </xdr:nvCxnSpPr>
        <xdr:spPr>
          <a:xfrm rot="5400000" flipH="1">
            <a:off x="1765185" y="4784276"/>
            <a:ext cx="0" cy="828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recto 4">
            <a:extLst>
              <a:ext uri="{FF2B5EF4-FFF2-40B4-BE49-F238E27FC236}">
                <a16:creationId xmlns:a16="http://schemas.microsoft.com/office/drawing/2014/main" id="{3CCDA673-7086-4AD2-A5B4-9D56B30D4F51}"/>
              </a:ext>
            </a:extLst>
          </xdr:cNvPr>
          <xdr:cNvCxnSpPr/>
        </xdr:nvCxnSpPr>
        <xdr:spPr>
          <a:xfrm flipH="1">
            <a:off x="1367888" y="3785308"/>
            <a:ext cx="4037" cy="14701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318931</xdr:colOff>
      <xdr:row>13</xdr:row>
      <xdr:rowOff>0</xdr:rowOff>
    </xdr:from>
    <xdr:to>
      <xdr:col>7</xdr:col>
      <xdr:colOff>319599</xdr:colOff>
      <xdr:row>15</xdr:row>
      <xdr:rowOff>158750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281A18A7-CB2F-434E-9FAB-A8E275837F31}"/>
            </a:ext>
          </a:extLst>
        </xdr:cNvPr>
        <xdr:cNvGrpSpPr/>
      </xdr:nvGrpSpPr>
      <xdr:grpSpPr>
        <a:xfrm>
          <a:off x="3198843" y="2521324"/>
          <a:ext cx="348050" cy="539750"/>
          <a:chOff x="2211065" y="2581603"/>
          <a:chExt cx="360000" cy="762000"/>
        </a:xfrm>
      </xdr:grpSpPr>
      <xdr:cxnSp macro="">
        <xdr:nvCxnSpPr>
          <xdr:cNvPr id="7" name="Conector recto 6">
            <a:extLst>
              <a:ext uri="{FF2B5EF4-FFF2-40B4-BE49-F238E27FC236}">
                <a16:creationId xmlns:a16="http://schemas.microsoft.com/office/drawing/2014/main" id="{B406E5F6-9749-46BF-8A84-883E85B1CFBA}"/>
              </a:ext>
            </a:extLst>
          </xdr:cNvPr>
          <xdr:cNvCxnSpPr/>
        </xdr:nvCxnSpPr>
        <xdr:spPr>
          <a:xfrm flipH="1">
            <a:off x="2217505" y="2581603"/>
            <a:ext cx="0" cy="762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Conector recto 7">
            <a:extLst>
              <a:ext uri="{FF2B5EF4-FFF2-40B4-BE49-F238E27FC236}">
                <a16:creationId xmlns:a16="http://schemas.microsoft.com/office/drawing/2014/main" id="{370E6E7C-F2A6-4D1F-8D87-CEE349EFD817}"/>
              </a:ext>
            </a:extLst>
          </xdr:cNvPr>
          <xdr:cNvCxnSpPr/>
        </xdr:nvCxnSpPr>
        <xdr:spPr>
          <a:xfrm rot="5400000" flipH="1">
            <a:off x="2391065" y="3153819"/>
            <a:ext cx="0" cy="360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9922</xdr:colOff>
      <xdr:row>38</xdr:row>
      <xdr:rowOff>138907</xdr:rowOff>
    </xdr:from>
    <xdr:to>
      <xdr:col>8</xdr:col>
      <xdr:colOff>30691</xdr:colOff>
      <xdr:row>38</xdr:row>
      <xdr:rowOff>138907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C2E7B8BD-75CC-496C-90A9-2E0F3E8ED774}"/>
            </a:ext>
          </a:extLst>
        </xdr:cNvPr>
        <xdr:cNvCxnSpPr/>
      </xdr:nvCxnSpPr>
      <xdr:spPr>
        <a:xfrm rot="5400000" flipH="1">
          <a:off x="5567667" y="6285482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15980</xdr:colOff>
      <xdr:row>18</xdr:row>
      <xdr:rowOff>12909</xdr:rowOff>
    </xdr:from>
    <xdr:to>
      <xdr:col>8</xdr:col>
      <xdr:colOff>28716</xdr:colOff>
      <xdr:row>20</xdr:row>
      <xdr:rowOff>120975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7B91F172-92CE-4818-ACA3-8AE6AE814E98}"/>
            </a:ext>
          </a:extLst>
        </xdr:cNvPr>
        <xdr:cNvGrpSpPr/>
      </xdr:nvGrpSpPr>
      <xdr:grpSpPr>
        <a:xfrm>
          <a:off x="2895892" y="3509144"/>
          <a:ext cx="707500" cy="489066"/>
          <a:chOff x="1770676" y="3952340"/>
          <a:chExt cx="801623" cy="116213"/>
        </a:xfrm>
      </xdr:grpSpPr>
      <xdr:cxnSp macro="">
        <xdr:nvCxnSpPr>
          <xdr:cNvPr id="11" name="Conector recto 10">
            <a:extLst>
              <a:ext uri="{FF2B5EF4-FFF2-40B4-BE49-F238E27FC236}">
                <a16:creationId xmlns:a16="http://schemas.microsoft.com/office/drawing/2014/main" id="{15E3DB62-D9CF-4929-8294-BA79F32B894A}"/>
              </a:ext>
            </a:extLst>
          </xdr:cNvPr>
          <xdr:cNvCxnSpPr/>
        </xdr:nvCxnSpPr>
        <xdr:spPr>
          <a:xfrm flipH="1">
            <a:off x="1770676" y="4065467"/>
            <a:ext cx="801623" cy="244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Conector recto 11">
            <a:extLst>
              <a:ext uri="{FF2B5EF4-FFF2-40B4-BE49-F238E27FC236}">
                <a16:creationId xmlns:a16="http://schemas.microsoft.com/office/drawing/2014/main" id="{ED62BDB6-0CD0-42C6-B3C6-0DFAA6F35CEB}"/>
              </a:ext>
            </a:extLst>
          </xdr:cNvPr>
          <xdr:cNvCxnSpPr/>
        </xdr:nvCxnSpPr>
        <xdr:spPr>
          <a:xfrm flipV="1">
            <a:off x="2558401" y="3952340"/>
            <a:ext cx="10256" cy="116213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9922</xdr:colOff>
      <xdr:row>23</xdr:row>
      <xdr:rowOff>138907</xdr:rowOff>
    </xdr:from>
    <xdr:to>
      <xdr:col>8</xdr:col>
      <xdr:colOff>30691</xdr:colOff>
      <xdr:row>23</xdr:row>
      <xdr:rowOff>138907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D0917407-62A6-4064-9482-676FDBBCC333}"/>
            </a:ext>
          </a:extLst>
        </xdr:cNvPr>
        <xdr:cNvCxnSpPr/>
      </xdr:nvCxnSpPr>
      <xdr:spPr>
        <a:xfrm rot="5400000" flipH="1">
          <a:off x="5567667" y="3542282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164087</xdr:colOff>
      <xdr:row>132</xdr:row>
      <xdr:rowOff>170732</xdr:rowOff>
    </xdr:from>
    <xdr:to>
      <xdr:col>7</xdr:col>
      <xdr:colOff>170731</xdr:colOff>
      <xdr:row>136</xdr:row>
      <xdr:rowOff>28015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CF60C1B6-118A-4ADC-9529-51DCC6EB7D8C}"/>
            </a:ext>
          </a:extLst>
        </xdr:cNvPr>
        <xdr:cNvCxnSpPr/>
      </xdr:nvCxnSpPr>
      <xdr:spPr>
        <a:xfrm flipV="1">
          <a:off x="5711447" y="24310892"/>
          <a:ext cx="6644" cy="588803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487</xdr:colOff>
      <xdr:row>27</xdr:row>
      <xdr:rowOff>0</xdr:rowOff>
    </xdr:from>
    <xdr:to>
      <xdr:col>7</xdr:col>
      <xdr:colOff>319599</xdr:colOff>
      <xdr:row>27</xdr:row>
      <xdr:rowOff>0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F53A6DB9-1462-453D-8D59-92186D560656}"/>
            </a:ext>
          </a:extLst>
        </xdr:cNvPr>
        <xdr:cNvGrpSpPr/>
      </xdr:nvGrpSpPr>
      <xdr:grpSpPr>
        <a:xfrm>
          <a:off x="3227781" y="5210735"/>
          <a:ext cx="319112" cy="0"/>
          <a:chOff x="2211065" y="2581603"/>
          <a:chExt cx="360000" cy="762000"/>
        </a:xfrm>
      </xdr:grpSpPr>
      <xdr:cxnSp macro="">
        <xdr:nvCxnSpPr>
          <xdr:cNvPr id="16" name="Conector recto 15">
            <a:extLst>
              <a:ext uri="{FF2B5EF4-FFF2-40B4-BE49-F238E27FC236}">
                <a16:creationId xmlns:a16="http://schemas.microsoft.com/office/drawing/2014/main" id="{E157F09A-EAF3-4F70-86F1-A817904B48A6}"/>
              </a:ext>
            </a:extLst>
          </xdr:cNvPr>
          <xdr:cNvCxnSpPr/>
        </xdr:nvCxnSpPr>
        <xdr:spPr>
          <a:xfrm flipH="1">
            <a:off x="2217505" y="2581603"/>
            <a:ext cx="0" cy="762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Conector recto 16">
            <a:extLst>
              <a:ext uri="{FF2B5EF4-FFF2-40B4-BE49-F238E27FC236}">
                <a16:creationId xmlns:a16="http://schemas.microsoft.com/office/drawing/2014/main" id="{DD055BA2-E462-4E6B-A819-C2D49595919A}"/>
              </a:ext>
            </a:extLst>
          </xdr:cNvPr>
          <xdr:cNvCxnSpPr/>
        </xdr:nvCxnSpPr>
        <xdr:spPr>
          <a:xfrm rot="5400000" flipH="1">
            <a:off x="2391065" y="3153819"/>
            <a:ext cx="0" cy="360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9922</xdr:colOff>
      <xdr:row>58</xdr:row>
      <xdr:rowOff>138907</xdr:rowOff>
    </xdr:from>
    <xdr:to>
      <xdr:col>8</xdr:col>
      <xdr:colOff>30691</xdr:colOff>
      <xdr:row>58</xdr:row>
      <xdr:rowOff>138907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99A9D6F9-28C2-4C7E-A2CF-0240C76D1F9B}"/>
            </a:ext>
          </a:extLst>
        </xdr:cNvPr>
        <xdr:cNvCxnSpPr/>
      </xdr:nvCxnSpPr>
      <xdr:spPr>
        <a:xfrm rot="5400000" flipH="1">
          <a:off x="5567667" y="9943082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52344</xdr:colOff>
      <xdr:row>50</xdr:row>
      <xdr:rowOff>1439</xdr:rowOff>
    </xdr:from>
    <xdr:to>
      <xdr:col>7</xdr:col>
      <xdr:colOff>413844</xdr:colOff>
      <xdr:row>50</xdr:row>
      <xdr:rowOff>1439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9DA39B2B-8813-4F27-AC36-02726A69330A}"/>
            </a:ext>
          </a:extLst>
        </xdr:cNvPr>
        <xdr:cNvCxnSpPr/>
      </xdr:nvCxnSpPr>
      <xdr:spPr>
        <a:xfrm flipH="1" flipV="1">
          <a:off x="4807224" y="9145439"/>
          <a:ext cx="1153980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406798</xdr:colOff>
      <xdr:row>54</xdr:row>
      <xdr:rowOff>109141</xdr:rowOff>
    </xdr:from>
    <xdr:to>
      <xdr:col>7</xdr:col>
      <xdr:colOff>427567</xdr:colOff>
      <xdr:row>54</xdr:row>
      <xdr:rowOff>109141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2EDC9128-93F4-47A3-92C8-9C947FA3286B}"/>
            </a:ext>
          </a:extLst>
        </xdr:cNvPr>
        <xdr:cNvCxnSpPr/>
      </xdr:nvCxnSpPr>
      <xdr:spPr>
        <a:xfrm rot="5400000" flipH="1">
          <a:off x="5172063" y="9181796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319606</xdr:colOff>
      <xdr:row>27</xdr:row>
      <xdr:rowOff>0</xdr:rowOff>
    </xdr:from>
    <xdr:to>
      <xdr:col>8</xdr:col>
      <xdr:colOff>19048</xdr:colOff>
      <xdr:row>27</xdr:row>
      <xdr:rowOff>0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id="{D1E53A1B-E2BF-4111-9DB1-5C83700E5A83}"/>
            </a:ext>
          </a:extLst>
        </xdr:cNvPr>
        <xdr:cNvGrpSpPr/>
      </xdr:nvGrpSpPr>
      <xdr:grpSpPr>
        <a:xfrm>
          <a:off x="3199518" y="5210735"/>
          <a:ext cx="394206" cy="0"/>
          <a:chOff x="2211066" y="2581603"/>
          <a:chExt cx="466547" cy="762000"/>
        </a:xfrm>
      </xdr:grpSpPr>
      <xdr:cxnSp macro="">
        <xdr:nvCxnSpPr>
          <xdr:cNvPr id="22" name="Conector recto 21">
            <a:extLst>
              <a:ext uri="{FF2B5EF4-FFF2-40B4-BE49-F238E27FC236}">
                <a16:creationId xmlns:a16="http://schemas.microsoft.com/office/drawing/2014/main" id="{AC973477-2058-4C78-9141-6274C1BC3AD8}"/>
              </a:ext>
            </a:extLst>
          </xdr:cNvPr>
          <xdr:cNvCxnSpPr/>
        </xdr:nvCxnSpPr>
        <xdr:spPr>
          <a:xfrm flipH="1">
            <a:off x="2217505" y="2581603"/>
            <a:ext cx="0" cy="762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Conector recto 22">
            <a:extLst>
              <a:ext uri="{FF2B5EF4-FFF2-40B4-BE49-F238E27FC236}">
                <a16:creationId xmlns:a16="http://schemas.microsoft.com/office/drawing/2014/main" id="{7B73A651-70AC-4351-ADC5-BB52D160B5FD}"/>
              </a:ext>
            </a:extLst>
          </xdr:cNvPr>
          <xdr:cNvCxnSpPr/>
        </xdr:nvCxnSpPr>
        <xdr:spPr>
          <a:xfrm flipH="1" flipV="1">
            <a:off x="2211066" y="2588215"/>
            <a:ext cx="466547" cy="1213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111127</xdr:colOff>
      <xdr:row>122</xdr:row>
      <xdr:rowOff>152400</xdr:rowOff>
    </xdr:from>
    <xdr:to>
      <xdr:col>7</xdr:col>
      <xdr:colOff>114300</xdr:colOff>
      <xdr:row>125</xdr:row>
      <xdr:rowOff>109935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7DB40B74-D4E5-45E8-9C51-F1F1A88C00CB}"/>
            </a:ext>
          </a:extLst>
        </xdr:cNvPr>
        <xdr:cNvCxnSpPr/>
      </xdr:nvCxnSpPr>
      <xdr:spPr>
        <a:xfrm flipH="1">
          <a:off x="5658487" y="22463760"/>
          <a:ext cx="3173" cy="506175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111465</xdr:colOff>
      <xdr:row>92</xdr:row>
      <xdr:rowOff>133350</xdr:rowOff>
    </xdr:from>
    <xdr:to>
      <xdr:col>6</xdr:col>
      <xdr:colOff>114300</xdr:colOff>
      <xdr:row>95</xdr:row>
      <xdr:rowOff>106543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DDC5E2AA-2AD9-4EBE-B0B1-D65439ACF9C0}"/>
            </a:ext>
          </a:extLst>
        </xdr:cNvPr>
        <xdr:cNvCxnSpPr/>
      </xdr:nvCxnSpPr>
      <xdr:spPr>
        <a:xfrm flipH="1">
          <a:off x="4866345" y="16958310"/>
          <a:ext cx="2835" cy="521833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276225</xdr:colOff>
      <xdr:row>98</xdr:row>
      <xdr:rowOff>9525</xdr:rowOff>
    </xdr:from>
    <xdr:to>
      <xdr:col>7</xdr:col>
      <xdr:colOff>209550</xdr:colOff>
      <xdr:row>100</xdr:row>
      <xdr:rowOff>142875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A6FDA50A-248E-431B-813E-1F59A8140677}"/>
            </a:ext>
          </a:extLst>
        </xdr:cNvPr>
        <xdr:cNvCxnSpPr/>
      </xdr:nvCxnSpPr>
      <xdr:spPr>
        <a:xfrm flipH="1">
          <a:off x="5031105" y="17931765"/>
          <a:ext cx="725805" cy="49911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26955</xdr:colOff>
      <xdr:row>27</xdr:row>
      <xdr:rowOff>0</xdr:rowOff>
    </xdr:from>
    <xdr:to>
      <xdr:col>7</xdr:col>
      <xdr:colOff>269524</xdr:colOff>
      <xdr:row>27</xdr:row>
      <xdr:rowOff>0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4B2D680B-89DB-4572-81F3-27A91530C3E8}"/>
            </a:ext>
          </a:extLst>
        </xdr:cNvPr>
        <xdr:cNvGrpSpPr/>
      </xdr:nvGrpSpPr>
      <xdr:grpSpPr>
        <a:xfrm>
          <a:off x="2906867" y="5210735"/>
          <a:ext cx="589951" cy="0"/>
          <a:chOff x="1725164" y="2832651"/>
          <a:chExt cx="681443" cy="576696"/>
        </a:xfrm>
      </xdr:grpSpPr>
      <xdr:grpSp>
        <xdr:nvGrpSpPr>
          <xdr:cNvPr id="28" name="Grupo 27">
            <a:extLst>
              <a:ext uri="{FF2B5EF4-FFF2-40B4-BE49-F238E27FC236}">
                <a16:creationId xmlns:a16="http://schemas.microsoft.com/office/drawing/2014/main" id="{93AB4DBA-70EC-4EE4-AC43-9B0A538FAC93}"/>
              </a:ext>
            </a:extLst>
          </xdr:cNvPr>
          <xdr:cNvGrpSpPr/>
        </xdr:nvGrpSpPr>
        <xdr:grpSpPr>
          <a:xfrm>
            <a:off x="1725164" y="2832651"/>
            <a:ext cx="405889" cy="576696"/>
            <a:chOff x="1814321" y="2581603"/>
            <a:chExt cx="403184" cy="778328"/>
          </a:xfrm>
        </xdr:grpSpPr>
        <xdr:cxnSp macro="">
          <xdr:nvCxnSpPr>
            <xdr:cNvPr id="30" name="Conector recto 29">
              <a:extLst>
                <a:ext uri="{FF2B5EF4-FFF2-40B4-BE49-F238E27FC236}">
                  <a16:creationId xmlns:a16="http://schemas.microsoft.com/office/drawing/2014/main" id="{ED15A302-F7B0-448C-B9E2-E20235DEF4D3}"/>
                </a:ext>
              </a:extLst>
            </xdr:cNvPr>
            <xdr:cNvCxnSpPr/>
          </xdr:nvCxnSpPr>
          <xdr:spPr>
            <a:xfrm flipH="1">
              <a:off x="2028091" y="2581603"/>
              <a:ext cx="189414" cy="778326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" name="Conector recto 30">
              <a:extLst>
                <a:ext uri="{FF2B5EF4-FFF2-40B4-BE49-F238E27FC236}">
                  <a16:creationId xmlns:a16="http://schemas.microsoft.com/office/drawing/2014/main" id="{33E464B1-3231-4C3D-9AED-A6E2C91D0360}"/>
                </a:ext>
              </a:extLst>
            </xdr:cNvPr>
            <xdr:cNvCxnSpPr/>
          </xdr:nvCxnSpPr>
          <xdr:spPr>
            <a:xfrm flipH="1">
              <a:off x="1814321" y="3358309"/>
              <a:ext cx="213405" cy="1622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9" name="Conector recto 28">
            <a:extLst>
              <a:ext uri="{FF2B5EF4-FFF2-40B4-BE49-F238E27FC236}">
                <a16:creationId xmlns:a16="http://schemas.microsoft.com/office/drawing/2014/main" id="{EB5CC7EE-F69E-4849-A6AC-927F0B99D249}"/>
              </a:ext>
            </a:extLst>
          </xdr:cNvPr>
          <xdr:cNvCxnSpPr/>
        </xdr:nvCxnSpPr>
        <xdr:spPr>
          <a:xfrm>
            <a:off x="2133281" y="2838916"/>
            <a:ext cx="273326" cy="201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9922</xdr:colOff>
      <xdr:row>78</xdr:row>
      <xdr:rowOff>138907</xdr:rowOff>
    </xdr:from>
    <xdr:to>
      <xdr:col>8</xdr:col>
      <xdr:colOff>30691</xdr:colOff>
      <xdr:row>78</xdr:row>
      <xdr:rowOff>138907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612CBE86-A789-470E-9571-572E81F32E22}"/>
            </a:ext>
          </a:extLst>
        </xdr:cNvPr>
        <xdr:cNvCxnSpPr/>
      </xdr:nvCxnSpPr>
      <xdr:spPr>
        <a:xfrm rot="5400000" flipH="1">
          <a:off x="5567667" y="13600682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206675</xdr:colOff>
      <xdr:row>68</xdr:row>
      <xdr:rowOff>44930</xdr:rowOff>
    </xdr:from>
    <xdr:to>
      <xdr:col>7</xdr:col>
      <xdr:colOff>206676</xdr:colOff>
      <xdr:row>71</xdr:row>
      <xdr:rowOff>89858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B10250E9-D177-4247-8BFB-6BF411E6F7D5}"/>
            </a:ext>
          </a:extLst>
        </xdr:cNvPr>
        <xdr:cNvCxnSpPr/>
      </xdr:nvCxnSpPr>
      <xdr:spPr>
        <a:xfrm flipH="1" flipV="1">
          <a:off x="5754035" y="12480770"/>
          <a:ext cx="1" cy="593568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251604</xdr:colOff>
      <xdr:row>73</xdr:row>
      <xdr:rowOff>0</xdr:rowOff>
    </xdr:from>
    <xdr:to>
      <xdr:col>7</xdr:col>
      <xdr:colOff>251605</xdr:colOff>
      <xdr:row>76</xdr:row>
      <xdr:rowOff>0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21333F22-F94E-4F31-BECD-C0920CE9F799}"/>
            </a:ext>
          </a:extLst>
        </xdr:cNvPr>
        <xdr:cNvCxnSpPr/>
      </xdr:nvCxnSpPr>
      <xdr:spPr>
        <a:xfrm>
          <a:off x="5798964" y="13350240"/>
          <a:ext cx="1" cy="54864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3353</xdr:colOff>
      <xdr:row>27</xdr:row>
      <xdr:rowOff>0</xdr:rowOff>
    </xdr:from>
    <xdr:to>
      <xdr:col>8</xdr:col>
      <xdr:colOff>1261</xdr:colOff>
      <xdr:row>27</xdr:row>
      <xdr:rowOff>0</xdr:rowOff>
    </xdr:to>
    <xdr:grpSp>
      <xdr:nvGrpSpPr>
        <xdr:cNvPr id="35" name="Grupo 34">
          <a:extLst>
            <a:ext uri="{FF2B5EF4-FFF2-40B4-BE49-F238E27FC236}">
              <a16:creationId xmlns:a16="http://schemas.microsoft.com/office/drawing/2014/main" id="{474A65D9-370E-4877-88E5-8A8ED066BB4F}"/>
            </a:ext>
          </a:extLst>
        </xdr:cNvPr>
        <xdr:cNvGrpSpPr/>
      </xdr:nvGrpSpPr>
      <xdr:grpSpPr>
        <a:xfrm>
          <a:off x="2883265" y="5210735"/>
          <a:ext cx="692672" cy="0"/>
          <a:chOff x="1704715" y="19077235"/>
          <a:chExt cx="901010" cy="192178"/>
        </a:xfrm>
      </xdr:grpSpPr>
      <xdr:cxnSp macro="">
        <xdr:nvCxnSpPr>
          <xdr:cNvPr id="36" name="Conector recto 35">
            <a:extLst>
              <a:ext uri="{FF2B5EF4-FFF2-40B4-BE49-F238E27FC236}">
                <a16:creationId xmlns:a16="http://schemas.microsoft.com/office/drawing/2014/main" id="{3D84C7D7-1797-45D3-BE78-A689FDABC1E8}"/>
              </a:ext>
            </a:extLst>
          </xdr:cNvPr>
          <xdr:cNvCxnSpPr/>
        </xdr:nvCxnSpPr>
        <xdr:spPr>
          <a:xfrm rot="5400000" flipH="1">
            <a:off x="2155220" y="18626730"/>
            <a:ext cx="0" cy="90101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Conector recto 36">
            <a:extLst>
              <a:ext uri="{FF2B5EF4-FFF2-40B4-BE49-F238E27FC236}">
                <a16:creationId xmlns:a16="http://schemas.microsoft.com/office/drawing/2014/main" id="{5186DB64-15DF-4E67-8B13-85D3FC69D394}"/>
              </a:ext>
            </a:extLst>
          </xdr:cNvPr>
          <xdr:cNvCxnSpPr/>
        </xdr:nvCxnSpPr>
        <xdr:spPr>
          <a:xfrm>
            <a:off x="1714499" y="19089413"/>
            <a:ext cx="0" cy="180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9922</xdr:colOff>
      <xdr:row>143</xdr:row>
      <xdr:rowOff>138907</xdr:rowOff>
    </xdr:from>
    <xdr:to>
      <xdr:col>8</xdr:col>
      <xdr:colOff>30691</xdr:colOff>
      <xdr:row>143</xdr:row>
      <xdr:rowOff>138907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47240A3D-D110-4D71-9082-DE2CC6CF9CFB}"/>
            </a:ext>
          </a:extLst>
        </xdr:cNvPr>
        <xdr:cNvCxnSpPr/>
      </xdr:nvCxnSpPr>
      <xdr:spPr>
        <a:xfrm rot="5400000" flipH="1">
          <a:off x="5567667" y="25487882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71886</xdr:colOff>
      <xdr:row>138</xdr:row>
      <xdr:rowOff>66452</xdr:rowOff>
    </xdr:from>
    <xdr:to>
      <xdr:col>7</xdr:col>
      <xdr:colOff>74382</xdr:colOff>
      <xdr:row>141</xdr:row>
      <xdr:rowOff>71887</xdr:rowOff>
    </xdr:to>
    <xdr:cxnSp macro="">
      <xdr:nvCxnSpPr>
        <xdr:cNvPr id="39" name="Conector recto 38">
          <a:extLst>
            <a:ext uri="{FF2B5EF4-FFF2-40B4-BE49-F238E27FC236}">
              <a16:creationId xmlns:a16="http://schemas.microsoft.com/office/drawing/2014/main" id="{9F9D0966-7404-4491-A72A-898063E784B1}"/>
            </a:ext>
          </a:extLst>
        </xdr:cNvPr>
        <xdr:cNvCxnSpPr/>
      </xdr:nvCxnSpPr>
      <xdr:spPr>
        <a:xfrm flipH="1">
          <a:off x="5619246" y="25303892"/>
          <a:ext cx="2496" cy="554075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58473</xdr:colOff>
      <xdr:row>27</xdr:row>
      <xdr:rowOff>0</xdr:rowOff>
    </xdr:from>
    <xdr:to>
      <xdr:col>8</xdr:col>
      <xdr:colOff>41671</xdr:colOff>
      <xdr:row>27</xdr:row>
      <xdr:rowOff>0</xdr:rowOff>
    </xdr:to>
    <xdr:grpSp>
      <xdr:nvGrpSpPr>
        <xdr:cNvPr id="40" name="Grupo 39">
          <a:extLst>
            <a:ext uri="{FF2B5EF4-FFF2-40B4-BE49-F238E27FC236}">
              <a16:creationId xmlns:a16="http://schemas.microsoft.com/office/drawing/2014/main" id="{C6FD2CAA-7E4D-43BB-B49E-59D275272C9C}"/>
            </a:ext>
          </a:extLst>
        </xdr:cNvPr>
        <xdr:cNvGrpSpPr/>
      </xdr:nvGrpSpPr>
      <xdr:grpSpPr>
        <a:xfrm>
          <a:off x="2938385" y="5210735"/>
          <a:ext cx="677962" cy="0"/>
          <a:chOff x="1499129" y="7971701"/>
          <a:chExt cx="864261" cy="350371"/>
        </a:xfrm>
      </xdr:grpSpPr>
      <xdr:grpSp>
        <xdr:nvGrpSpPr>
          <xdr:cNvPr id="41" name="Grupo 40">
            <a:extLst>
              <a:ext uri="{FF2B5EF4-FFF2-40B4-BE49-F238E27FC236}">
                <a16:creationId xmlns:a16="http://schemas.microsoft.com/office/drawing/2014/main" id="{1ACE3464-1CD8-4361-9D4E-7A111489A291}"/>
              </a:ext>
            </a:extLst>
          </xdr:cNvPr>
          <xdr:cNvGrpSpPr/>
        </xdr:nvGrpSpPr>
        <xdr:grpSpPr>
          <a:xfrm>
            <a:off x="1499129" y="8184156"/>
            <a:ext cx="864261" cy="137916"/>
            <a:chOff x="2211065" y="3333819"/>
            <a:chExt cx="360000" cy="184041"/>
          </a:xfrm>
        </xdr:grpSpPr>
        <xdr:cxnSp macro="">
          <xdr:nvCxnSpPr>
            <xdr:cNvPr id="43" name="Conector recto 42">
              <a:extLst>
                <a:ext uri="{FF2B5EF4-FFF2-40B4-BE49-F238E27FC236}">
                  <a16:creationId xmlns:a16="http://schemas.microsoft.com/office/drawing/2014/main" id="{BAF9075B-BB38-401F-9B20-7CB4AF4568EA}"/>
                </a:ext>
              </a:extLst>
            </xdr:cNvPr>
            <xdr:cNvCxnSpPr/>
          </xdr:nvCxnSpPr>
          <xdr:spPr>
            <a:xfrm>
              <a:off x="2217505" y="3344500"/>
              <a:ext cx="3336" cy="173360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Conector recto 43">
              <a:extLst>
                <a:ext uri="{FF2B5EF4-FFF2-40B4-BE49-F238E27FC236}">
                  <a16:creationId xmlns:a16="http://schemas.microsoft.com/office/drawing/2014/main" id="{C3DEC22E-3BE8-458F-BB93-DA2E914D3FD5}"/>
                </a:ext>
              </a:extLst>
            </xdr:cNvPr>
            <xdr:cNvCxnSpPr/>
          </xdr:nvCxnSpPr>
          <xdr:spPr>
            <a:xfrm rot="5400000" flipH="1">
              <a:off x="2391065" y="3153819"/>
              <a:ext cx="0" cy="360000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42" name="Conector recto 41">
            <a:extLst>
              <a:ext uri="{FF2B5EF4-FFF2-40B4-BE49-F238E27FC236}">
                <a16:creationId xmlns:a16="http://schemas.microsoft.com/office/drawing/2014/main" id="{71DF5BA6-B1E5-4767-88BF-F704B9D0811C}"/>
              </a:ext>
            </a:extLst>
          </xdr:cNvPr>
          <xdr:cNvCxnSpPr/>
        </xdr:nvCxnSpPr>
        <xdr:spPr>
          <a:xfrm flipH="1">
            <a:off x="2356379" y="7971701"/>
            <a:ext cx="0" cy="216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3685</xdr:colOff>
      <xdr:row>27</xdr:row>
      <xdr:rowOff>0</xdr:rowOff>
    </xdr:from>
    <xdr:to>
      <xdr:col>7</xdr:col>
      <xdr:colOff>235562</xdr:colOff>
      <xdr:row>27</xdr:row>
      <xdr:rowOff>0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2E7BE120-0F9E-4482-803A-212B20F63329}"/>
            </a:ext>
          </a:extLst>
        </xdr:cNvPr>
        <xdr:cNvGrpSpPr/>
      </xdr:nvGrpSpPr>
      <xdr:grpSpPr>
        <a:xfrm rot="5400000">
          <a:off x="3346918" y="5094796"/>
          <a:ext cx="0" cy="231877"/>
          <a:chOff x="1703076" y="23175311"/>
          <a:chExt cx="901010" cy="256189"/>
        </a:xfrm>
      </xdr:grpSpPr>
      <xdr:cxnSp macro="">
        <xdr:nvCxnSpPr>
          <xdr:cNvPr id="46" name="Conector recto 45">
            <a:extLst>
              <a:ext uri="{FF2B5EF4-FFF2-40B4-BE49-F238E27FC236}">
                <a16:creationId xmlns:a16="http://schemas.microsoft.com/office/drawing/2014/main" id="{854BAFD4-72D2-4A11-B7A0-3024C0BBCE4A}"/>
              </a:ext>
            </a:extLst>
          </xdr:cNvPr>
          <xdr:cNvCxnSpPr/>
        </xdr:nvCxnSpPr>
        <xdr:spPr>
          <a:xfrm rot="5400000" flipH="1">
            <a:off x="2153581" y="22980995"/>
            <a:ext cx="0" cy="90101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Conector recto 46">
            <a:extLst>
              <a:ext uri="{FF2B5EF4-FFF2-40B4-BE49-F238E27FC236}">
                <a16:creationId xmlns:a16="http://schemas.microsoft.com/office/drawing/2014/main" id="{5DCFDC0A-164E-4B88-A27F-4D790417ECE0}"/>
              </a:ext>
            </a:extLst>
          </xdr:cNvPr>
          <xdr:cNvCxnSpPr/>
        </xdr:nvCxnSpPr>
        <xdr:spPr>
          <a:xfrm flipH="1">
            <a:off x="1707931" y="23175311"/>
            <a:ext cx="0" cy="252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65042</xdr:colOff>
      <xdr:row>27</xdr:row>
      <xdr:rowOff>0</xdr:rowOff>
    </xdr:from>
    <xdr:to>
      <xdr:col>8</xdr:col>
      <xdr:colOff>48240</xdr:colOff>
      <xdr:row>27</xdr:row>
      <xdr:rowOff>0</xdr:rowOff>
    </xdr:to>
    <xdr:grpSp>
      <xdr:nvGrpSpPr>
        <xdr:cNvPr id="48" name="Grupo 47">
          <a:extLst>
            <a:ext uri="{FF2B5EF4-FFF2-40B4-BE49-F238E27FC236}">
              <a16:creationId xmlns:a16="http://schemas.microsoft.com/office/drawing/2014/main" id="{512F43AA-5490-493F-992B-422984BEB072}"/>
            </a:ext>
          </a:extLst>
        </xdr:cNvPr>
        <xdr:cNvGrpSpPr/>
      </xdr:nvGrpSpPr>
      <xdr:grpSpPr>
        <a:xfrm>
          <a:off x="2944954" y="5210735"/>
          <a:ext cx="677962" cy="0"/>
          <a:chOff x="1499129" y="7971701"/>
          <a:chExt cx="864261" cy="216000"/>
        </a:xfrm>
      </xdr:grpSpPr>
      <xdr:grpSp>
        <xdr:nvGrpSpPr>
          <xdr:cNvPr id="49" name="Grupo 48">
            <a:extLst>
              <a:ext uri="{FF2B5EF4-FFF2-40B4-BE49-F238E27FC236}">
                <a16:creationId xmlns:a16="http://schemas.microsoft.com/office/drawing/2014/main" id="{46E44EAA-4F60-43BE-B1C6-BAD952154475}"/>
              </a:ext>
            </a:extLst>
          </xdr:cNvPr>
          <xdr:cNvGrpSpPr/>
        </xdr:nvGrpSpPr>
        <xdr:grpSpPr>
          <a:xfrm>
            <a:off x="1499129" y="7971701"/>
            <a:ext cx="864261" cy="216000"/>
            <a:chOff x="2211065" y="3050303"/>
            <a:chExt cx="360000" cy="288239"/>
          </a:xfrm>
        </xdr:grpSpPr>
        <xdr:cxnSp macro="">
          <xdr:nvCxnSpPr>
            <xdr:cNvPr id="51" name="Conector recto 50">
              <a:extLst>
                <a:ext uri="{FF2B5EF4-FFF2-40B4-BE49-F238E27FC236}">
                  <a16:creationId xmlns:a16="http://schemas.microsoft.com/office/drawing/2014/main" id="{F1F6D105-B255-49C4-8B30-E2008D8C7290}"/>
                </a:ext>
              </a:extLst>
            </xdr:cNvPr>
            <xdr:cNvCxnSpPr/>
          </xdr:nvCxnSpPr>
          <xdr:spPr>
            <a:xfrm flipH="1">
              <a:off x="2217505" y="3050303"/>
              <a:ext cx="0" cy="288239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2" name="Conector recto 51">
              <a:extLst>
                <a:ext uri="{FF2B5EF4-FFF2-40B4-BE49-F238E27FC236}">
                  <a16:creationId xmlns:a16="http://schemas.microsoft.com/office/drawing/2014/main" id="{0D82A435-9A6A-43A7-AF0A-775CFA696F18}"/>
                </a:ext>
              </a:extLst>
            </xdr:cNvPr>
            <xdr:cNvCxnSpPr/>
          </xdr:nvCxnSpPr>
          <xdr:spPr>
            <a:xfrm rot="5400000" flipH="1">
              <a:off x="2391065" y="3153819"/>
              <a:ext cx="0" cy="360000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50" name="Conector recto 49">
            <a:extLst>
              <a:ext uri="{FF2B5EF4-FFF2-40B4-BE49-F238E27FC236}">
                <a16:creationId xmlns:a16="http://schemas.microsoft.com/office/drawing/2014/main" id="{7BEAF385-9BFA-4496-9D53-60CF39F4CB3D}"/>
              </a:ext>
            </a:extLst>
          </xdr:cNvPr>
          <xdr:cNvCxnSpPr/>
        </xdr:nvCxnSpPr>
        <xdr:spPr>
          <a:xfrm flipH="1">
            <a:off x="2356379" y="7971701"/>
            <a:ext cx="0" cy="216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212864</xdr:colOff>
      <xdr:row>27</xdr:row>
      <xdr:rowOff>0</xdr:rowOff>
    </xdr:from>
    <xdr:to>
      <xdr:col>7</xdr:col>
      <xdr:colOff>174110</xdr:colOff>
      <xdr:row>27</xdr:row>
      <xdr:rowOff>0</xdr:rowOff>
    </xdr:to>
    <xdr:grpSp>
      <xdr:nvGrpSpPr>
        <xdr:cNvPr id="53" name="Grupo 52">
          <a:extLst>
            <a:ext uri="{FF2B5EF4-FFF2-40B4-BE49-F238E27FC236}">
              <a16:creationId xmlns:a16="http://schemas.microsoft.com/office/drawing/2014/main" id="{D035A27B-1D34-42AC-8012-B5209295A230}"/>
            </a:ext>
          </a:extLst>
        </xdr:cNvPr>
        <xdr:cNvGrpSpPr/>
      </xdr:nvGrpSpPr>
      <xdr:grpSpPr>
        <a:xfrm rot="16200000">
          <a:off x="3247090" y="5056421"/>
          <a:ext cx="0" cy="308628"/>
          <a:chOff x="2211064" y="3050303"/>
          <a:chExt cx="304285" cy="295827"/>
        </a:xfrm>
      </xdr:grpSpPr>
      <xdr:cxnSp macro="">
        <xdr:nvCxnSpPr>
          <xdr:cNvPr id="54" name="Conector recto 53">
            <a:extLst>
              <a:ext uri="{FF2B5EF4-FFF2-40B4-BE49-F238E27FC236}">
                <a16:creationId xmlns:a16="http://schemas.microsoft.com/office/drawing/2014/main" id="{E64F5A5D-28D3-4544-8DB9-0EA8C0AF0365}"/>
              </a:ext>
            </a:extLst>
          </xdr:cNvPr>
          <xdr:cNvCxnSpPr/>
        </xdr:nvCxnSpPr>
        <xdr:spPr>
          <a:xfrm flipH="1">
            <a:off x="2217505" y="3050303"/>
            <a:ext cx="0" cy="28823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Conector recto 54">
            <a:extLst>
              <a:ext uri="{FF2B5EF4-FFF2-40B4-BE49-F238E27FC236}">
                <a16:creationId xmlns:a16="http://schemas.microsoft.com/office/drawing/2014/main" id="{B66CAFDA-AE0D-4D26-AD1D-823B8EF917E0}"/>
              </a:ext>
            </a:extLst>
          </xdr:cNvPr>
          <xdr:cNvCxnSpPr/>
        </xdr:nvCxnSpPr>
        <xdr:spPr>
          <a:xfrm rot="5400000" flipH="1">
            <a:off x="2357052" y="3187832"/>
            <a:ext cx="12310" cy="304285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34178</xdr:colOff>
      <xdr:row>27</xdr:row>
      <xdr:rowOff>0</xdr:rowOff>
    </xdr:from>
    <xdr:to>
      <xdr:col>7</xdr:col>
      <xdr:colOff>52541</xdr:colOff>
      <xdr:row>27</xdr:row>
      <xdr:rowOff>0</xdr:rowOff>
    </xdr:to>
    <xdr:grpSp>
      <xdr:nvGrpSpPr>
        <xdr:cNvPr id="56" name="Grupo 55">
          <a:extLst>
            <a:ext uri="{FF2B5EF4-FFF2-40B4-BE49-F238E27FC236}">
              <a16:creationId xmlns:a16="http://schemas.microsoft.com/office/drawing/2014/main" id="{8E9E98C2-DEBE-44D9-84A2-4AC0F58FB2EA}"/>
            </a:ext>
          </a:extLst>
        </xdr:cNvPr>
        <xdr:cNvGrpSpPr/>
      </xdr:nvGrpSpPr>
      <xdr:grpSpPr>
        <a:xfrm>
          <a:off x="2914090" y="5210735"/>
          <a:ext cx="365745" cy="0"/>
          <a:chOff x="1351185" y="2633225"/>
          <a:chExt cx="828000" cy="2565051"/>
        </a:xfrm>
      </xdr:grpSpPr>
      <xdr:cxnSp macro="">
        <xdr:nvCxnSpPr>
          <xdr:cNvPr id="57" name="Conector recto 56">
            <a:extLst>
              <a:ext uri="{FF2B5EF4-FFF2-40B4-BE49-F238E27FC236}">
                <a16:creationId xmlns:a16="http://schemas.microsoft.com/office/drawing/2014/main" id="{7CBF7288-6B7F-4AEA-87C2-4333CEBA54DB}"/>
              </a:ext>
            </a:extLst>
          </xdr:cNvPr>
          <xdr:cNvCxnSpPr/>
        </xdr:nvCxnSpPr>
        <xdr:spPr>
          <a:xfrm rot="5400000" flipH="1">
            <a:off x="1765185" y="4784276"/>
            <a:ext cx="0" cy="828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Conector recto 57">
            <a:extLst>
              <a:ext uri="{FF2B5EF4-FFF2-40B4-BE49-F238E27FC236}">
                <a16:creationId xmlns:a16="http://schemas.microsoft.com/office/drawing/2014/main" id="{491FD374-891E-4C84-BF9E-146751F5D32B}"/>
              </a:ext>
            </a:extLst>
          </xdr:cNvPr>
          <xdr:cNvCxnSpPr/>
        </xdr:nvCxnSpPr>
        <xdr:spPr>
          <a:xfrm flipH="1">
            <a:off x="2150862" y="2633225"/>
            <a:ext cx="0" cy="254479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58473</xdr:colOff>
      <xdr:row>27</xdr:row>
      <xdr:rowOff>0</xdr:rowOff>
    </xdr:from>
    <xdr:to>
      <xdr:col>7</xdr:col>
      <xdr:colOff>1314</xdr:colOff>
      <xdr:row>27</xdr:row>
      <xdr:rowOff>0</xdr:rowOff>
    </xdr:to>
    <xdr:grpSp>
      <xdr:nvGrpSpPr>
        <xdr:cNvPr id="59" name="Grupo 58">
          <a:extLst>
            <a:ext uri="{FF2B5EF4-FFF2-40B4-BE49-F238E27FC236}">
              <a16:creationId xmlns:a16="http://schemas.microsoft.com/office/drawing/2014/main" id="{226F7597-7315-44B5-8873-0D2732444C77}"/>
            </a:ext>
          </a:extLst>
        </xdr:cNvPr>
        <xdr:cNvGrpSpPr/>
      </xdr:nvGrpSpPr>
      <xdr:grpSpPr>
        <a:xfrm>
          <a:off x="2938385" y="5210735"/>
          <a:ext cx="290223" cy="0"/>
          <a:chOff x="2211065" y="3050303"/>
          <a:chExt cx="360000" cy="288239"/>
        </a:xfrm>
      </xdr:grpSpPr>
      <xdr:cxnSp macro="">
        <xdr:nvCxnSpPr>
          <xdr:cNvPr id="60" name="Conector recto 59">
            <a:extLst>
              <a:ext uri="{FF2B5EF4-FFF2-40B4-BE49-F238E27FC236}">
                <a16:creationId xmlns:a16="http://schemas.microsoft.com/office/drawing/2014/main" id="{4988ED34-D04E-4A49-9763-21781878EFC2}"/>
              </a:ext>
            </a:extLst>
          </xdr:cNvPr>
          <xdr:cNvCxnSpPr/>
        </xdr:nvCxnSpPr>
        <xdr:spPr>
          <a:xfrm flipH="1">
            <a:off x="2217505" y="3050303"/>
            <a:ext cx="0" cy="28823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Conector recto 60">
            <a:extLst>
              <a:ext uri="{FF2B5EF4-FFF2-40B4-BE49-F238E27FC236}">
                <a16:creationId xmlns:a16="http://schemas.microsoft.com/office/drawing/2014/main" id="{ADFA6DC3-F83E-479E-92D1-35C75E5FD6A6}"/>
              </a:ext>
            </a:extLst>
          </xdr:cNvPr>
          <xdr:cNvCxnSpPr/>
        </xdr:nvCxnSpPr>
        <xdr:spPr>
          <a:xfrm rot="5400000" flipH="1">
            <a:off x="2391065" y="3153819"/>
            <a:ext cx="0" cy="360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193676</xdr:colOff>
      <xdr:row>27</xdr:row>
      <xdr:rowOff>0</xdr:rowOff>
    </xdr:from>
    <xdr:to>
      <xdr:col>7</xdr:col>
      <xdr:colOff>141979</xdr:colOff>
      <xdr:row>27</xdr:row>
      <xdr:rowOff>0</xdr:rowOff>
    </xdr:to>
    <xdr:grpSp>
      <xdr:nvGrpSpPr>
        <xdr:cNvPr id="62" name="Grupo 61">
          <a:extLst>
            <a:ext uri="{FF2B5EF4-FFF2-40B4-BE49-F238E27FC236}">
              <a16:creationId xmlns:a16="http://schemas.microsoft.com/office/drawing/2014/main" id="{816A8399-C5B2-4712-A9E0-700207C18D0D}"/>
            </a:ext>
          </a:extLst>
        </xdr:cNvPr>
        <xdr:cNvGrpSpPr/>
      </xdr:nvGrpSpPr>
      <xdr:grpSpPr>
        <a:xfrm rot="10800000">
          <a:off x="3073588" y="5210735"/>
          <a:ext cx="295685" cy="0"/>
          <a:chOff x="1351185" y="2364579"/>
          <a:chExt cx="828000" cy="2890831"/>
        </a:xfrm>
      </xdr:grpSpPr>
      <xdr:cxnSp macro="">
        <xdr:nvCxnSpPr>
          <xdr:cNvPr id="63" name="Conector recto 62">
            <a:extLst>
              <a:ext uri="{FF2B5EF4-FFF2-40B4-BE49-F238E27FC236}">
                <a16:creationId xmlns:a16="http://schemas.microsoft.com/office/drawing/2014/main" id="{E8F28A30-D26D-456D-AA27-B357CCE178D6}"/>
              </a:ext>
            </a:extLst>
          </xdr:cNvPr>
          <xdr:cNvCxnSpPr/>
        </xdr:nvCxnSpPr>
        <xdr:spPr>
          <a:xfrm rot="5400000" flipH="1">
            <a:off x="1765185" y="4784276"/>
            <a:ext cx="0" cy="828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Conector recto 63">
            <a:extLst>
              <a:ext uri="{FF2B5EF4-FFF2-40B4-BE49-F238E27FC236}">
                <a16:creationId xmlns:a16="http://schemas.microsoft.com/office/drawing/2014/main" id="{BB43109D-DCC7-4A73-BC05-961BD3DFDC72}"/>
              </a:ext>
            </a:extLst>
          </xdr:cNvPr>
          <xdr:cNvCxnSpPr/>
        </xdr:nvCxnSpPr>
        <xdr:spPr>
          <a:xfrm rot="5400000" flipV="1">
            <a:off x="-77966" y="3809556"/>
            <a:ext cx="2890831" cy="878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58473</xdr:colOff>
      <xdr:row>27</xdr:row>
      <xdr:rowOff>0</xdr:rowOff>
    </xdr:from>
    <xdr:to>
      <xdr:col>7</xdr:col>
      <xdr:colOff>1314</xdr:colOff>
      <xdr:row>27</xdr:row>
      <xdr:rowOff>0</xdr:rowOff>
    </xdr:to>
    <xdr:grpSp>
      <xdr:nvGrpSpPr>
        <xdr:cNvPr id="65" name="Grupo 64">
          <a:extLst>
            <a:ext uri="{FF2B5EF4-FFF2-40B4-BE49-F238E27FC236}">
              <a16:creationId xmlns:a16="http://schemas.microsoft.com/office/drawing/2014/main" id="{3176849F-3DBD-4455-9F7F-5DD391E222AE}"/>
            </a:ext>
          </a:extLst>
        </xdr:cNvPr>
        <xdr:cNvGrpSpPr/>
      </xdr:nvGrpSpPr>
      <xdr:grpSpPr>
        <a:xfrm>
          <a:off x="2938385" y="5210735"/>
          <a:ext cx="290223" cy="0"/>
          <a:chOff x="2211065" y="3050303"/>
          <a:chExt cx="360000" cy="288239"/>
        </a:xfrm>
      </xdr:grpSpPr>
      <xdr:cxnSp macro="">
        <xdr:nvCxnSpPr>
          <xdr:cNvPr id="66" name="Conector recto 65">
            <a:extLst>
              <a:ext uri="{FF2B5EF4-FFF2-40B4-BE49-F238E27FC236}">
                <a16:creationId xmlns:a16="http://schemas.microsoft.com/office/drawing/2014/main" id="{504E523F-2C26-48E2-ABA3-74BF17528EE4}"/>
              </a:ext>
            </a:extLst>
          </xdr:cNvPr>
          <xdr:cNvCxnSpPr/>
        </xdr:nvCxnSpPr>
        <xdr:spPr>
          <a:xfrm flipH="1">
            <a:off x="2217505" y="3050303"/>
            <a:ext cx="0" cy="28823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Conector recto 66">
            <a:extLst>
              <a:ext uri="{FF2B5EF4-FFF2-40B4-BE49-F238E27FC236}">
                <a16:creationId xmlns:a16="http://schemas.microsoft.com/office/drawing/2014/main" id="{42A67D43-90FC-40AA-A365-067FDC5212D0}"/>
              </a:ext>
            </a:extLst>
          </xdr:cNvPr>
          <xdr:cNvCxnSpPr/>
        </xdr:nvCxnSpPr>
        <xdr:spPr>
          <a:xfrm rot="5400000" flipH="1">
            <a:off x="2391065" y="3153819"/>
            <a:ext cx="0" cy="360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319423</xdr:colOff>
      <xdr:row>27</xdr:row>
      <xdr:rowOff>0</xdr:rowOff>
    </xdr:from>
    <xdr:to>
      <xdr:col>8</xdr:col>
      <xdr:colOff>1465</xdr:colOff>
      <xdr:row>27</xdr:row>
      <xdr:rowOff>0</xdr:rowOff>
    </xdr:to>
    <xdr:grpSp>
      <xdr:nvGrpSpPr>
        <xdr:cNvPr id="68" name="Grupo 67">
          <a:extLst>
            <a:ext uri="{FF2B5EF4-FFF2-40B4-BE49-F238E27FC236}">
              <a16:creationId xmlns:a16="http://schemas.microsoft.com/office/drawing/2014/main" id="{BABFBF0B-60C7-46A2-BA9F-6D83F210765D}"/>
            </a:ext>
          </a:extLst>
        </xdr:cNvPr>
        <xdr:cNvGrpSpPr/>
      </xdr:nvGrpSpPr>
      <xdr:grpSpPr>
        <a:xfrm>
          <a:off x="2851952" y="5210735"/>
          <a:ext cx="724189" cy="0"/>
          <a:chOff x="1623868" y="32663115"/>
          <a:chExt cx="459827" cy="298487"/>
        </a:xfrm>
      </xdr:grpSpPr>
      <xdr:grpSp>
        <xdr:nvGrpSpPr>
          <xdr:cNvPr id="69" name="Grupo 68">
            <a:extLst>
              <a:ext uri="{FF2B5EF4-FFF2-40B4-BE49-F238E27FC236}">
                <a16:creationId xmlns:a16="http://schemas.microsoft.com/office/drawing/2014/main" id="{7301391D-40BE-4C8B-BBC9-C5D23B236414}"/>
              </a:ext>
            </a:extLst>
          </xdr:cNvPr>
          <xdr:cNvGrpSpPr/>
        </xdr:nvGrpSpPr>
        <xdr:grpSpPr>
          <a:xfrm>
            <a:off x="1623868" y="32663115"/>
            <a:ext cx="458484" cy="292031"/>
            <a:chOff x="1351185" y="2614000"/>
            <a:chExt cx="828000" cy="2584276"/>
          </a:xfrm>
        </xdr:grpSpPr>
        <xdr:cxnSp macro="">
          <xdr:nvCxnSpPr>
            <xdr:cNvPr id="71" name="Conector recto 70">
              <a:extLst>
                <a:ext uri="{FF2B5EF4-FFF2-40B4-BE49-F238E27FC236}">
                  <a16:creationId xmlns:a16="http://schemas.microsoft.com/office/drawing/2014/main" id="{CDA11072-8AD9-4258-8557-70AFECFEDF28}"/>
                </a:ext>
              </a:extLst>
            </xdr:cNvPr>
            <xdr:cNvCxnSpPr/>
          </xdr:nvCxnSpPr>
          <xdr:spPr>
            <a:xfrm rot="5400000" flipH="1">
              <a:off x="1765185" y="4784276"/>
              <a:ext cx="0" cy="828000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" name="Conector recto 71">
              <a:extLst>
                <a:ext uri="{FF2B5EF4-FFF2-40B4-BE49-F238E27FC236}">
                  <a16:creationId xmlns:a16="http://schemas.microsoft.com/office/drawing/2014/main" id="{E9A85A51-B2CD-4B4D-9A34-1611F45830FB}"/>
                </a:ext>
              </a:extLst>
            </xdr:cNvPr>
            <xdr:cNvCxnSpPr/>
          </xdr:nvCxnSpPr>
          <xdr:spPr>
            <a:xfrm flipH="1">
              <a:off x="1361905" y="2614000"/>
              <a:ext cx="0" cy="2544790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70" name="Conector recto 69">
            <a:extLst>
              <a:ext uri="{FF2B5EF4-FFF2-40B4-BE49-F238E27FC236}">
                <a16:creationId xmlns:a16="http://schemas.microsoft.com/office/drawing/2014/main" id="{6AC226A9-3FC2-4A61-B70C-2F8A51742D55}"/>
              </a:ext>
            </a:extLst>
          </xdr:cNvPr>
          <xdr:cNvCxnSpPr/>
        </xdr:nvCxnSpPr>
        <xdr:spPr>
          <a:xfrm flipH="1">
            <a:off x="2083695" y="32674033"/>
            <a:ext cx="0" cy="28756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58473</xdr:colOff>
      <xdr:row>27</xdr:row>
      <xdr:rowOff>0</xdr:rowOff>
    </xdr:from>
    <xdr:to>
      <xdr:col>7</xdr:col>
      <xdr:colOff>1314</xdr:colOff>
      <xdr:row>27</xdr:row>
      <xdr:rowOff>0</xdr:rowOff>
    </xdr:to>
    <xdr:grpSp>
      <xdr:nvGrpSpPr>
        <xdr:cNvPr id="73" name="Grupo 72">
          <a:extLst>
            <a:ext uri="{FF2B5EF4-FFF2-40B4-BE49-F238E27FC236}">
              <a16:creationId xmlns:a16="http://schemas.microsoft.com/office/drawing/2014/main" id="{907F8E3B-B971-42CC-8DA0-686AFC71547E}"/>
            </a:ext>
          </a:extLst>
        </xdr:cNvPr>
        <xdr:cNvGrpSpPr/>
      </xdr:nvGrpSpPr>
      <xdr:grpSpPr>
        <a:xfrm>
          <a:off x="2938385" y="5210735"/>
          <a:ext cx="290223" cy="0"/>
          <a:chOff x="2211065" y="3050303"/>
          <a:chExt cx="360000" cy="288239"/>
        </a:xfrm>
      </xdr:grpSpPr>
      <xdr:cxnSp macro="">
        <xdr:nvCxnSpPr>
          <xdr:cNvPr id="74" name="Conector recto 73">
            <a:extLst>
              <a:ext uri="{FF2B5EF4-FFF2-40B4-BE49-F238E27FC236}">
                <a16:creationId xmlns:a16="http://schemas.microsoft.com/office/drawing/2014/main" id="{4A434600-958D-4BA8-AFC1-5A97CE7C3B85}"/>
              </a:ext>
            </a:extLst>
          </xdr:cNvPr>
          <xdr:cNvCxnSpPr/>
        </xdr:nvCxnSpPr>
        <xdr:spPr>
          <a:xfrm flipH="1">
            <a:off x="2217505" y="3050303"/>
            <a:ext cx="0" cy="28823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" name="Conector recto 74">
            <a:extLst>
              <a:ext uri="{FF2B5EF4-FFF2-40B4-BE49-F238E27FC236}">
                <a16:creationId xmlns:a16="http://schemas.microsoft.com/office/drawing/2014/main" id="{0AC7612F-6ACD-4C0B-A65B-8CFE908A775B}"/>
              </a:ext>
            </a:extLst>
          </xdr:cNvPr>
          <xdr:cNvCxnSpPr/>
        </xdr:nvCxnSpPr>
        <xdr:spPr>
          <a:xfrm rot="5400000" flipH="1">
            <a:off x="2391065" y="3153819"/>
            <a:ext cx="0" cy="360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3154</xdr:colOff>
      <xdr:row>27</xdr:row>
      <xdr:rowOff>0</xdr:rowOff>
    </xdr:from>
    <xdr:to>
      <xdr:col>8</xdr:col>
      <xdr:colOff>316813</xdr:colOff>
      <xdr:row>27</xdr:row>
      <xdr:rowOff>0</xdr:rowOff>
    </xdr:to>
    <xdr:grpSp>
      <xdr:nvGrpSpPr>
        <xdr:cNvPr id="76" name="Grupo 75">
          <a:extLst>
            <a:ext uri="{FF2B5EF4-FFF2-40B4-BE49-F238E27FC236}">
              <a16:creationId xmlns:a16="http://schemas.microsoft.com/office/drawing/2014/main" id="{CD94E848-CC9D-4D62-8FEF-17E3F832144A}"/>
            </a:ext>
          </a:extLst>
        </xdr:cNvPr>
        <xdr:cNvGrpSpPr/>
      </xdr:nvGrpSpPr>
      <xdr:grpSpPr>
        <a:xfrm>
          <a:off x="2883066" y="5210735"/>
          <a:ext cx="1008423" cy="0"/>
          <a:chOff x="1615966" y="35333770"/>
          <a:chExt cx="1143296" cy="481831"/>
        </a:xfrm>
      </xdr:grpSpPr>
      <xdr:grpSp>
        <xdr:nvGrpSpPr>
          <xdr:cNvPr id="77" name="Grupo 76">
            <a:extLst>
              <a:ext uri="{FF2B5EF4-FFF2-40B4-BE49-F238E27FC236}">
                <a16:creationId xmlns:a16="http://schemas.microsoft.com/office/drawing/2014/main" id="{B68070A0-3BB9-40D8-89A0-5A219004B55C}"/>
              </a:ext>
            </a:extLst>
          </xdr:cNvPr>
          <xdr:cNvGrpSpPr/>
        </xdr:nvGrpSpPr>
        <xdr:grpSpPr>
          <a:xfrm>
            <a:off x="1623867" y="35333770"/>
            <a:ext cx="902540" cy="481831"/>
            <a:chOff x="1623868" y="32476270"/>
            <a:chExt cx="458484" cy="481831"/>
          </a:xfrm>
        </xdr:grpSpPr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2D375785-E662-4DE0-BDDF-DF7552C12252}"/>
                </a:ext>
              </a:extLst>
            </xdr:cNvPr>
            <xdr:cNvGrpSpPr/>
          </xdr:nvGrpSpPr>
          <xdr:grpSpPr>
            <a:xfrm>
              <a:off x="1623868" y="32490101"/>
              <a:ext cx="458484" cy="468000"/>
              <a:chOff x="1351185" y="1082946"/>
              <a:chExt cx="828000" cy="4141478"/>
            </a:xfrm>
          </xdr:grpSpPr>
          <xdr:cxnSp macro="">
            <xdr:nvCxnSpPr>
              <xdr:cNvPr id="82" name="Conector recto 81">
                <a:extLst>
                  <a:ext uri="{FF2B5EF4-FFF2-40B4-BE49-F238E27FC236}">
                    <a16:creationId xmlns:a16="http://schemas.microsoft.com/office/drawing/2014/main" id="{51760529-2950-4CE3-9857-EDD26DB848B2}"/>
                  </a:ext>
                </a:extLst>
              </xdr:cNvPr>
              <xdr:cNvCxnSpPr/>
            </xdr:nvCxnSpPr>
            <xdr:spPr>
              <a:xfrm rot="5400000" flipH="1">
                <a:off x="1765185" y="4784276"/>
                <a:ext cx="0" cy="828000"/>
              </a:xfrm>
              <a:prstGeom prst="line">
                <a:avLst/>
              </a:prstGeom>
              <a:ln w="28575">
                <a:solidFill>
                  <a:srgbClr val="0000FF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83" name="Conector recto 82">
                <a:extLst>
                  <a:ext uri="{FF2B5EF4-FFF2-40B4-BE49-F238E27FC236}">
                    <a16:creationId xmlns:a16="http://schemas.microsoft.com/office/drawing/2014/main" id="{BBAD4481-886F-4DE1-A9A0-3B29C88BBF56}"/>
                  </a:ext>
                </a:extLst>
              </xdr:cNvPr>
              <xdr:cNvCxnSpPr/>
            </xdr:nvCxnSpPr>
            <xdr:spPr>
              <a:xfrm flipH="1">
                <a:off x="1355835" y="1082946"/>
                <a:ext cx="0" cy="4141478"/>
              </a:xfrm>
              <a:prstGeom prst="line">
                <a:avLst/>
              </a:prstGeom>
              <a:ln w="28575">
                <a:solidFill>
                  <a:srgbClr val="0000FF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81" name="Conector recto 80">
              <a:extLst>
                <a:ext uri="{FF2B5EF4-FFF2-40B4-BE49-F238E27FC236}">
                  <a16:creationId xmlns:a16="http://schemas.microsoft.com/office/drawing/2014/main" id="{C6DBB771-B983-43CA-91A9-FD2DE38253B1}"/>
                </a:ext>
              </a:extLst>
            </xdr:cNvPr>
            <xdr:cNvCxnSpPr/>
          </xdr:nvCxnSpPr>
          <xdr:spPr>
            <a:xfrm flipH="1">
              <a:off x="2080385" y="32476270"/>
              <a:ext cx="0" cy="476611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78" name="Conector recto 77">
            <a:extLst>
              <a:ext uri="{FF2B5EF4-FFF2-40B4-BE49-F238E27FC236}">
                <a16:creationId xmlns:a16="http://schemas.microsoft.com/office/drawing/2014/main" id="{C397D794-6161-4CF8-9C3F-CCADDAAEEA31}"/>
              </a:ext>
            </a:extLst>
          </xdr:cNvPr>
          <xdr:cNvCxnSpPr/>
        </xdr:nvCxnSpPr>
        <xdr:spPr>
          <a:xfrm flipH="1">
            <a:off x="1615966" y="35354172"/>
            <a:ext cx="229914" cy="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Conector recto 78">
            <a:extLst>
              <a:ext uri="{FF2B5EF4-FFF2-40B4-BE49-F238E27FC236}">
                <a16:creationId xmlns:a16="http://schemas.microsoft.com/office/drawing/2014/main" id="{56476CCC-F730-4D38-9822-44982FB618FF}"/>
              </a:ext>
            </a:extLst>
          </xdr:cNvPr>
          <xdr:cNvCxnSpPr/>
        </xdr:nvCxnSpPr>
        <xdr:spPr>
          <a:xfrm flipH="1">
            <a:off x="2529348" y="35344078"/>
            <a:ext cx="229914" cy="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282557</xdr:colOff>
      <xdr:row>209</xdr:row>
      <xdr:rowOff>16565</xdr:rowOff>
    </xdr:from>
    <xdr:to>
      <xdr:col>7</xdr:col>
      <xdr:colOff>281609</xdr:colOff>
      <xdr:row>209</xdr:row>
      <xdr:rowOff>16565</xdr:rowOff>
    </xdr:to>
    <xdr:cxnSp macro="">
      <xdr:nvCxnSpPr>
        <xdr:cNvPr id="84" name="Conector recto 83">
          <a:extLst>
            <a:ext uri="{FF2B5EF4-FFF2-40B4-BE49-F238E27FC236}">
              <a16:creationId xmlns:a16="http://schemas.microsoft.com/office/drawing/2014/main" id="{5B12B2DF-C2BE-4F71-8203-DF56280E14D1}"/>
            </a:ext>
          </a:extLst>
        </xdr:cNvPr>
        <xdr:cNvCxnSpPr/>
      </xdr:nvCxnSpPr>
      <xdr:spPr>
        <a:xfrm flipH="1">
          <a:off x="4244957" y="38238485"/>
          <a:ext cx="1584012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310331</xdr:colOff>
      <xdr:row>18</xdr:row>
      <xdr:rowOff>3072</xdr:rowOff>
    </xdr:from>
    <xdr:to>
      <xdr:col>5</xdr:col>
      <xdr:colOff>310331</xdr:colOff>
      <xdr:row>18</xdr:row>
      <xdr:rowOff>168991</xdr:rowOff>
    </xdr:to>
    <xdr:cxnSp macro="">
      <xdr:nvCxnSpPr>
        <xdr:cNvPr id="85" name="Conector recto 84">
          <a:extLst>
            <a:ext uri="{FF2B5EF4-FFF2-40B4-BE49-F238E27FC236}">
              <a16:creationId xmlns:a16="http://schemas.microsoft.com/office/drawing/2014/main" id="{2487A911-D508-416D-8F87-CC22B708B94A}"/>
            </a:ext>
          </a:extLst>
        </xdr:cNvPr>
        <xdr:cNvCxnSpPr/>
      </xdr:nvCxnSpPr>
      <xdr:spPr>
        <a:xfrm flipV="1">
          <a:off x="4272731" y="3294912"/>
          <a:ext cx="0" cy="16591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165229</xdr:colOff>
      <xdr:row>28</xdr:row>
      <xdr:rowOff>0</xdr:rowOff>
    </xdr:from>
    <xdr:to>
      <xdr:col>6</xdr:col>
      <xdr:colOff>165230</xdr:colOff>
      <xdr:row>31</xdr:row>
      <xdr:rowOff>19439</xdr:rowOff>
    </xdr:to>
    <xdr:cxnSp macro="">
      <xdr:nvCxnSpPr>
        <xdr:cNvPr id="86" name="Conector recto 85">
          <a:extLst>
            <a:ext uri="{FF2B5EF4-FFF2-40B4-BE49-F238E27FC236}">
              <a16:creationId xmlns:a16="http://schemas.microsoft.com/office/drawing/2014/main" id="{8804BC65-2779-42D0-A79D-E4C73EFF5997}"/>
            </a:ext>
          </a:extLst>
        </xdr:cNvPr>
        <xdr:cNvCxnSpPr/>
      </xdr:nvCxnSpPr>
      <xdr:spPr>
        <a:xfrm>
          <a:off x="4920109" y="5120640"/>
          <a:ext cx="1" cy="56807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414286</xdr:colOff>
      <xdr:row>34</xdr:row>
      <xdr:rowOff>49049</xdr:rowOff>
    </xdr:from>
    <xdr:to>
      <xdr:col>7</xdr:col>
      <xdr:colOff>435055</xdr:colOff>
      <xdr:row>34</xdr:row>
      <xdr:rowOff>49049</xdr:rowOff>
    </xdr:to>
    <xdr:cxnSp macro="">
      <xdr:nvCxnSpPr>
        <xdr:cNvPr id="87" name="Conector recto 86">
          <a:extLst>
            <a:ext uri="{FF2B5EF4-FFF2-40B4-BE49-F238E27FC236}">
              <a16:creationId xmlns:a16="http://schemas.microsoft.com/office/drawing/2014/main" id="{E820AA03-E94A-4CAF-A78E-1C87299EC0A0}"/>
            </a:ext>
          </a:extLst>
        </xdr:cNvPr>
        <xdr:cNvCxnSpPr/>
      </xdr:nvCxnSpPr>
      <xdr:spPr>
        <a:xfrm rot="5400000" flipH="1">
          <a:off x="5179551" y="5464104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85239</xdr:colOff>
      <xdr:row>73</xdr:row>
      <xdr:rowOff>14949</xdr:rowOff>
    </xdr:from>
    <xdr:to>
      <xdr:col>7</xdr:col>
      <xdr:colOff>264956</xdr:colOff>
      <xdr:row>73</xdr:row>
      <xdr:rowOff>14949</xdr:rowOff>
    </xdr:to>
    <xdr:cxnSp macro="">
      <xdr:nvCxnSpPr>
        <xdr:cNvPr id="88" name="Conector recto 87">
          <a:extLst>
            <a:ext uri="{FF2B5EF4-FFF2-40B4-BE49-F238E27FC236}">
              <a16:creationId xmlns:a16="http://schemas.microsoft.com/office/drawing/2014/main" id="{847D9800-52D4-41F7-BE50-13BF47FDB315}"/>
            </a:ext>
          </a:extLst>
        </xdr:cNvPr>
        <xdr:cNvCxnSpPr/>
      </xdr:nvCxnSpPr>
      <xdr:spPr>
        <a:xfrm flipH="1">
          <a:off x="5632599" y="13365189"/>
          <a:ext cx="179717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246794</xdr:colOff>
      <xdr:row>75</xdr:row>
      <xdr:rowOff>183641</xdr:rowOff>
    </xdr:from>
    <xdr:to>
      <xdr:col>7</xdr:col>
      <xdr:colOff>426511</xdr:colOff>
      <xdr:row>75</xdr:row>
      <xdr:rowOff>183641</xdr:rowOff>
    </xdr:to>
    <xdr:cxnSp macro="">
      <xdr:nvCxnSpPr>
        <xdr:cNvPr id="89" name="Conector recto 88">
          <a:extLst>
            <a:ext uri="{FF2B5EF4-FFF2-40B4-BE49-F238E27FC236}">
              <a16:creationId xmlns:a16="http://schemas.microsoft.com/office/drawing/2014/main" id="{E408E139-C4BF-4F3E-A977-E2616B2EDF27}"/>
            </a:ext>
          </a:extLst>
        </xdr:cNvPr>
        <xdr:cNvCxnSpPr/>
      </xdr:nvCxnSpPr>
      <xdr:spPr>
        <a:xfrm flipH="1">
          <a:off x="5794154" y="13899641"/>
          <a:ext cx="179717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100</xdr:row>
      <xdr:rowOff>142875</xdr:rowOff>
    </xdr:from>
    <xdr:to>
      <xdr:col>6</xdr:col>
      <xdr:colOff>276225</xdr:colOff>
      <xdr:row>100</xdr:row>
      <xdr:rowOff>142875</xdr:rowOff>
    </xdr:to>
    <xdr:cxnSp macro="">
      <xdr:nvCxnSpPr>
        <xdr:cNvPr id="90" name="Conector recto 89">
          <a:extLst>
            <a:ext uri="{FF2B5EF4-FFF2-40B4-BE49-F238E27FC236}">
              <a16:creationId xmlns:a16="http://schemas.microsoft.com/office/drawing/2014/main" id="{34015169-322B-4E2A-93FD-30E47407460F}"/>
            </a:ext>
          </a:extLst>
        </xdr:cNvPr>
        <xdr:cNvCxnSpPr/>
      </xdr:nvCxnSpPr>
      <xdr:spPr>
        <a:xfrm flipH="1">
          <a:off x="4821555" y="18430875"/>
          <a:ext cx="209550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100053</xdr:colOff>
      <xdr:row>125</xdr:row>
      <xdr:rowOff>104054</xdr:rowOff>
    </xdr:from>
    <xdr:to>
      <xdr:col>7</xdr:col>
      <xdr:colOff>319848</xdr:colOff>
      <xdr:row>125</xdr:row>
      <xdr:rowOff>107257</xdr:rowOff>
    </xdr:to>
    <xdr:cxnSp macro="">
      <xdr:nvCxnSpPr>
        <xdr:cNvPr id="91" name="Conector recto 90">
          <a:extLst>
            <a:ext uri="{FF2B5EF4-FFF2-40B4-BE49-F238E27FC236}">
              <a16:creationId xmlns:a16="http://schemas.microsoft.com/office/drawing/2014/main" id="{EDFC5D21-2830-4514-B77E-1D26886B8FB8}"/>
            </a:ext>
          </a:extLst>
        </xdr:cNvPr>
        <xdr:cNvCxnSpPr/>
      </xdr:nvCxnSpPr>
      <xdr:spPr>
        <a:xfrm>
          <a:off x="5647413" y="22964054"/>
          <a:ext cx="219795" cy="3203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113</xdr:row>
      <xdr:rowOff>142875</xdr:rowOff>
    </xdr:from>
    <xdr:to>
      <xdr:col>7</xdr:col>
      <xdr:colOff>1</xdr:colOff>
      <xdr:row>115</xdr:row>
      <xdr:rowOff>123825</xdr:rowOff>
    </xdr:to>
    <xdr:cxnSp macro="">
      <xdr:nvCxnSpPr>
        <xdr:cNvPr id="92" name="Conector recto 91">
          <a:extLst>
            <a:ext uri="{FF2B5EF4-FFF2-40B4-BE49-F238E27FC236}">
              <a16:creationId xmlns:a16="http://schemas.microsoft.com/office/drawing/2014/main" id="{95D64968-C1FB-4CD8-A652-D94FF6694921}"/>
            </a:ext>
          </a:extLst>
        </xdr:cNvPr>
        <xdr:cNvCxnSpPr/>
      </xdr:nvCxnSpPr>
      <xdr:spPr>
        <a:xfrm>
          <a:off x="5547360" y="20808315"/>
          <a:ext cx="1" cy="34671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113</xdr:row>
      <xdr:rowOff>28575</xdr:rowOff>
    </xdr:from>
    <xdr:to>
      <xdr:col>7</xdr:col>
      <xdr:colOff>0</xdr:colOff>
      <xdr:row>113</xdr:row>
      <xdr:rowOff>142875</xdr:rowOff>
    </xdr:to>
    <xdr:cxnSp macro="">
      <xdr:nvCxnSpPr>
        <xdr:cNvPr id="93" name="Conector recto 92">
          <a:extLst>
            <a:ext uri="{FF2B5EF4-FFF2-40B4-BE49-F238E27FC236}">
              <a16:creationId xmlns:a16="http://schemas.microsoft.com/office/drawing/2014/main" id="{C1E60448-6B70-47CC-8DC5-2BAA5E9A477F}"/>
            </a:ext>
          </a:extLst>
        </xdr:cNvPr>
        <xdr:cNvCxnSpPr/>
      </xdr:nvCxnSpPr>
      <xdr:spPr>
        <a:xfrm flipH="1" flipV="1">
          <a:off x="4916805" y="20694015"/>
          <a:ext cx="630555" cy="11430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409575</xdr:colOff>
      <xdr:row>103</xdr:row>
      <xdr:rowOff>0</xdr:rowOff>
    </xdr:from>
    <xdr:to>
      <xdr:col>6</xdr:col>
      <xdr:colOff>409577</xdr:colOff>
      <xdr:row>105</xdr:row>
      <xdr:rowOff>133350</xdr:rowOff>
    </xdr:to>
    <xdr:cxnSp macro="">
      <xdr:nvCxnSpPr>
        <xdr:cNvPr id="94" name="Conector recto 93">
          <a:extLst>
            <a:ext uri="{FF2B5EF4-FFF2-40B4-BE49-F238E27FC236}">
              <a16:creationId xmlns:a16="http://schemas.microsoft.com/office/drawing/2014/main" id="{0DAFB6A2-836F-4FC9-B270-CADAACC46ABA}"/>
            </a:ext>
          </a:extLst>
        </xdr:cNvPr>
        <xdr:cNvCxnSpPr/>
      </xdr:nvCxnSpPr>
      <xdr:spPr>
        <a:xfrm>
          <a:off x="5164455" y="18836640"/>
          <a:ext cx="2" cy="49911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400050</xdr:colOff>
      <xdr:row>105</xdr:row>
      <xdr:rowOff>133350</xdr:rowOff>
    </xdr:from>
    <xdr:to>
      <xdr:col>7</xdr:col>
      <xdr:colOff>171450</xdr:colOff>
      <xdr:row>105</xdr:row>
      <xdr:rowOff>133350</xdr:rowOff>
    </xdr:to>
    <xdr:cxnSp macro="">
      <xdr:nvCxnSpPr>
        <xdr:cNvPr id="95" name="Conector recto 94">
          <a:extLst>
            <a:ext uri="{FF2B5EF4-FFF2-40B4-BE49-F238E27FC236}">
              <a16:creationId xmlns:a16="http://schemas.microsoft.com/office/drawing/2014/main" id="{B6EC9A0D-7A3E-4B30-927A-78077B6B8DAD}"/>
            </a:ext>
          </a:extLst>
        </xdr:cNvPr>
        <xdr:cNvCxnSpPr/>
      </xdr:nvCxnSpPr>
      <xdr:spPr>
        <a:xfrm flipH="1">
          <a:off x="5154930" y="19335750"/>
          <a:ext cx="563880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108</xdr:row>
      <xdr:rowOff>19050</xdr:rowOff>
    </xdr:from>
    <xdr:to>
      <xdr:col>7</xdr:col>
      <xdr:colOff>1</xdr:colOff>
      <xdr:row>110</xdr:row>
      <xdr:rowOff>142875</xdr:rowOff>
    </xdr:to>
    <xdr:cxnSp macro="">
      <xdr:nvCxnSpPr>
        <xdr:cNvPr id="96" name="Conector recto 95">
          <a:extLst>
            <a:ext uri="{FF2B5EF4-FFF2-40B4-BE49-F238E27FC236}">
              <a16:creationId xmlns:a16="http://schemas.microsoft.com/office/drawing/2014/main" id="{4611B543-046E-4B0D-961B-A26E327A1EC6}"/>
            </a:ext>
          </a:extLst>
        </xdr:cNvPr>
        <xdr:cNvCxnSpPr/>
      </xdr:nvCxnSpPr>
      <xdr:spPr>
        <a:xfrm>
          <a:off x="5547360" y="19770090"/>
          <a:ext cx="1" cy="489585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35944</xdr:colOff>
      <xdr:row>118</xdr:row>
      <xdr:rowOff>8986</xdr:rowOff>
    </xdr:from>
    <xdr:to>
      <xdr:col>7</xdr:col>
      <xdr:colOff>38101</xdr:colOff>
      <xdr:row>120</xdr:row>
      <xdr:rowOff>161925</xdr:rowOff>
    </xdr:to>
    <xdr:cxnSp macro="">
      <xdr:nvCxnSpPr>
        <xdr:cNvPr id="97" name="Conector recto 96">
          <a:extLst>
            <a:ext uri="{FF2B5EF4-FFF2-40B4-BE49-F238E27FC236}">
              <a16:creationId xmlns:a16="http://schemas.microsoft.com/office/drawing/2014/main" id="{FD2C77F2-183A-439C-B0F8-D05EFDA2408C}"/>
            </a:ext>
          </a:extLst>
        </xdr:cNvPr>
        <xdr:cNvCxnSpPr/>
      </xdr:nvCxnSpPr>
      <xdr:spPr>
        <a:xfrm>
          <a:off x="5583304" y="21588826"/>
          <a:ext cx="2157" cy="51869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428626</xdr:colOff>
      <xdr:row>115</xdr:row>
      <xdr:rowOff>114300</xdr:rowOff>
    </xdr:from>
    <xdr:to>
      <xdr:col>7</xdr:col>
      <xdr:colOff>304800</xdr:colOff>
      <xdr:row>115</xdr:row>
      <xdr:rowOff>114300</xdr:rowOff>
    </xdr:to>
    <xdr:cxnSp macro="">
      <xdr:nvCxnSpPr>
        <xdr:cNvPr id="98" name="Conector recto 97">
          <a:extLst>
            <a:ext uri="{FF2B5EF4-FFF2-40B4-BE49-F238E27FC236}">
              <a16:creationId xmlns:a16="http://schemas.microsoft.com/office/drawing/2014/main" id="{8117E882-B068-46DD-A2FA-5B35522A1090}"/>
            </a:ext>
          </a:extLst>
        </xdr:cNvPr>
        <xdr:cNvCxnSpPr/>
      </xdr:nvCxnSpPr>
      <xdr:spPr>
        <a:xfrm flipH="1">
          <a:off x="5183506" y="21145500"/>
          <a:ext cx="668654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402325</xdr:colOff>
      <xdr:row>129</xdr:row>
      <xdr:rowOff>16513</xdr:rowOff>
    </xdr:from>
    <xdr:to>
      <xdr:col>7</xdr:col>
      <xdr:colOff>402325</xdr:colOff>
      <xdr:row>130</xdr:row>
      <xdr:rowOff>6127</xdr:rowOff>
    </xdr:to>
    <xdr:cxnSp macro="">
      <xdr:nvCxnSpPr>
        <xdr:cNvPr id="99" name="Conector recto 98">
          <a:extLst>
            <a:ext uri="{FF2B5EF4-FFF2-40B4-BE49-F238E27FC236}">
              <a16:creationId xmlns:a16="http://schemas.microsoft.com/office/drawing/2014/main" id="{7344E760-A6A5-40AF-A355-49967674FA7F}"/>
            </a:ext>
          </a:extLst>
        </xdr:cNvPr>
        <xdr:cNvCxnSpPr/>
      </xdr:nvCxnSpPr>
      <xdr:spPr>
        <a:xfrm>
          <a:off x="5949685" y="23608033"/>
          <a:ext cx="0" cy="172494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156082</xdr:colOff>
      <xdr:row>132</xdr:row>
      <xdr:rowOff>180094</xdr:rowOff>
    </xdr:from>
    <xdr:to>
      <xdr:col>7</xdr:col>
      <xdr:colOff>312164</xdr:colOff>
      <xdr:row>132</xdr:row>
      <xdr:rowOff>180096</xdr:rowOff>
    </xdr:to>
    <xdr:cxnSp macro="">
      <xdr:nvCxnSpPr>
        <xdr:cNvPr id="100" name="Conector recto 99">
          <a:extLst>
            <a:ext uri="{FF2B5EF4-FFF2-40B4-BE49-F238E27FC236}">
              <a16:creationId xmlns:a16="http://schemas.microsoft.com/office/drawing/2014/main" id="{8A55779E-88E6-4C6F-9EF5-691F86B2D4E8}"/>
            </a:ext>
          </a:extLst>
        </xdr:cNvPr>
        <xdr:cNvCxnSpPr/>
      </xdr:nvCxnSpPr>
      <xdr:spPr>
        <a:xfrm flipH="1">
          <a:off x="5703442" y="24320254"/>
          <a:ext cx="156082" cy="2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136</xdr:row>
      <xdr:rowOff>24333</xdr:rowOff>
    </xdr:from>
    <xdr:to>
      <xdr:col>7</xdr:col>
      <xdr:colOff>308482</xdr:colOff>
      <xdr:row>136</xdr:row>
      <xdr:rowOff>24335</xdr:rowOff>
    </xdr:to>
    <xdr:cxnSp macro="">
      <xdr:nvCxnSpPr>
        <xdr:cNvPr id="101" name="Conector recto 100">
          <a:extLst>
            <a:ext uri="{FF2B5EF4-FFF2-40B4-BE49-F238E27FC236}">
              <a16:creationId xmlns:a16="http://schemas.microsoft.com/office/drawing/2014/main" id="{7D59D3A0-4FBD-482E-A777-7C322709E60F}"/>
            </a:ext>
          </a:extLst>
        </xdr:cNvPr>
        <xdr:cNvCxnSpPr/>
      </xdr:nvCxnSpPr>
      <xdr:spPr>
        <a:xfrm flipH="1">
          <a:off x="5699760" y="24896013"/>
          <a:ext cx="156082" cy="2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286775</xdr:colOff>
      <xdr:row>82</xdr:row>
      <xdr:rowOff>102420</xdr:rowOff>
    </xdr:from>
    <xdr:to>
      <xdr:col>6</xdr:col>
      <xdr:colOff>286776</xdr:colOff>
      <xdr:row>86</xdr:row>
      <xdr:rowOff>10242</xdr:rowOff>
    </xdr:to>
    <xdr:cxnSp macro="">
      <xdr:nvCxnSpPr>
        <xdr:cNvPr id="102" name="Conector recto 101">
          <a:extLst>
            <a:ext uri="{FF2B5EF4-FFF2-40B4-BE49-F238E27FC236}">
              <a16:creationId xmlns:a16="http://schemas.microsoft.com/office/drawing/2014/main" id="{FDA21FB0-3A80-4FCA-98BC-321557AA87B5}"/>
            </a:ext>
          </a:extLst>
        </xdr:cNvPr>
        <xdr:cNvCxnSpPr/>
      </xdr:nvCxnSpPr>
      <xdr:spPr>
        <a:xfrm flipH="1">
          <a:off x="5041655" y="15098580"/>
          <a:ext cx="1" cy="639342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92178</xdr:colOff>
      <xdr:row>165</xdr:row>
      <xdr:rowOff>170434</xdr:rowOff>
    </xdr:from>
    <xdr:to>
      <xdr:col>6</xdr:col>
      <xdr:colOff>346267</xdr:colOff>
      <xdr:row>165</xdr:row>
      <xdr:rowOff>174113</xdr:rowOff>
    </xdr:to>
    <xdr:cxnSp macro="">
      <xdr:nvCxnSpPr>
        <xdr:cNvPr id="103" name="Conector recto 102">
          <a:extLst>
            <a:ext uri="{FF2B5EF4-FFF2-40B4-BE49-F238E27FC236}">
              <a16:creationId xmlns:a16="http://schemas.microsoft.com/office/drawing/2014/main" id="{DA32280F-7C1E-4587-B01A-FE76600AD9B3}"/>
            </a:ext>
          </a:extLst>
        </xdr:cNvPr>
        <xdr:cNvCxnSpPr/>
      </xdr:nvCxnSpPr>
      <xdr:spPr>
        <a:xfrm flipV="1">
          <a:off x="4847058" y="30345634"/>
          <a:ext cx="254089" cy="367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368709</xdr:colOff>
      <xdr:row>168</xdr:row>
      <xdr:rowOff>92177</xdr:rowOff>
    </xdr:from>
    <xdr:to>
      <xdr:col>7</xdr:col>
      <xdr:colOff>369194</xdr:colOff>
      <xdr:row>169</xdr:row>
      <xdr:rowOff>189458</xdr:rowOff>
    </xdr:to>
    <xdr:cxnSp macro="">
      <xdr:nvCxnSpPr>
        <xdr:cNvPr id="104" name="Conector recto 103">
          <a:extLst>
            <a:ext uri="{FF2B5EF4-FFF2-40B4-BE49-F238E27FC236}">
              <a16:creationId xmlns:a16="http://schemas.microsoft.com/office/drawing/2014/main" id="{6929B821-3CE5-4721-B2AB-88A6584AAEA0}"/>
            </a:ext>
          </a:extLst>
        </xdr:cNvPr>
        <xdr:cNvCxnSpPr/>
      </xdr:nvCxnSpPr>
      <xdr:spPr>
        <a:xfrm>
          <a:off x="5916069" y="30816017"/>
          <a:ext cx="485" cy="272541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282557</xdr:colOff>
      <xdr:row>219</xdr:row>
      <xdr:rowOff>16565</xdr:rowOff>
    </xdr:from>
    <xdr:to>
      <xdr:col>7</xdr:col>
      <xdr:colOff>281609</xdr:colOff>
      <xdr:row>219</xdr:row>
      <xdr:rowOff>16565</xdr:rowOff>
    </xdr:to>
    <xdr:cxnSp macro="">
      <xdr:nvCxnSpPr>
        <xdr:cNvPr id="105" name="Conector recto 104">
          <a:extLst>
            <a:ext uri="{FF2B5EF4-FFF2-40B4-BE49-F238E27FC236}">
              <a16:creationId xmlns:a16="http://schemas.microsoft.com/office/drawing/2014/main" id="{B0C175B1-3E11-4E79-96AA-EC2A70FFF5E6}"/>
            </a:ext>
          </a:extLst>
        </xdr:cNvPr>
        <xdr:cNvCxnSpPr/>
      </xdr:nvCxnSpPr>
      <xdr:spPr>
        <a:xfrm flipH="1">
          <a:off x="4244957" y="40067285"/>
          <a:ext cx="1584012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399437</xdr:colOff>
      <xdr:row>212</xdr:row>
      <xdr:rowOff>112661</xdr:rowOff>
    </xdr:from>
    <xdr:to>
      <xdr:col>6</xdr:col>
      <xdr:colOff>409678</xdr:colOff>
      <xdr:row>216</xdr:row>
      <xdr:rowOff>81936</xdr:rowOff>
    </xdr:to>
    <xdr:cxnSp macro="">
      <xdr:nvCxnSpPr>
        <xdr:cNvPr id="106" name="Conector recto 105">
          <a:extLst>
            <a:ext uri="{FF2B5EF4-FFF2-40B4-BE49-F238E27FC236}">
              <a16:creationId xmlns:a16="http://schemas.microsoft.com/office/drawing/2014/main" id="{6089C593-3E14-4012-8C46-62A2DABAFDA6}"/>
            </a:ext>
          </a:extLst>
        </xdr:cNvPr>
        <xdr:cNvCxnSpPr/>
      </xdr:nvCxnSpPr>
      <xdr:spPr>
        <a:xfrm flipH="1">
          <a:off x="5154317" y="38883221"/>
          <a:ext cx="10241" cy="700795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307257</xdr:colOff>
      <xdr:row>17</xdr:row>
      <xdr:rowOff>165919</xdr:rowOff>
    </xdr:from>
    <xdr:to>
      <xdr:col>8</xdr:col>
      <xdr:colOff>38098</xdr:colOff>
      <xdr:row>20</xdr:row>
      <xdr:rowOff>115216</xdr:rowOff>
    </xdr:to>
    <xdr:grpSp>
      <xdr:nvGrpSpPr>
        <xdr:cNvPr id="107" name="Grupo 106">
          <a:extLst>
            <a:ext uri="{FF2B5EF4-FFF2-40B4-BE49-F238E27FC236}">
              <a16:creationId xmlns:a16="http://schemas.microsoft.com/office/drawing/2014/main" id="{D831CB7B-C948-4EED-9EFD-9A0FC7A1D89A}"/>
            </a:ext>
          </a:extLst>
        </xdr:cNvPr>
        <xdr:cNvGrpSpPr/>
      </xdr:nvGrpSpPr>
      <xdr:grpSpPr>
        <a:xfrm rot="10800000">
          <a:off x="2839786" y="3460448"/>
          <a:ext cx="772988" cy="532003"/>
          <a:chOff x="1770676" y="3947959"/>
          <a:chExt cx="841116" cy="123753"/>
        </a:xfrm>
      </xdr:grpSpPr>
      <xdr:cxnSp macro="">
        <xdr:nvCxnSpPr>
          <xdr:cNvPr id="108" name="Conector recto 107">
            <a:extLst>
              <a:ext uri="{FF2B5EF4-FFF2-40B4-BE49-F238E27FC236}">
                <a16:creationId xmlns:a16="http://schemas.microsoft.com/office/drawing/2014/main" id="{BB9C7AC2-14C7-496B-81CE-9F3C679603F3}"/>
              </a:ext>
            </a:extLst>
          </xdr:cNvPr>
          <xdr:cNvCxnSpPr/>
        </xdr:nvCxnSpPr>
        <xdr:spPr>
          <a:xfrm rot="10800000" flipV="1">
            <a:off x="1770676" y="4061490"/>
            <a:ext cx="841116" cy="2045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Conector recto 108">
            <a:extLst>
              <a:ext uri="{FF2B5EF4-FFF2-40B4-BE49-F238E27FC236}">
                <a16:creationId xmlns:a16="http://schemas.microsoft.com/office/drawing/2014/main" id="{9BCF8FF1-F769-43F9-BACB-0C67868EF7AB}"/>
              </a:ext>
            </a:extLst>
          </xdr:cNvPr>
          <xdr:cNvCxnSpPr/>
        </xdr:nvCxnSpPr>
        <xdr:spPr>
          <a:xfrm rot="10800000" flipH="1">
            <a:off x="2569426" y="3947959"/>
            <a:ext cx="10785" cy="123753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14134</xdr:colOff>
      <xdr:row>17</xdr:row>
      <xdr:rowOff>172064</xdr:rowOff>
    </xdr:from>
    <xdr:to>
      <xdr:col>6</xdr:col>
      <xdr:colOff>159774</xdr:colOff>
      <xdr:row>17</xdr:row>
      <xdr:rowOff>173908</xdr:rowOff>
    </xdr:to>
    <xdr:cxnSp macro="">
      <xdr:nvCxnSpPr>
        <xdr:cNvPr id="110" name="Conector recto 109">
          <a:extLst>
            <a:ext uri="{FF2B5EF4-FFF2-40B4-BE49-F238E27FC236}">
              <a16:creationId xmlns:a16="http://schemas.microsoft.com/office/drawing/2014/main" id="{2A978254-8ADE-4C4F-A4B8-FE73AEE4BA7A}"/>
            </a:ext>
          </a:extLst>
        </xdr:cNvPr>
        <xdr:cNvCxnSpPr/>
      </xdr:nvCxnSpPr>
      <xdr:spPr>
        <a:xfrm flipV="1">
          <a:off x="4769014" y="3281024"/>
          <a:ext cx="145640" cy="1844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1099457</xdr:colOff>
      <xdr:row>3</xdr:row>
      <xdr:rowOff>83873</xdr:rowOff>
    </xdr:from>
    <xdr:ext cx="4845323" cy="2494100"/>
    <xdr:pic>
      <xdr:nvPicPr>
        <xdr:cNvPr id="2" name="Imagen 1">
          <a:extLst>
            <a:ext uri="{FF2B5EF4-FFF2-40B4-BE49-F238E27FC236}">
              <a16:creationId xmlns:a16="http://schemas.microsoft.com/office/drawing/2014/main" id="{EE370963-AD41-4967-A917-1DC256B1A7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85" t="8756" r="25795" b="12435"/>
        <a:stretch/>
      </xdr:blipFill>
      <xdr:spPr bwMode="auto">
        <a:xfrm>
          <a:off x="2128157" y="632513"/>
          <a:ext cx="4845323" cy="249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2325429</xdr:colOff>
      <xdr:row>7</xdr:row>
      <xdr:rowOff>21709</xdr:rowOff>
    </xdr:from>
    <xdr:ext cx="3831271" cy="2276040"/>
    <xdr:pic>
      <xdr:nvPicPr>
        <xdr:cNvPr id="2" name="Imagen 1">
          <a:extLst>
            <a:ext uri="{FF2B5EF4-FFF2-40B4-BE49-F238E27FC236}">
              <a16:creationId xmlns:a16="http://schemas.microsoft.com/office/drawing/2014/main" id="{51CFDFB8-BB51-4CCA-9782-BFE11DD614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092" t="24159" r="30585" b="15597"/>
        <a:stretch/>
      </xdr:blipFill>
      <xdr:spPr bwMode="auto">
        <a:xfrm>
          <a:off x="1571049" y="1301869"/>
          <a:ext cx="3831271" cy="2276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406796</xdr:colOff>
      <xdr:row>234</xdr:row>
      <xdr:rowOff>119063</xdr:rowOff>
    </xdr:from>
    <xdr:to>
      <xdr:col>6</xdr:col>
      <xdr:colOff>406796</xdr:colOff>
      <xdr:row>238</xdr:row>
      <xdr:rowOff>129516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C79AE87A-B5D1-4E5D-A322-7FB29C3992D6}"/>
            </a:ext>
          </a:extLst>
        </xdr:cNvPr>
        <xdr:cNvCxnSpPr/>
      </xdr:nvCxnSpPr>
      <xdr:spPr>
        <a:xfrm flipH="1">
          <a:off x="5161676" y="42912983"/>
          <a:ext cx="0" cy="741973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3435</xdr:colOff>
      <xdr:row>53</xdr:row>
      <xdr:rowOff>0</xdr:rowOff>
    </xdr:from>
    <xdr:to>
      <xdr:col>8</xdr:col>
      <xdr:colOff>573</xdr:colOff>
      <xdr:row>53</xdr:row>
      <xdr:rowOff>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EF1AFA79-4EE6-471E-8D69-DA5BD69597C5}"/>
            </a:ext>
          </a:extLst>
        </xdr:cNvPr>
        <xdr:cNvGrpSpPr/>
      </xdr:nvGrpSpPr>
      <xdr:grpSpPr>
        <a:xfrm>
          <a:off x="2425506" y="10055679"/>
          <a:ext cx="677496" cy="0"/>
          <a:chOff x="1351185" y="3785308"/>
          <a:chExt cx="828000" cy="1470100"/>
        </a:xfrm>
      </xdr:grpSpPr>
      <xdr:cxnSp macro="">
        <xdr:nvCxnSpPr>
          <xdr:cNvPr id="4" name="Conector recto 3">
            <a:extLst>
              <a:ext uri="{FF2B5EF4-FFF2-40B4-BE49-F238E27FC236}">
                <a16:creationId xmlns:a16="http://schemas.microsoft.com/office/drawing/2014/main" id="{A64FD58D-7ED6-4BC2-8E1B-47973B95D6A4}"/>
              </a:ext>
            </a:extLst>
          </xdr:cNvPr>
          <xdr:cNvCxnSpPr/>
        </xdr:nvCxnSpPr>
        <xdr:spPr>
          <a:xfrm rot="5400000" flipH="1">
            <a:off x="1765185" y="4784276"/>
            <a:ext cx="0" cy="828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recto 4">
            <a:extLst>
              <a:ext uri="{FF2B5EF4-FFF2-40B4-BE49-F238E27FC236}">
                <a16:creationId xmlns:a16="http://schemas.microsoft.com/office/drawing/2014/main" id="{702EC765-8450-4F8C-87ED-C2C1C51D12B8}"/>
              </a:ext>
            </a:extLst>
          </xdr:cNvPr>
          <xdr:cNvCxnSpPr/>
        </xdr:nvCxnSpPr>
        <xdr:spPr>
          <a:xfrm flipH="1">
            <a:off x="1367888" y="3785308"/>
            <a:ext cx="4037" cy="14701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203488</xdr:colOff>
      <xdr:row>12</xdr:row>
      <xdr:rowOff>165652</xdr:rowOff>
    </xdr:from>
    <xdr:to>
      <xdr:col>7</xdr:col>
      <xdr:colOff>16705</xdr:colOff>
      <xdr:row>15</xdr:row>
      <xdr:rowOff>158750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523CB331-B638-41A7-B49A-BD209052C205}"/>
            </a:ext>
          </a:extLst>
        </xdr:cNvPr>
        <xdr:cNvGrpSpPr/>
      </xdr:nvGrpSpPr>
      <xdr:grpSpPr>
        <a:xfrm>
          <a:off x="2625559" y="2574116"/>
          <a:ext cx="153396" cy="578205"/>
          <a:chOff x="1672187" y="2581603"/>
          <a:chExt cx="561416" cy="762000"/>
        </a:xfrm>
      </xdr:grpSpPr>
      <xdr:cxnSp macro="">
        <xdr:nvCxnSpPr>
          <xdr:cNvPr id="7" name="Conector recto 6">
            <a:extLst>
              <a:ext uri="{FF2B5EF4-FFF2-40B4-BE49-F238E27FC236}">
                <a16:creationId xmlns:a16="http://schemas.microsoft.com/office/drawing/2014/main" id="{ACF30BAF-1D1E-47DF-9689-E6EE0B61D8B8}"/>
              </a:ext>
            </a:extLst>
          </xdr:cNvPr>
          <xdr:cNvCxnSpPr/>
        </xdr:nvCxnSpPr>
        <xdr:spPr>
          <a:xfrm flipH="1">
            <a:off x="2217505" y="2581603"/>
            <a:ext cx="0" cy="762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Conector recto 7">
            <a:extLst>
              <a:ext uri="{FF2B5EF4-FFF2-40B4-BE49-F238E27FC236}">
                <a16:creationId xmlns:a16="http://schemas.microsoft.com/office/drawing/2014/main" id="{4DA66066-A4D9-492A-99D7-9FE6A856F820}"/>
              </a:ext>
            </a:extLst>
          </xdr:cNvPr>
          <xdr:cNvCxnSpPr/>
        </xdr:nvCxnSpPr>
        <xdr:spPr>
          <a:xfrm flipH="1">
            <a:off x="1672187" y="3320965"/>
            <a:ext cx="561416" cy="7291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197470</xdr:colOff>
      <xdr:row>47</xdr:row>
      <xdr:rowOff>104543</xdr:rowOff>
    </xdr:from>
    <xdr:to>
      <xdr:col>6</xdr:col>
      <xdr:colOff>197471</xdr:colOff>
      <xdr:row>51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7B3C10B6-EA83-414E-BCAE-DEA51A5D12E2}"/>
            </a:ext>
          </a:extLst>
        </xdr:cNvPr>
        <xdr:cNvCxnSpPr/>
      </xdr:nvCxnSpPr>
      <xdr:spPr>
        <a:xfrm flipH="1">
          <a:off x="4952350" y="8699903"/>
          <a:ext cx="1" cy="626977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72038</xdr:colOff>
      <xdr:row>24</xdr:row>
      <xdr:rowOff>148078</xdr:rowOff>
    </xdr:from>
    <xdr:to>
      <xdr:col>8</xdr:col>
      <xdr:colOff>34850</xdr:colOff>
      <xdr:row>24</xdr:row>
      <xdr:rowOff>151006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35CC856B-459A-4F07-9B02-8799228AB596}"/>
            </a:ext>
          </a:extLst>
        </xdr:cNvPr>
        <xdr:cNvCxnSpPr/>
      </xdr:nvCxnSpPr>
      <xdr:spPr>
        <a:xfrm flipH="1" flipV="1">
          <a:off x="4826918" y="4537198"/>
          <a:ext cx="1547772" cy="2928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164087</xdr:colOff>
      <xdr:row>145</xdr:row>
      <xdr:rowOff>170732</xdr:rowOff>
    </xdr:from>
    <xdr:to>
      <xdr:col>7</xdr:col>
      <xdr:colOff>170731</xdr:colOff>
      <xdr:row>148</xdr:row>
      <xdr:rowOff>28015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5B45BBC4-E963-4527-8DB7-0B08E39466D6}"/>
            </a:ext>
          </a:extLst>
        </xdr:cNvPr>
        <xdr:cNvCxnSpPr/>
      </xdr:nvCxnSpPr>
      <xdr:spPr>
        <a:xfrm flipV="1">
          <a:off x="5711447" y="26688332"/>
          <a:ext cx="6644" cy="405923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487</xdr:colOff>
      <xdr:row>53</xdr:row>
      <xdr:rowOff>0</xdr:rowOff>
    </xdr:from>
    <xdr:to>
      <xdr:col>7</xdr:col>
      <xdr:colOff>319599</xdr:colOff>
      <xdr:row>53</xdr:row>
      <xdr:rowOff>0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ABDA1C96-B215-476E-BADF-F40DC4BD517E}"/>
            </a:ext>
          </a:extLst>
        </xdr:cNvPr>
        <xdr:cNvGrpSpPr/>
      </xdr:nvGrpSpPr>
      <xdr:grpSpPr>
        <a:xfrm>
          <a:off x="2762737" y="10055679"/>
          <a:ext cx="319112" cy="0"/>
          <a:chOff x="2211065" y="2581603"/>
          <a:chExt cx="360000" cy="762000"/>
        </a:xfrm>
      </xdr:grpSpPr>
      <xdr:cxnSp macro="">
        <xdr:nvCxnSpPr>
          <xdr:cNvPr id="13" name="Conector recto 12">
            <a:extLst>
              <a:ext uri="{FF2B5EF4-FFF2-40B4-BE49-F238E27FC236}">
                <a16:creationId xmlns:a16="http://schemas.microsoft.com/office/drawing/2014/main" id="{0D3645D1-165F-4CC9-B5B8-7A8E901AD655}"/>
              </a:ext>
            </a:extLst>
          </xdr:cNvPr>
          <xdr:cNvCxnSpPr/>
        </xdr:nvCxnSpPr>
        <xdr:spPr>
          <a:xfrm flipH="1">
            <a:off x="2217505" y="2581603"/>
            <a:ext cx="0" cy="762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Conector recto 13">
            <a:extLst>
              <a:ext uri="{FF2B5EF4-FFF2-40B4-BE49-F238E27FC236}">
                <a16:creationId xmlns:a16="http://schemas.microsoft.com/office/drawing/2014/main" id="{8904408A-C524-4F2C-ADB6-A46A4397F7FB}"/>
              </a:ext>
            </a:extLst>
          </xdr:cNvPr>
          <xdr:cNvCxnSpPr/>
        </xdr:nvCxnSpPr>
        <xdr:spPr>
          <a:xfrm rot="5400000" flipH="1">
            <a:off x="2391065" y="3153819"/>
            <a:ext cx="0" cy="360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9922</xdr:colOff>
      <xdr:row>70</xdr:row>
      <xdr:rowOff>138907</xdr:rowOff>
    </xdr:from>
    <xdr:to>
      <xdr:col>8</xdr:col>
      <xdr:colOff>30691</xdr:colOff>
      <xdr:row>70</xdr:row>
      <xdr:rowOff>138907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96CCA9E2-E5C2-486B-BBEE-01EC4EB745D9}"/>
            </a:ext>
          </a:extLst>
        </xdr:cNvPr>
        <xdr:cNvCxnSpPr/>
      </xdr:nvCxnSpPr>
      <xdr:spPr>
        <a:xfrm rot="5400000" flipH="1">
          <a:off x="5567667" y="12137642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52344</xdr:colOff>
      <xdr:row>62</xdr:row>
      <xdr:rowOff>1439</xdr:rowOff>
    </xdr:from>
    <xdr:to>
      <xdr:col>7</xdr:col>
      <xdr:colOff>413844</xdr:colOff>
      <xdr:row>62</xdr:row>
      <xdr:rowOff>1439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E414D4A7-F772-4547-85D7-74718BB88267}"/>
            </a:ext>
          </a:extLst>
        </xdr:cNvPr>
        <xdr:cNvCxnSpPr/>
      </xdr:nvCxnSpPr>
      <xdr:spPr>
        <a:xfrm flipH="1" flipV="1">
          <a:off x="4807224" y="11339999"/>
          <a:ext cx="1153980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406798</xdr:colOff>
      <xdr:row>66</xdr:row>
      <xdr:rowOff>109141</xdr:rowOff>
    </xdr:from>
    <xdr:to>
      <xdr:col>7</xdr:col>
      <xdr:colOff>427567</xdr:colOff>
      <xdr:row>66</xdr:row>
      <xdr:rowOff>109141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4134612F-26C3-4438-A018-5FE88FE1F715}"/>
            </a:ext>
          </a:extLst>
        </xdr:cNvPr>
        <xdr:cNvCxnSpPr/>
      </xdr:nvCxnSpPr>
      <xdr:spPr>
        <a:xfrm rot="5400000" flipH="1">
          <a:off x="5172063" y="11376356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319606</xdr:colOff>
      <xdr:row>53</xdr:row>
      <xdr:rowOff>0</xdr:rowOff>
    </xdr:from>
    <xdr:to>
      <xdr:col>8</xdr:col>
      <xdr:colOff>19048</xdr:colOff>
      <xdr:row>53</xdr:row>
      <xdr:rowOff>0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B3B22D22-6CA0-4EEF-B07A-AB8AFDB56BAB}"/>
            </a:ext>
          </a:extLst>
        </xdr:cNvPr>
        <xdr:cNvGrpSpPr/>
      </xdr:nvGrpSpPr>
      <xdr:grpSpPr>
        <a:xfrm>
          <a:off x="2741677" y="10055679"/>
          <a:ext cx="379800" cy="0"/>
          <a:chOff x="2211066" y="2581603"/>
          <a:chExt cx="466547" cy="762000"/>
        </a:xfrm>
      </xdr:grpSpPr>
      <xdr:cxnSp macro="">
        <xdr:nvCxnSpPr>
          <xdr:cNvPr id="19" name="Conector recto 18">
            <a:extLst>
              <a:ext uri="{FF2B5EF4-FFF2-40B4-BE49-F238E27FC236}">
                <a16:creationId xmlns:a16="http://schemas.microsoft.com/office/drawing/2014/main" id="{B138A702-EE06-408C-BB3B-E25D22A4A47C}"/>
              </a:ext>
            </a:extLst>
          </xdr:cNvPr>
          <xdr:cNvCxnSpPr/>
        </xdr:nvCxnSpPr>
        <xdr:spPr>
          <a:xfrm flipH="1">
            <a:off x="2217505" y="2581603"/>
            <a:ext cx="0" cy="762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Conector recto 19">
            <a:extLst>
              <a:ext uri="{FF2B5EF4-FFF2-40B4-BE49-F238E27FC236}">
                <a16:creationId xmlns:a16="http://schemas.microsoft.com/office/drawing/2014/main" id="{6DA7FBDD-BCDC-4C13-B382-E9DCA5D4AC8E}"/>
              </a:ext>
            </a:extLst>
          </xdr:cNvPr>
          <xdr:cNvCxnSpPr/>
        </xdr:nvCxnSpPr>
        <xdr:spPr>
          <a:xfrm flipH="1" flipV="1">
            <a:off x="2211066" y="2588215"/>
            <a:ext cx="466547" cy="1213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111127</xdr:colOff>
      <xdr:row>134</xdr:row>
      <xdr:rowOff>152400</xdr:rowOff>
    </xdr:from>
    <xdr:to>
      <xdr:col>7</xdr:col>
      <xdr:colOff>114300</xdr:colOff>
      <xdr:row>137</xdr:row>
      <xdr:rowOff>109935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C47E43C3-ABE6-4818-B31C-6D357466C37F}"/>
            </a:ext>
          </a:extLst>
        </xdr:cNvPr>
        <xdr:cNvCxnSpPr/>
      </xdr:nvCxnSpPr>
      <xdr:spPr>
        <a:xfrm flipH="1">
          <a:off x="5658487" y="24658320"/>
          <a:ext cx="3173" cy="506175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111465</xdr:colOff>
      <xdr:row>104</xdr:row>
      <xdr:rowOff>133350</xdr:rowOff>
    </xdr:from>
    <xdr:to>
      <xdr:col>6</xdr:col>
      <xdr:colOff>114300</xdr:colOff>
      <xdr:row>107</xdr:row>
      <xdr:rowOff>106543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4626CA7C-8FBC-4EDE-B705-29C271B42C43}"/>
            </a:ext>
          </a:extLst>
        </xdr:cNvPr>
        <xdr:cNvCxnSpPr/>
      </xdr:nvCxnSpPr>
      <xdr:spPr>
        <a:xfrm flipH="1">
          <a:off x="4866345" y="19152870"/>
          <a:ext cx="2835" cy="521833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276225</xdr:colOff>
      <xdr:row>110</xdr:row>
      <xdr:rowOff>9525</xdr:rowOff>
    </xdr:from>
    <xdr:to>
      <xdr:col>7</xdr:col>
      <xdr:colOff>209550</xdr:colOff>
      <xdr:row>112</xdr:row>
      <xdr:rowOff>142875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A4ECF38A-0E95-40FD-8213-99849518D4A3}"/>
            </a:ext>
          </a:extLst>
        </xdr:cNvPr>
        <xdr:cNvCxnSpPr/>
      </xdr:nvCxnSpPr>
      <xdr:spPr>
        <a:xfrm flipH="1">
          <a:off x="5031105" y="20126325"/>
          <a:ext cx="725805" cy="49911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9922</xdr:colOff>
      <xdr:row>90</xdr:row>
      <xdr:rowOff>138907</xdr:rowOff>
    </xdr:from>
    <xdr:to>
      <xdr:col>8</xdr:col>
      <xdr:colOff>30691</xdr:colOff>
      <xdr:row>90</xdr:row>
      <xdr:rowOff>138907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F91289CA-720A-40C9-AE17-CD907268222B}"/>
            </a:ext>
          </a:extLst>
        </xdr:cNvPr>
        <xdr:cNvCxnSpPr/>
      </xdr:nvCxnSpPr>
      <xdr:spPr>
        <a:xfrm rot="5400000" flipH="1">
          <a:off x="5567667" y="15795242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206675</xdr:colOff>
      <xdr:row>79</xdr:row>
      <xdr:rowOff>44930</xdr:rowOff>
    </xdr:from>
    <xdr:to>
      <xdr:col>7</xdr:col>
      <xdr:colOff>206676</xdr:colOff>
      <xdr:row>83</xdr:row>
      <xdr:rowOff>89858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A94E7250-3914-4C4F-8695-4AC40A185280}"/>
            </a:ext>
          </a:extLst>
        </xdr:cNvPr>
        <xdr:cNvCxnSpPr/>
      </xdr:nvCxnSpPr>
      <xdr:spPr>
        <a:xfrm flipH="1" flipV="1">
          <a:off x="5754035" y="14492450"/>
          <a:ext cx="1" cy="776448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251604</xdr:colOff>
      <xdr:row>85</xdr:row>
      <xdr:rowOff>0</xdr:rowOff>
    </xdr:from>
    <xdr:to>
      <xdr:col>7</xdr:col>
      <xdr:colOff>251605</xdr:colOff>
      <xdr:row>88</xdr:row>
      <xdr:rowOff>0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6FF85395-F341-4029-BBD4-2558BC0F137E}"/>
            </a:ext>
          </a:extLst>
        </xdr:cNvPr>
        <xdr:cNvCxnSpPr/>
      </xdr:nvCxnSpPr>
      <xdr:spPr>
        <a:xfrm>
          <a:off x="5798964" y="15544800"/>
          <a:ext cx="1" cy="54864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3353</xdr:colOff>
      <xdr:row>53</xdr:row>
      <xdr:rowOff>0</xdr:rowOff>
    </xdr:from>
    <xdr:to>
      <xdr:col>8</xdr:col>
      <xdr:colOff>1261</xdr:colOff>
      <xdr:row>53</xdr:row>
      <xdr:rowOff>0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EC396084-46E9-4C9E-9B5F-4F602BBD0757}"/>
            </a:ext>
          </a:extLst>
        </xdr:cNvPr>
        <xdr:cNvGrpSpPr/>
      </xdr:nvGrpSpPr>
      <xdr:grpSpPr>
        <a:xfrm>
          <a:off x="2425424" y="10055679"/>
          <a:ext cx="678266" cy="0"/>
          <a:chOff x="1704715" y="19077235"/>
          <a:chExt cx="901010" cy="192178"/>
        </a:xfrm>
      </xdr:grpSpPr>
      <xdr:cxnSp macro="">
        <xdr:nvCxnSpPr>
          <xdr:cNvPr id="28" name="Conector recto 27">
            <a:extLst>
              <a:ext uri="{FF2B5EF4-FFF2-40B4-BE49-F238E27FC236}">
                <a16:creationId xmlns:a16="http://schemas.microsoft.com/office/drawing/2014/main" id="{DC8D8009-51CB-46F1-944A-E44DB6B0A118}"/>
              </a:ext>
            </a:extLst>
          </xdr:cNvPr>
          <xdr:cNvCxnSpPr/>
        </xdr:nvCxnSpPr>
        <xdr:spPr>
          <a:xfrm rot="5400000" flipH="1">
            <a:off x="2155220" y="18626730"/>
            <a:ext cx="0" cy="90101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Conector recto 28">
            <a:extLst>
              <a:ext uri="{FF2B5EF4-FFF2-40B4-BE49-F238E27FC236}">
                <a16:creationId xmlns:a16="http://schemas.microsoft.com/office/drawing/2014/main" id="{4A39461F-B8BA-4C74-9606-7DC2E87394E6}"/>
              </a:ext>
            </a:extLst>
          </xdr:cNvPr>
          <xdr:cNvCxnSpPr/>
        </xdr:nvCxnSpPr>
        <xdr:spPr>
          <a:xfrm>
            <a:off x="1714499" y="19089413"/>
            <a:ext cx="0" cy="180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9922</xdr:colOff>
      <xdr:row>155</xdr:row>
      <xdr:rowOff>138907</xdr:rowOff>
    </xdr:from>
    <xdr:to>
      <xdr:col>8</xdr:col>
      <xdr:colOff>30691</xdr:colOff>
      <xdr:row>155</xdr:row>
      <xdr:rowOff>138907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ECE862C7-7667-4D2B-9B26-8B366AD220CB}"/>
            </a:ext>
          </a:extLst>
        </xdr:cNvPr>
        <xdr:cNvCxnSpPr/>
      </xdr:nvCxnSpPr>
      <xdr:spPr>
        <a:xfrm rot="5400000" flipH="1">
          <a:off x="5567667" y="27682442"/>
          <a:ext cx="0" cy="16057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71886</xdr:colOff>
      <xdr:row>150</xdr:row>
      <xdr:rowOff>66452</xdr:rowOff>
    </xdr:from>
    <xdr:to>
      <xdr:col>7</xdr:col>
      <xdr:colOff>74382</xdr:colOff>
      <xdr:row>153</xdr:row>
      <xdr:rowOff>71887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56589838-2D9D-4F4C-AE0C-4A0E4CAF37BD}"/>
            </a:ext>
          </a:extLst>
        </xdr:cNvPr>
        <xdr:cNvCxnSpPr/>
      </xdr:nvCxnSpPr>
      <xdr:spPr>
        <a:xfrm flipH="1">
          <a:off x="5619246" y="27498452"/>
          <a:ext cx="2496" cy="554075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58473</xdr:colOff>
      <xdr:row>53</xdr:row>
      <xdr:rowOff>0</xdr:rowOff>
    </xdr:from>
    <xdr:to>
      <xdr:col>8</xdr:col>
      <xdr:colOff>41671</xdr:colOff>
      <xdr:row>53</xdr:row>
      <xdr:rowOff>0</xdr:rowOff>
    </xdr:to>
    <xdr:grpSp>
      <xdr:nvGrpSpPr>
        <xdr:cNvPr id="32" name="Grupo 31">
          <a:extLst>
            <a:ext uri="{FF2B5EF4-FFF2-40B4-BE49-F238E27FC236}">
              <a16:creationId xmlns:a16="http://schemas.microsoft.com/office/drawing/2014/main" id="{098C6875-1E04-4425-AC38-83CFE3E46E89}"/>
            </a:ext>
          </a:extLst>
        </xdr:cNvPr>
        <xdr:cNvGrpSpPr/>
      </xdr:nvGrpSpPr>
      <xdr:grpSpPr>
        <a:xfrm>
          <a:off x="2480544" y="10055679"/>
          <a:ext cx="663556" cy="0"/>
          <a:chOff x="1499129" y="7971701"/>
          <a:chExt cx="864261" cy="350371"/>
        </a:xfrm>
      </xdr:grpSpPr>
      <xdr:grpSp>
        <xdr:nvGrpSpPr>
          <xdr:cNvPr id="33" name="Grupo 32">
            <a:extLst>
              <a:ext uri="{FF2B5EF4-FFF2-40B4-BE49-F238E27FC236}">
                <a16:creationId xmlns:a16="http://schemas.microsoft.com/office/drawing/2014/main" id="{88C87746-1246-494A-94A3-18E566D9A3BD}"/>
              </a:ext>
            </a:extLst>
          </xdr:cNvPr>
          <xdr:cNvGrpSpPr/>
        </xdr:nvGrpSpPr>
        <xdr:grpSpPr>
          <a:xfrm>
            <a:off x="1499129" y="8184156"/>
            <a:ext cx="864261" cy="137916"/>
            <a:chOff x="2211065" y="3333819"/>
            <a:chExt cx="360000" cy="184041"/>
          </a:xfrm>
        </xdr:grpSpPr>
        <xdr:cxnSp macro="">
          <xdr:nvCxnSpPr>
            <xdr:cNvPr id="35" name="Conector recto 34">
              <a:extLst>
                <a:ext uri="{FF2B5EF4-FFF2-40B4-BE49-F238E27FC236}">
                  <a16:creationId xmlns:a16="http://schemas.microsoft.com/office/drawing/2014/main" id="{F38E68B4-9CAE-428A-AD6E-19BE27869914}"/>
                </a:ext>
              </a:extLst>
            </xdr:cNvPr>
            <xdr:cNvCxnSpPr/>
          </xdr:nvCxnSpPr>
          <xdr:spPr>
            <a:xfrm>
              <a:off x="2217505" y="3344500"/>
              <a:ext cx="3336" cy="173360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Conector recto 35">
              <a:extLst>
                <a:ext uri="{FF2B5EF4-FFF2-40B4-BE49-F238E27FC236}">
                  <a16:creationId xmlns:a16="http://schemas.microsoft.com/office/drawing/2014/main" id="{1B8CFB09-288F-4FFA-9F23-C7A158756BB0}"/>
                </a:ext>
              </a:extLst>
            </xdr:cNvPr>
            <xdr:cNvCxnSpPr/>
          </xdr:nvCxnSpPr>
          <xdr:spPr>
            <a:xfrm rot="5400000" flipH="1">
              <a:off x="2391065" y="3153819"/>
              <a:ext cx="0" cy="360000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34" name="Conector recto 33">
            <a:extLst>
              <a:ext uri="{FF2B5EF4-FFF2-40B4-BE49-F238E27FC236}">
                <a16:creationId xmlns:a16="http://schemas.microsoft.com/office/drawing/2014/main" id="{EA6B5D94-79CB-4E1E-B268-63910785B0B8}"/>
              </a:ext>
            </a:extLst>
          </xdr:cNvPr>
          <xdr:cNvCxnSpPr/>
        </xdr:nvCxnSpPr>
        <xdr:spPr>
          <a:xfrm flipH="1">
            <a:off x="2356379" y="7971701"/>
            <a:ext cx="0" cy="216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3685</xdr:colOff>
      <xdr:row>53</xdr:row>
      <xdr:rowOff>0</xdr:rowOff>
    </xdr:from>
    <xdr:to>
      <xdr:col>7</xdr:col>
      <xdr:colOff>235562</xdr:colOff>
      <xdr:row>53</xdr:row>
      <xdr:rowOff>0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94275712-CB4C-40F2-8EB0-95B21CAAA374}"/>
            </a:ext>
          </a:extLst>
        </xdr:cNvPr>
        <xdr:cNvGrpSpPr/>
      </xdr:nvGrpSpPr>
      <xdr:grpSpPr>
        <a:xfrm rot="5400000">
          <a:off x="2881874" y="9939740"/>
          <a:ext cx="0" cy="231877"/>
          <a:chOff x="1703076" y="23175311"/>
          <a:chExt cx="901010" cy="256189"/>
        </a:xfrm>
      </xdr:grpSpPr>
      <xdr:cxnSp macro="">
        <xdr:nvCxnSpPr>
          <xdr:cNvPr id="38" name="Conector recto 37">
            <a:extLst>
              <a:ext uri="{FF2B5EF4-FFF2-40B4-BE49-F238E27FC236}">
                <a16:creationId xmlns:a16="http://schemas.microsoft.com/office/drawing/2014/main" id="{E3929D37-D577-4F77-A530-6A837CF790BC}"/>
              </a:ext>
            </a:extLst>
          </xdr:cNvPr>
          <xdr:cNvCxnSpPr/>
        </xdr:nvCxnSpPr>
        <xdr:spPr>
          <a:xfrm rot="5400000" flipH="1">
            <a:off x="2153581" y="22980995"/>
            <a:ext cx="0" cy="90101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Conector recto 38">
            <a:extLst>
              <a:ext uri="{FF2B5EF4-FFF2-40B4-BE49-F238E27FC236}">
                <a16:creationId xmlns:a16="http://schemas.microsoft.com/office/drawing/2014/main" id="{010F92B5-4E66-4E22-8A64-47B61F4E00F3}"/>
              </a:ext>
            </a:extLst>
          </xdr:cNvPr>
          <xdr:cNvCxnSpPr/>
        </xdr:nvCxnSpPr>
        <xdr:spPr>
          <a:xfrm flipH="1">
            <a:off x="1707931" y="23175311"/>
            <a:ext cx="0" cy="252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65042</xdr:colOff>
      <xdr:row>53</xdr:row>
      <xdr:rowOff>0</xdr:rowOff>
    </xdr:from>
    <xdr:to>
      <xdr:col>8</xdr:col>
      <xdr:colOff>48240</xdr:colOff>
      <xdr:row>53</xdr:row>
      <xdr:rowOff>0</xdr:rowOff>
    </xdr:to>
    <xdr:grpSp>
      <xdr:nvGrpSpPr>
        <xdr:cNvPr id="40" name="Grupo 39">
          <a:extLst>
            <a:ext uri="{FF2B5EF4-FFF2-40B4-BE49-F238E27FC236}">
              <a16:creationId xmlns:a16="http://schemas.microsoft.com/office/drawing/2014/main" id="{5C2D8DE3-2305-47A3-A54E-34B254711D49}"/>
            </a:ext>
          </a:extLst>
        </xdr:cNvPr>
        <xdr:cNvGrpSpPr/>
      </xdr:nvGrpSpPr>
      <xdr:grpSpPr>
        <a:xfrm>
          <a:off x="2487113" y="10055679"/>
          <a:ext cx="663556" cy="0"/>
          <a:chOff x="1499129" y="7971701"/>
          <a:chExt cx="864261" cy="216000"/>
        </a:xfrm>
      </xdr:grpSpPr>
      <xdr:grpSp>
        <xdr:nvGrpSpPr>
          <xdr:cNvPr id="41" name="Grupo 40">
            <a:extLst>
              <a:ext uri="{FF2B5EF4-FFF2-40B4-BE49-F238E27FC236}">
                <a16:creationId xmlns:a16="http://schemas.microsoft.com/office/drawing/2014/main" id="{093C4B07-DA3C-4EF7-A7B8-FA08FF2237BE}"/>
              </a:ext>
            </a:extLst>
          </xdr:cNvPr>
          <xdr:cNvGrpSpPr/>
        </xdr:nvGrpSpPr>
        <xdr:grpSpPr>
          <a:xfrm>
            <a:off x="1499129" y="7971701"/>
            <a:ext cx="864261" cy="216000"/>
            <a:chOff x="2211065" y="3050303"/>
            <a:chExt cx="360000" cy="288239"/>
          </a:xfrm>
        </xdr:grpSpPr>
        <xdr:cxnSp macro="">
          <xdr:nvCxnSpPr>
            <xdr:cNvPr id="43" name="Conector recto 42">
              <a:extLst>
                <a:ext uri="{FF2B5EF4-FFF2-40B4-BE49-F238E27FC236}">
                  <a16:creationId xmlns:a16="http://schemas.microsoft.com/office/drawing/2014/main" id="{7134864C-D3D9-46C8-9F0C-BDE88F19A45D}"/>
                </a:ext>
              </a:extLst>
            </xdr:cNvPr>
            <xdr:cNvCxnSpPr/>
          </xdr:nvCxnSpPr>
          <xdr:spPr>
            <a:xfrm flipH="1">
              <a:off x="2217505" y="3050303"/>
              <a:ext cx="0" cy="288239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Conector recto 43">
              <a:extLst>
                <a:ext uri="{FF2B5EF4-FFF2-40B4-BE49-F238E27FC236}">
                  <a16:creationId xmlns:a16="http://schemas.microsoft.com/office/drawing/2014/main" id="{6BADF965-B0FD-4C93-8520-C5EBC189C863}"/>
                </a:ext>
              </a:extLst>
            </xdr:cNvPr>
            <xdr:cNvCxnSpPr/>
          </xdr:nvCxnSpPr>
          <xdr:spPr>
            <a:xfrm rot="5400000" flipH="1">
              <a:off x="2391065" y="3153819"/>
              <a:ext cx="0" cy="360000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42" name="Conector recto 41">
            <a:extLst>
              <a:ext uri="{FF2B5EF4-FFF2-40B4-BE49-F238E27FC236}">
                <a16:creationId xmlns:a16="http://schemas.microsoft.com/office/drawing/2014/main" id="{1390B3E5-7903-42D5-8387-BC96E86BC214}"/>
              </a:ext>
            </a:extLst>
          </xdr:cNvPr>
          <xdr:cNvCxnSpPr/>
        </xdr:nvCxnSpPr>
        <xdr:spPr>
          <a:xfrm flipH="1">
            <a:off x="2356379" y="7971701"/>
            <a:ext cx="0" cy="216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212865</xdr:colOff>
      <xdr:row>53</xdr:row>
      <xdr:rowOff>0</xdr:rowOff>
    </xdr:from>
    <xdr:to>
      <xdr:col>7</xdr:col>
      <xdr:colOff>174111</xdr:colOff>
      <xdr:row>53</xdr:row>
      <xdr:rowOff>0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1659F8F4-D34F-4414-9418-B771E3F9A1F5}"/>
            </a:ext>
          </a:extLst>
        </xdr:cNvPr>
        <xdr:cNvGrpSpPr/>
      </xdr:nvGrpSpPr>
      <xdr:grpSpPr>
        <a:xfrm rot="16200000">
          <a:off x="2785649" y="9904966"/>
          <a:ext cx="0" cy="301425"/>
          <a:chOff x="2211064" y="3050303"/>
          <a:chExt cx="304285" cy="295827"/>
        </a:xfrm>
      </xdr:grpSpPr>
      <xdr:cxnSp macro="">
        <xdr:nvCxnSpPr>
          <xdr:cNvPr id="46" name="Conector recto 45">
            <a:extLst>
              <a:ext uri="{FF2B5EF4-FFF2-40B4-BE49-F238E27FC236}">
                <a16:creationId xmlns:a16="http://schemas.microsoft.com/office/drawing/2014/main" id="{6147F178-559F-4307-9674-432171B2D164}"/>
              </a:ext>
            </a:extLst>
          </xdr:cNvPr>
          <xdr:cNvCxnSpPr/>
        </xdr:nvCxnSpPr>
        <xdr:spPr>
          <a:xfrm flipH="1">
            <a:off x="2217505" y="3050303"/>
            <a:ext cx="0" cy="28823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Conector recto 46">
            <a:extLst>
              <a:ext uri="{FF2B5EF4-FFF2-40B4-BE49-F238E27FC236}">
                <a16:creationId xmlns:a16="http://schemas.microsoft.com/office/drawing/2014/main" id="{473B5A79-C241-44F6-A0DB-EAEBC2DFE666}"/>
              </a:ext>
            </a:extLst>
          </xdr:cNvPr>
          <xdr:cNvCxnSpPr/>
        </xdr:nvCxnSpPr>
        <xdr:spPr>
          <a:xfrm rot="5400000" flipH="1">
            <a:off x="2357052" y="3187832"/>
            <a:ext cx="12310" cy="304285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34178</xdr:colOff>
      <xdr:row>53</xdr:row>
      <xdr:rowOff>0</xdr:rowOff>
    </xdr:from>
    <xdr:to>
      <xdr:col>7</xdr:col>
      <xdr:colOff>52541</xdr:colOff>
      <xdr:row>53</xdr:row>
      <xdr:rowOff>0</xdr:rowOff>
    </xdr:to>
    <xdr:grpSp>
      <xdr:nvGrpSpPr>
        <xdr:cNvPr id="48" name="Grupo 47">
          <a:extLst>
            <a:ext uri="{FF2B5EF4-FFF2-40B4-BE49-F238E27FC236}">
              <a16:creationId xmlns:a16="http://schemas.microsoft.com/office/drawing/2014/main" id="{4ED1C51B-6773-4C5B-96DC-3F5C68FA43E4}"/>
            </a:ext>
          </a:extLst>
        </xdr:cNvPr>
        <xdr:cNvGrpSpPr/>
      </xdr:nvGrpSpPr>
      <xdr:grpSpPr>
        <a:xfrm>
          <a:off x="2456249" y="10055679"/>
          <a:ext cx="358542" cy="0"/>
          <a:chOff x="1351185" y="2633225"/>
          <a:chExt cx="828000" cy="2565051"/>
        </a:xfrm>
      </xdr:grpSpPr>
      <xdr:cxnSp macro="">
        <xdr:nvCxnSpPr>
          <xdr:cNvPr id="49" name="Conector recto 48">
            <a:extLst>
              <a:ext uri="{FF2B5EF4-FFF2-40B4-BE49-F238E27FC236}">
                <a16:creationId xmlns:a16="http://schemas.microsoft.com/office/drawing/2014/main" id="{C2216686-0C96-481F-8F34-108D21EF0E3E}"/>
              </a:ext>
            </a:extLst>
          </xdr:cNvPr>
          <xdr:cNvCxnSpPr/>
        </xdr:nvCxnSpPr>
        <xdr:spPr>
          <a:xfrm rot="5400000" flipH="1">
            <a:off x="1765185" y="4784276"/>
            <a:ext cx="0" cy="828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" name="Conector recto 49">
            <a:extLst>
              <a:ext uri="{FF2B5EF4-FFF2-40B4-BE49-F238E27FC236}">
                <a16:creationId xmlns:a16="http://schemas.microsoft.com/office/drawing/2014/main" id="{0CC49E44-246D-43AF-856A-4702722BD198}"/>
              </a:ext>
            </a:extLst>
          </xdr:cNvPr>
          <xdr:cNvCxnSpPr/>
        </xdr:nvCxnSpPr>
        <xdr:spPr>
          <a:xfrm flipH="1">
            <a:off x="2150862" y="2633225"/>
            <a:ext cx="0" cy="254479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58473</xdr:colOff>
      <xdr:row>53</xdr:row>
      <xdr:rowOff>0</xdr:rowOff>
    </xdr:from>
    <xdr:to>
      <xdr:col>7</xdr:col>
      <xdr:colOff>1314</xdr:colOff>
      <xdr:row>53</xdr:row>
      <xdr:rowOff>0</xdr:rowOff>
    </xdr:to>
    <xdr:grpSp>
      <xdr:nvGrpSpPr>
        <xdr:cNvPr id="51" name="Grupo 50">
          <a:extLst>
            <a:ext uri="{FF2B5EF4-FFF2-40B4-BE49-F238E27FC236}">
              <a16:creationId xmlns:a16="http://schemas.microsoft.com/office/drawing/2014/main" id="{78341522-6569-4C21-8E8A-24DC845D9F37}"/>
            </a:ext>
          </a:extLst>
        </xdr:cNvPr>
        <xdr:cNvGrpSpPr/>
      </xdr:nvGrpSpPr>
      <xdr:grpSpPr>
        <a:xfrm>
          <a:off x="2480544" y="10055679"/>
          <a:ext cx="283020" cy="0"/>
          <a:chOff x="2211065" y="3050303"/>
          <a:chExt cx="360000" cy="288239"/>
        </a:xfrm>
      </xdr:grpSpPr>
      <xdr:cxnSp macro="">
        <xdr:nvCxnSpPr>
          <xdr:cNvPr id="52" name="Conector recto 51">
            <a:extLst>
              <a:ext uri="{FF2B5EF4-FFF2-40B4-BE49-F238E27FC236}">
                <a16:creationId xmlns:a16="http://schemas.microsoft.com/office/drawing/2014/main" id="{8D4D3AAE-388E-4700-9C03-C203374B860E}"/>
              </a:ext>
            </a:extLst>
          </xdr:cNvPr>
          <xdr:cNvCxnSpPr/>
        </xdr:nvCxnSpPr>
        <xdr:spPr>
          <a:xfrm flipH="1">
            <a:off x="2217505" y="3050303"/>
            <a:ext cx="0" cy="28823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Conector recto 52">
            <a:extLst>
              <a:ext uri="{FF2B5EF4-FFF2-40B4-BE49-F238E27FC236}">
                <a16:creationId xmlns:a16="http://schemas.microsoft.com/office/drawing/2014/main" id="{FC744C1B-68FA-445C-9E06-D3EEAFCE29BF}"/>
              </a:ext>
            </a:extLst>
          </xdr:cNvPr>
          <xdr:cNvCxnSpPr/>
        </xdr:nvCxnSpPr>
        <xdr:spPr>
          <a:xfrm rot="5400000" flipH="1">
            <a:off x="2391065" y="3153819"/>
            <a:ext cx="0" cy="360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193676</xdr:colOff>
      <xdr:row>53</xdr:row>
      <xdr:rowOff>0</xdr:rowOff>
    </xdr:from>
    <xdr:to>
      <xdr:col>7</xdr:col>
      <xdr:colOff>141979</xdr:colOff>
      <xdr:row>53</xdr:row>
      <xdr:rowOff>0</xdr:rowOff>
    </xdr:to>
    <xdr:grpSp>
      <xdr:nvGrpSpPr>
        <xdr:cNvPr id="54" name="Grupo 53">
          <a:extLst>
            <a:ext uri="{FF2B5EF4-FFF2-40B4-BE49-F238E27FC236}">
              <a16:creationId xmlns:a16="http://schemas.microsoft.com/office/drawing/2014/main" id="{F621AAA1-3C7E-46F3-BE96-A59D85EF9434}"/>
            </a:ext>
          </a:extLst>
        </xdr:cNvPr>
        <xdr:cNvGrpSpPr/>
      </xdr:nvGrpSpPr>
      <xdr:grpSpPr>
        <a:xfrm rot="10800000">
          <a:off x="2615747" y="10055679"/>
          <a:ext cx="288482" cy="0"/>
          <a:chOff x="1351185" y="2364579"/>
          <a:chExt cx="828000" cy="2890831"/>
        </a:xfrm>
      </xdr:grpSpPr>
      <xdr:cxnSp macro="">
        <xdr:nvCxnSpPr>
          <xdr:cNvPr id="55" name="Conector recto 54">
            <a:extLst>
              <a:ext uri="{FF2B5EF4-FFF2-40B4-BE49-F238E27FC236}">
                <a16:creationId xmlns:a16="http://schemas.microsoft.com/office/drawing/2014/main" id="{8EDEFEC6-5409-48D4-A3F7-7A7FDD846D19}"/>
              </a:ext>
            </a:extLst>
          </xdr:cNvPr>
          <xdr:cNvCxnSpPr/>
        </xdr:nvCxnSpPr>
        <xdr:spPr>
          <a:xfrm rot="5400000" flipH="1">
            <a:off x="1765185" y="4784276"/>
            <a:ext cx="0" cy="828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Conector recto 55">
            <a:extLst>
              <a:ext uri="{FF2B5EF4-FFF2-40B4-BE49-F238E27FC236}">
                <a16:creationId xmlns:a16="http://schemas.microsoft.com/office/drawing/2014/main" id="{433556D8-FC47-4C83-905B-F4A69FE4BC94}"/>
              </a:ext>
            </a:extLst>
          </xdr:cNvPr>
          <xdr:cNvCxnSpPr/>
        </xdr:nvCxnSpPr>
        <xdr:spPr>
          <a:xfrm rot="5400000" flipV="1">
            <a:off x="-77966" y="3809556"/>
            <a:ext cx="2890831" cy="878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58473</xdr:colOff>
      <xdr:row>200</xdr:row>
      <xdr:rowOff>0</xdr:rowOff>
    </xdr:from>
    <xdr:to>
      <xdr:col>7</xdr:col>
      <xdr:colOff>1314</xdr:colOff>
      <xdr:row>202</xdr:row>
      <xdr:rowOff>186700</xdr:rowOff>
    </xdr:to>
    <xdr:grpSp>
      <xdr:nvGrpSpPr>
        <xdr:cNvPr id="57" name="Grupo 56">
          <a:extLst>
            <a:ext uri="{FF2B5EF4-FFF2-40B4-BE49-F238E27FC236}">
              <a16:creationId xmlns:a16="http://schemas.microsoft.com/office/drawing/2014/main" id="{A54B154E-1C04-414B-A844-ABD591E50571}"/>
            </a:ext>
          </a:extLst>
        </xdr:cNvPr>
        <xdr:cNvGrpSpPr/>
      </xdr:nvGrpSpPr>
      <xdr:grpSpPr>
        <a:xfrm>
          <a:off x="2480544" y="10246179"/>
          <a:ext cx="283020" cy="567700"/>
          <a:chOff x="2211065" y="3050303"/>
          <a:chExt cx="360000" cy="288239"/>
        </a:xfrm>
      </xdr:grpSpPr>
      <xdr:cxnSp macro="">
        <xdr:nvCxnSpPr>
          <xdr:cNvPr id="58" name="Conector recto 57">
            <a:extLst>
              <a:ext uri="{FF2B5EF4-FFF2-40B4-BE49-F238E27FC236}">
                <a16:creationId xmlns:a16="http://schemas.microsoft.com/office/drawing/2014/main" id="{8AFE24F4-2E3E-407A-B3CB-3480A990E9D5}"/>
              </a:ext>
            </a:extLst>
          </xdr:cNvPr>
          <xdr:cNvCxnSpPr/>
        </xdr:nvCxnSpPr>
        <xdr:spPr>
          <a:xfrm flipH="1">
            <a:off x="2217505" y="3050303"/>
            <a:ext cx="0" cy="28823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Conector recto 58">
            <a:extLst>
              <a:ext uri="{FF2B5EF4-FFF2-40B4-BE49-F238E27FC236}">
                <a16:creationId xmlns:a16="http://schemas.microsoft.com/office/drawing/2014/main" id="{E4B378D6-F6A5-48C7-BC6F-3D790C87EB0F}"/>
              </a:ext>
            </a:extLst>
          </xdr:cNvPr>
          <xdr:cNvCxnSpPr/>
        </xdr:nvCxnSpPr>
        <xdr:spPr>
          <a:xfrm rot="5400000" flipH="1">
            <a:off x="2391065" y="3153819"/>
            <a:ext cx="0" cy="360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319423</xdr:colOff>
      <xdr:row>205</xdr:row>
      <xdr:rowOff>125727</xdr:rowOff>
    </xdr:from>
    <xdr:to>
      <xdr:col>8</xdr:col>
      <xdr:colOff>1465</xdr:colOff>
      <xdr:row>207</xdr:row>
      <xdr:rowOff>9968</xdr:rowOff>
    </xdr:to>
    <xdr:grpSp>
      <xdr:nvGrpSpPr>
        <xdr:cNvPr id="60" name="Grupo 59">
          <a:extLst>
            <a:ext uri="{FF2B5EF4-FFF2-40B4-BE49-F238E27FC236}">
              <a16:creationId xmlns:a16="http://schemas.microsoft.com/office/drawing/2014/main" id="{A967E7AD-7B2E-4664-99D9-45EAF45C015A}"/>
            </a:ext>
          </a:extLst>
        </xdr:cNvPr>
        <xdr:cNvGrpSpPr/>
      </xdr:nvGrpSpPr>
      <xdr:grpSpPr>
        <a:xfrm>
          <a:off x="2401316" y="11324406"/>
          <a:ext cx="702578" cy="265241"/>
          <a:chOff x="1623868" y="32663115"/>
          <a:chExt cx="459827" cy="298487"/>
        </a:xfrm>
      </xdr:grpSpPr>
      <xdr:grpSp>
        <xdr:nvGrpSpPr>
          <xdr:cNvPr id="61" name="Grupo 60">
            <a:extLst>
              <a:ext uri="{FF2B5EF4-FFF2-40B4-BE49-F238E27FC236}">
                <a16:creationId xmlns:a16="http://schemas.microsoft.com/office/drawing/2014/main" id="{D4DA0D8C-31F1-4D41-B0CA-01E03F110257}"/>
              </a:ext>
            </a:extLst>
          </xdr:cNvPr>
          <xdr:cNvGrpSpPr/>
        </xdr:nvGrpSpPr>
        <xdr:grpSpPr>
          <a:xfrm>
            <a:off x="1623868" y="32663115"/>
            <a:ext cx="458484" cy="292031"/>
            <a:chOff x="1351185" y="2614000"/>
            <a:chExt cx="828000" cy="2584276"/>
          </a:xfrm>
        </xdr:grpSpPr>
        <xdr:cxnSp macro="">
          <xdr:nvCxnSpPr>
            <xdr:cNvPr id="63" name="Conector recto 62">
              <a:extLst>
                <a:ext uri="{FF2B5EF4-FFF2-40B4-BE49-F238E27FC236}">
                  <a16:creationId xmlns:a16="http://schemas.microsoft.com/office/drawing/2014/main" id="{846205E5-0138-4348-8FD0-F1072CE78229}"/>
                </a:ext>
              </a:extLst>
            </xdr:cNvPr>
            <xdr:cNvCxnSpPr/>
          </xdr:nvCxnSpPr>
          <xdr:spPr>
            <a:xfrm rot="5400000" flipH="1">
              <a:off x="1765185" y="4784276"/>
              <a:ext cx="0" cy="828000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4" name="Conector recto 63">
              <a:extLst>
                <a:ext uri="{FF2B5EF4-FFF2-40B4-BE49-F238E27FC236}">
                  <a16:creationId xmlns:a16="http://schemas.microsoft.com/office/drawing/2014/main" id="{3BE2D46C-C1BE-4048-9CA7-9332C754CFCB}"/>
                </a:ext>
              </a:extLst>
            </xdr:cNvPr>
            <xdr:cNvCxnSpPr/>
          </xdr:nvCxnSpPr>
          <xdr:spPr>
            <a:xfrm flipH="1">
              <a:off x="1361905" y="2614000"/>
              <a:ext cx="0" cy="2544790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62" name="Conector recto 61">
            <a:extLst>
              <a:ext uri="{FF2B5EF4-FFF2-40B4-BE49-F238E27FC236}">
                <a16:creationId xmlns:a16="http://schemas.microsoft.com/office/drawing/2014/main" id="{7221D214-568E-42CC-925F-CB0BC2CC9A9C}"/>
              </a:ext>
            </a:extLst>
          </xdr:cNvPr>
          <xdr:cNvCxnSpPr/>
        </xdr:nvCxnSpPr>
        <xdr:spPr>
          <a:xfrm flipH="1">
            <a:off x="2083695" y="32674033"/>
            <a:ext cx="0" cy="28756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58473</xdr:colOff>
      <xdr:row>210</xdr:row>
      <xdr:rowOff>0</xdr:rowOff>
    </xdr:from>
    <xdr:to>
      <xdr:col>7</xdr:col>
      <xdr:colOff>1314</xdr:colOff>
      <xdr:row>212</xdr:row>
      <xdr:rowOff>186700</xdr:rowOff>
    </xdr:to>
    <xdr:grpSp>
      <xdr:nvGrpSpPr>
        <xdr:cNvPr id="65" name="Grupo 64">
          <a:extLst>
            <a:ext uri="{FF2B5EF4-FFF2-40B4-BE49-F238E27FC236}">
              <a16:creationId xmlns:a16="http://schemas.microsoft.com/office/drawing/2014/main" id="{D68CA518-BE3C-4834-B9BF-0F3E52CC5521}"/>
            </a:ext>
          </a:extLst>
        </xdr:cNvPr>
        <xdr:cNvGrpSpPr/>
      </xdr:nvGrpSpPr>
      <xdr:grpSpPr>
        <a:xfrm>
          <a:off x="2480544" y="12151179"/>
          <a:ext cx="283020" cy="567700"/>
          <a:chOff x="2211065" y="3050303"/>
          <a:chExt cx="360000" cy="288239"/>
        </a:xfrm>
      </xdr:grpSpPr>
      <xdr:cxnSp macro="">
        <xdr:nvCxnSpPr>
          <xdr:cNvPr id="66" name="Conector recto 65">
            <a:extLst>
              <a:ext uri="{FF2B5EF4-FFF2-40B4-BE49-F238E27FC236}">
                <a16:creationId xmlns:a16="http://schemas.microsoft.com/office/drawing/2014/main" id="{519DE886-712E-4B17-A984-8D432F487DB5}"/>
              </a:ext>
            </a:extLst>
          </xdr:cNvPr>
          <xdr:cNvCxnSpPr/>
        </xdr:nvCxnSpPr>
        <xdr:spPr>
          <a:xfrm flipH="1">
            <a:off x="2217505" y="3050303"/>
            <a:ext cx="0" cy="28823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Conector recto 66">
            <a:extLst>
              <a:ext uri="{FF2B5EF4-FFF2-40B4-BE49-F238E27FC236}">
                <a16:creationId xmlns:a16="http://schemas.microsoft.com/office/drawing/2014/main" id="{A866C715-739B-44E7-AD4D-2BEADEFBE64B}"/>
              </a:ext>
            </a:extLst>
          </xdr:cNvPr>
          <xdr:cNvCxnSpPr/>
        </xdr:nvCxnSpPr>
        <xdr:spPr>
          <a:xfrm rot="5400000" flipH="1">
            <a:off x="2391065" y="3153819"/>
            <a:ext cx="0" cy="360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269977</xdr:colOff>
      <xdr:row>216</xdr:row>
      <xdr:rowOff>1</xdr:rowOff>
    </xdr:from>
    <xdr:to>
      <xdr:col>8</xdr:col>
      <xdr:colOff>73096</xdr:colOff>
      <xdr:row>216</xdr:row>
      <xdr:rowOff>149967</xdr:rowOff>
    </xdr:to>
    <xdr:grpSp>
      <xdr:nvGrpSpPr>
        <xdr:cNvPr id="68" name="Grupo 67">
          <a:extLst>
            <a:ext uri="{FF2B5EF4-FFF2-40B4-BE49-F238E27FC236}">
              <a16:creationId xmlns:a16="http://schemas.microsoft.com/office/drawing/2014/main" id="{A93B4C20-D0B5-472A-AB3E-F5BD247C6EF1}"/>
            </a:ext>
          </a:extLst>
        </xdr:cNvPr>
        <xdr:cNvGrpSpPr/>
      </xdr:nvGrpSpPr>
      <xdr:grpSpPr>
        <a:xfrm>
          <a:off x="2351870" y="13294180"/>
          <a:ext cx="823655" cy="149966"/>
          <a:chOff x="1623868" y="32476270"/>
          <a:chExt cx="458484" cy="481831"/>
        </a:xfrm>
      </xdr:grpSpPr>
      <xdr:grpSp>
        <xdr:nvGrpSpPr>
          <xdr:cNvPr id="69" name="Grupo 68">
            <a:extLst>
              <a:ext uri="{FF2B5EF4-FFF2-40B4-BE49-F238E27FC236}">
                <a16:creationId xmlns:a16="http://schemas.microsoft.com/office/drawing/2014/main" id="{BBE1BBA1-9FDA-407D-AA78-A3BB58FF69B7}"/>
              </a:ext>
            </a:extLst>
          </xdr:cNvPr>
          <xdr:cNvGrpSpPr/>
        </xdr:nvGrpSpPr>
        <xdr:grpSpPr>
          <a:xfrm>
            <a:off x="1623868" y="32490101"/>
            <a:ext cx="458484" cy="468000"/>
            <a:chOff x="1351185" y="1082946"/>
            <a:chExt cx="828000" cy="4141478"/>
          </a:xfrm>
        </xdr:grpSpPr>
        <xdr:cxnSp macro="">
          <xdr:nvCxnSpPr>
            <xdr:cNvPr id="71" name="Conector recto 70">
              <a:extLst>
                <a:ext uri="{FF2B5EF4-FFF2-40B4-BE49-F238E27FC236}">
                  <a16:creationId xmlns:a16="http://schemas.microsoft.com/office/drawing/2014/main" id="{6038A40F-65F6-42CA-B652-FB84448F18C6}"/>
                </a:ext>
              </a:extLst>
            </xdr:cNvPr>
            <xdr:cNvCxnSpPr/>
          </xdr:nvCxnSpPr>
          <xdr:spPr>
            <a:xfrm rot="5400000" flipH="1">
              <a:off x="1765185" y="4784276"/>
              <a:ext cx="0" cy="828000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" name="Conector recto 71">
              <a:extLst>
                <a:ext uri="{FF2B5EF4-FFF2-40B4-BE49-F238E27FC236}">
                  <a16:creationId xmlns:a16="http://schemas.microsoft.com/office/drawing/2014/main" id="{4DD77F22-125A-412D-9B46-AA32D491ED66}"/>
                </a:ext>
              </a:extLst>
            </xdr:cNvPr>
            <xdr:cNvCxnSpPr/>
          </xdr:nvCxnSpPr>
          <xdr:spPr>
            <a:xfrm flipH="1">
              <a:off x="1355835" y="1082946"/>
              <a:ext cx="0" cy="4141478"/>
            </a:xfrm>
            <a:prstGeom prst="line">
              <a:avLst/>
            </a:prstGeom>
            <a:ln w="28575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70" name="Conector recto 69">
            <a:extLst>
              <a:ext uri="{FF2B5EF4-FFF2-40B4-BE49-F238E27FC236}">
                <a16:creationId xmlns:a16="http://schemas.microsoft.com/office/drawing/2014/main" id="{3E2CC182-C38F-45BD-A56E-9DC59323101C}"/>
              </a:ext>
            </a:extLst>
          </xdr:cNvPr>
          <xdr:cNvCxnSpPr/>
        </xdr:nvCxnSpPr>
        <xdr:spPr>
          <a:xfrm flipH="1">
            <a:off x="2080385" y="32476270"/>
            <a:ext cx="0" cy="476611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282557</xdr:colOff>
      <xdr:row>221</xdr:row>
      <xdr:rowOff>16565</xdr:rowOff>
    </xdr:from>
    <xdr:to>
      <xdr:col>7</xdr:col>
      <xdr:colOff>281609</xdr:colOff>
      <xdr:row>221</xdr:row>
      <xdr:rowOff>16565</xdr:rowOff>
    </xdr:to>
    <xdr:cxnSp macro="">
      <xdr:nvCxnSpPr>
        <xdr:cNvPr id="73" name="Conector recto 72">
          <a:extLst>
            <a:ext uri="{FF2B5EF4-FFF2-40B4-BE49-F238E27FC236}">
              <a16:creationId xmlns:a16="http://schemas.microsoft.com/office/drawing/2014/main" id="{D03C0B98-D3C1-4459-B44E-BF82782FC1B4}"/>
            </a:ext>
          </a:extLst>
        </xdr:cNvPr>
        <xdr:cNvCxnSpPr/>
      </xdr:nvCxnSpPr>
      <xdr:spPr>
        <a:xfrm flipH="1">
          <a:off x="4244957" y="40433045"/>
          <a:ext cx="1584012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23232</xdr:colOff>
      <xdr:row>20</xdr:row>
      <xdr:rowOff>11616</xdr:rowOff>
    </xdr:from>
    <xdr:to>
      <xdr:col>8</xdr:col>
      <xdr:colOff>11616</xdr:colOff>
      <xdr:row>20</xdr:row>
      <xdr:rowOff>11616</xdr:rowOff>
    </xdr:to>
    <xdr:cxnSp macro="">
      <xdr:nvCxnSpPr>
        <xdr:cNvPr id="74" name="Conector recto 73">
          <a:extLst>
            <a:ext uri="{FF2B5EF4-FFF2-40B4-BE49-F238E27FC236}">
              <a16:creationId xmlns:a16="http://schemas.microsoft.com/office/drawing/2014/main" id="{5A71BFCC-841E-4DA0-8D7E-D480B5079846}"/>
            </a:ext>
          </a:extLst>
        </xdr:cNvPr>
        <xdr:cNvCxnSpPr/>
      </xdr:nvCxnSpPr>
      <xdr:spPr>
        <a:xfrm>
          <a:off x="4778112" y="3669216"/>
          <a:ext cx="1573344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23232</xdr:colOff>
      <xdr:row>27</xdr:row>
      <xdr:rowOff>133741</xdr:rowOff>
    </xdr:from>
    <xdr:to>
      <xdr:col>7</xdr:col>
      <xdr:colOff>23471</xdr:colOff>
      <xdr:row>31</xdr:row>
      <xdr:rowOff>11616</xdr:rowOff>
    </xdr:to>
    <xdr:cxnSp macro="">
      <xdr:nvCxnSpPr>
        <xdr:cNvPr id="75" name="Conector recto 74">
          <a:extLst>
            <a:ext uri="{FF2B5EF4-FFF2-40B4-BE49-F238E27FC236}">
              <a16:creationId xmlns:a16="http://schemas.microsoft.com/office/drawing/2014/main" id="{5A1232D8-47A3-4A79-B36C-14B8B96B532F}"/>
            </a:ext>
          </a:extLst>
        </xdr:cNvPr>
        <xdr:cNvCxnSpPr/>
      </xdr:nvCxnSpPr>
      <xdr:spPr>
        <a:xfrm flipV="1">
          <a:off x="5570592" y="5071501"/>
          <a:ext cx="239" cy="609395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133145</xdr:colOff>
      <xdr:row>38</xdr:row>
      <xdr:rowOff>30726</xdr:rowOff>
    </xdr:from>
    <xdr:to>
      <xdr:col>7</xdr:col>
      <xdr:colOff>143387</xdr:colOff>
      <xdr:row>41</xdr:row>
      <xdr:rowOff>20484</xdr:rowOff>
    </xdr:to>
    <xdr:cxnSp macro="">
      <xdr:nvCxnSpPr>
        <xdr:cNvPr id="76" name="Conector recto 75">
          <a:extLst>
            <a:ext uri="{FF2B5EF4-FFF2-40B4-BE49-F238E27FC236}">
              <a16:creationId xmlns:a16="http://schemas.microsoft.com/office/drawing/2014/main" id="{14071E0D-2ABC-4EA1-8024-12C567A8859A}"/>
            </a:ext>
          </a:extLst>
        </xdr:cNvPr>
        <xdr:cNvCxnSpPr/>
      </xdr:nvCxnSpPr>
      <xdr:spPr>
        <a:xfrm flipV="1">
          <a:off x="5680505" y="6980166"/>
          <a:ext cx="10242" cy="538398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85239</xdr:colOff>
      <xdr:row>85</xdr:row>
      <xdr:rowOff>14949</xdr:rowOff>
    </xdr:from>
    <xdr:to>
      <xdr:col>7</xdr:col>
      <xdr:colOff>264956</xdr:colOff>
      <xdr:row>85</xdr:row>
      <xdr:rowOff>14949</xdr:rowOff>
    </xdr:to>
    <xdr:cxnSp macro="">
      <xdr:nvCxnSpPr>
        <xdr:cNvPr id="77" name="Conector recto 76">
          <a:extLst>
            <a:ext uri="{FF2B5EF4-FFF2-40B4-BE49-F238E27FC236}">
              <a16:creationId xmlns:a16="http://schemas.microsoft.com/office/drawing/2014/main" id="{856396CF-C73E-40F1-80F9-0BEC309E0FDB}"/>
            </a:ext>
          </a:extLst>
        </xdr:cNvPr>
        <xdr:cNvCxnSpPr/>
      </xdr:nvCxnSpPr>
      <xdr:spPr>
        <a:xfrm flipH="1">
          <a:off x="5632599" y="15559749"/>
          <a:ext cx="179717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246794</xdr:colOff>
      <xdr:row>87</xdr:row>
      <xdr:rowOff>183641</xdr:rowOff>
    </xdr:from>
    <xdr:to>
      <xdr:col>7</xdr:col>
      <xdr:colOff>426511</xdr:colOff>
      <xdr:row>87</xdr:row>
      <xdr:rowOff>183641</xdr:rowOff>
    </xdr:to>
    <xdr:cxnSp macro="">
      <xdr:nvCxnSpPr>
        <xdr:cNvPr id="78" name="Conector recto 77">
          <a:extLst>
            <a:ext uri="{FF2B5EF4-FFF2-40B4-BE49-F238E27FC236}">
              <a16:creationId xmlns:a16="http://schemas.microsoft.com/office/drawing/2014/main" id="{17AE99B6-4FA8-439C-88EF-72135D48645F}"/>
            </a:ext>
          </a:extLst>
        </xdr:cNvPr>
        <xdr:cNvCxnSpPr/>
      </xdr:nvCxnSpPr>
      <xdr:spPr>
        <a:xfrm flipH="1">
          <a:off x="5794154" y="16094201"/>
          <a:ext cx="179717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112</xdr:row>
      <xdr:rowOff>142875</xdr:rowOff>
    </xdr:from>
    <xdr:to>
      <xdr:col>6</xdr:col>
      <xdr:colOff>276225</xdr:colOff>
      <xdr:row>112</xdr:row>
      <xdr:rowOff>142875</xdr:rowOff>
    </xdr:to>
    <xdr:cxnSp macro="">
      <xdr:nvCxnSpPr>
        <xdr:cNvPr id="79" name="Conector recto 78">
          <a:extLst>
            <a:ext uri="{FF2B5EF4-FFF2-40B4-BE49-F238E27FC236}">
              <a16:creationId xmlns:a16="http://schemas.microsoft.com/office/drawing/2014/main" id="{72556D2D-1285-4265-B174-0CD4B8F06FEA}"/>
            </a:ext>
          </a:extLst>
        </xdr:cNvPr>
        <xdr:cNvCxnSpPr/>
      </xdr:nvCxnSpPr>
      <xdr:spPr>
        <a:xfrm flipH="1">
          <a:off x="4821555" y="20625435"/>
          <a:ext cx="209550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100053</xdr:colOff>
      <xdr:row>137</xdr:row>
      <xdr:rowOff>104054</xdr:rowOff>
    </xdr:from>
    <xdr:to>
      <xdr:col>7</xdr:col>
      <xdr:colOff>319848</xdr:colOff>
      <xdr:row>137</xdr:row>
      <xdr:rowOff>107257</xdr:rowOff>
    </xdr:to>
    <xdr:cxnSp macro="">
      <xdr:nvCxnSpPr>
        <xdr:cNvPr id="80" name="Conector recto 79">
          <a:extLst>
            <a:ext uri="{FF2B5EF4-FFF2-40B4-BE49-F238E27FC236}">
              <a16:creationId xmlns:a16="http://schemas.microsoft.com/office/drawing/2014/main" id="{DE8FC9BD-0741-4C1D-999C-86D6BBF9B887}"/>
            </a:ext>
          </a:extLst>
        </xdr:cNvPr>
        <xdr:cNvCxnSpPr/>
      </xdr:nvCxnSpPr>
      <xdr:spPr>
        <a:xfrm>
          <a:off x="5647413" y="25158614"/>
          <a:ext cx="219795" cy="3203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125</xdr:row>
      <xdr:rowOff>142875</xdr:rowOff>
    </xdr:from>
    <xdr:to>
      <xdr:col>7</xdr:col>
      <xdr:colOff>1</xdr:colOff>
      <xdr:row>127</xdr:row>
      <xdr:rowOff>123825</xdr:rowOff>
    </xdr:to>
    <xdr:cxnSp macro="">
      <xdr:nvCxnSpPr>
        <xdr:cNvPr id="81" name="Conector recto 80">
          <a:extLst>
            <a:ext uri="{FF2B5EF4-FFF2-40B4-BE49-F238E27FC236}">
              <a16:creationId xmlns:a16="http://schemas.microsoft.com/office/drawing/2014/main" id="{1A7E13B6-0408-4BA8-B99B-CD65D28060DD}"/>
            </a:ext>
          </a:extLst>
        </xdr:cNvPr>
        <xdr:cNvCxnSpPr/>
      </xdr:nvCxnSpPr>
      <xdr:spPr>
        <a:xfrm>
          <a:off x="5547360" y="23002875"/>
          <a:ext cx="1" cy="34671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125</xdr:row>
      <xdr:rowOff>28575</xdr:rowOff>
    </xdr:from>
    <xdr:to>
      <xdr:col>7</xdr:col>
      <xdr:colOff>0</xdr:colOff>
      <xdr:row>125</xdr:row>
      <xdr:rowOff>142875</xdr:rowOff>
    </xdr:to>
    <xdr:cxnSp macro="">
      <xdr:nvCxnSpPr>
        <xdr:cNvPr id="82" name="Conector recto 81">
          <a:extLst>
            <a:ext uri="{FF2B5EF4-FFF2-40B4-BE49-F238E27FC236}">
              <a16:creationId xmlns:a16="http://schemas.microsoft.com/office/drawing/2014/main" id="{86C13693-358F-4FA7-9F07-39EA3FCDCB0F}"/>
            </a:ext>
          </a:extLst>
        </xdr:cNvPr>
        <xdr:cNvCxnSpPr/>
      </xdr:nvCxnSpPr>
      <xdr:spPr>
        <a:xfrm flipH="1" flipV="1">
          <a:off x="4916805" y="22888575"/>
          <a:ext cx="630555" cy="11430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409575</xdr:colOff>
      <xdr:row>115</xdr:row>
      <xdr:rowOff>0</xdr:rowOff>
    </xdr:from>
    <xdr:to>
      <xdr:col>6</xdr:col>
      <xdr:colOff>409577</xdr:colOff>
      <xdr:row>117</xdr:row>
      <xdr:rowOff>133350</xdr:rowOff>
    </xdr:to>
    <xdr:cxnSp macro="">
      <xdr:nvCxnSpPr>
        <xdr:cNvPr id="83" name="Conector recto 82">
          <a:extLst>
            <a:ext uri="{FF2B5EF4-FFF2-40B4-BE49-F238E27FC236}">
              <a16:creationId xmlns:a16="http://schemas.microsoft.com/office/drawing/2014/main" id="{9ADD3AB1-270A-48D9-898C-56F1A6E09F22}"/>
            </a:ext>
          </a:extLst>
        </xdr:cNvPr>
        <xdr:cNvCxnSpPr/>
      </xdr:nvCxnSpPr>
      <xdr:spPr>
        <a:xfrm>
          <a:off x="5164455" y="21031200"/>
          <a:ext cx="2" cy="49911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400050</xdr:colOff>
      <xdr:row>117</xdr:row>
      <xdr:rowOff>133350</xdr:rowOff>
    </xdr:from>
    <xdr:to>
      <xdr:col>7</xdr:col>
      <xdr:colOff>171450</xdr:colOff>
      <xdr:row>117</xdr:row>
      <xdr:rowOff>133350</xdr:rowOff>
    </xdr:to>
    <xdr:cxnSp macro="">
      <xdr:nvCxnSpPr>
        <xdr:cNvPr id="84" name="Conector recto 83">
          <a:extLst>
            <a:ext uri="{FF2B5EF4-FFF2-40B4-BE49-F238E27FC236}">
              <a16:creationId xmlns:a16="http://schemas.microsoft.com/office/drawing/2014/main" id="{A14693B6-FD14-4B0D-B48C-27E347472F1B}"/>
            </a:ext>
          </a:extLst>
        </xdr:cNvPr>
        <xdr:cNvCxnSpPr/>
      </xdr:nvCxnSpPr>
      <xdr:spPr>
        <a:xfrm flipH="1">
          <a:off x="5154930" y="21530310"/>
          <a:ext cx="563880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120</xdr:row>
      <xdr:rowOff>19050</xdr:rowOff>
    </xdr:from>
    <xdr:to>
      <xdr:col>7</xdr:col>
      <xdr:colOff>1</xdr:colOff>
      <xdr:row>122</xdr:row>
      <xdr:rowOff>142875</xdr:rowOff>
    </xdr:to>
    <xdr:cxnSp macro="">
      <xdr:nvCxnSpPr>
        <xdr:cNvPr id="85" name="Conector recto 84">
          <a:extLst>
            <a:ext uri="{FF2B5EF4-FFF2-40B4-BE49-F238E27FC236}">
              <a16:creationId xmlns:a16="http://schemas.microsoft.com/office/drawing/2014/main" id="{C80BF448-A222-44C0-836D-1C05C54CBF1E}"/>
            </a:ext>
          </a:extLst>
        </xdr:cNvPr>
        <xdr:cNvCxnSpPr/>
      </xdr:nvCxnSpPr>
      <xdr:spPr>
        <a:xfrm>
          <a:off x="5547360" y="21964650"/>
          <a:ext cx="1" cy="489585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35944</xdr:colOff>
      <xdr:row>130</xdr:row>
      <xdr:rowOff>8986</xdr:rowOff>
    </xdr:from>
    <xdr:to>
      <xdr:col>7</xdr:col>
      <xdr:colOff>38101</xdr:colOff>
      <xdr:row>132</xdr:row>
      <xdr:rowOff>161925</xdr:rowOff>
    </xdr:to>
    <xdr:cxnSp macro="">
      <xdr:nvCxnSpPr>
        <xdr:cNvPr id="86" name="Conector recto 85">
          <a:extLst>
            <a:ext uri="{FF2B5EF4-FFF2-40B4-BE49-F238E27FC236}">
              <a16:creationId xmlns:a16="http://schemas.microsoft.com/office/drawing/2014/main" id="{0CF4EDD2-FCC5-43F4-AB01-4B8A6A72CE1F}"/>
            </a:ext>
          </a:extLst>
        </xdr:cNvPr>
        <xdr:cNvCxnSpPr/>
      </xdr:nvCxnSpPr>
      <xdr:spPr>
        <a:xfrm>
          <a:off x="5583304" y="23783386"/>
          <a:ext cx="2157" cy="51869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428626</xdr:colOff>
      <xdr:row>127</xdr:row>
      <xdr:rowOff>114300</xdr:rowOff>
    </xdr:from>
    <xdr:to>
      <xdr:col>7</xdr:col>
      <xdr:colOff>304800</xdr:colOff>
      <xdr:row>127</xdr:row>
      <xdr:rowOff>114300</xdr:rowOff>
    </xdr:to>
    <xdr:cxnSp macro="">
      <xdr:nvCxnSpPr>
        <xdr:cNvPr id="87" name="Conector recto 86">
          <a:extLst>
            <a:ext uri="{FF2B5EF4-FFF2-40B4-BE49-F238E27FC236}">
              <a16:creationId xmlns:a16="http://schemas.microsoft.com/office/drawing/2014/main" id="{B0C73D6B-B507-457C-B7F9-66BCB89ADFF1}"/>
            </a:ext>
          </a:extLst>
        </xdr:cNvPr>
        <xdr:cNvCxnSpPr/>
      </xdr:nvCxnSpPr>
      <xdr:spPr>
        <a:xfrm flipH="1">
          <a:off x="5183506" y="23340060"/>
          <a:ext cx="668654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402325</xdr:colOff>
      <xdr:row>141</xdr:row>
      <xdr:rowOff>16513</xdr:rowOff>
    </xdr:from>
    <xdr:to>
      <xdr:col>7</xdr:col>
      <xdr:colOff>402325</xdr:colOff>
      <xdr:row>142</xdr:row>
      <xdr:rowOff>6127</xdr:rowOff>
    </xdr:to>
    <xdr:cxnSp macro="">
      <xdr:nvCxnSpPr>
        <xdr:cNvPr id="88" name="Conector recto 87">
          <a:extLst>
            <a:ext uri="{FF2B5EF4-FFF2-40B4-BE49-F238E27FC236}">
              <a16:creationId xmlns:a16="http://schemas.microsoft.com/office/drawing/2014/main" id="{42953154-2051-4AEE-BF1A-292E2E589CC0}"/>
            </a:ext>
          </a:extLst>
        </xdr:cNvPr>
        <xdr:cNvCxnSpPr/>
      </xdr:nvCxnSpPr>
      <xdr:spPr>
        <a:xfrm>
          <a:off x="5949685" y="25802593"/>
          <a:ext cx="0" cy="172494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156082</xdr:colOff>
      <xdr:row>145</xdr:row>
      <xdr:rowOff>180094</xdr:rowOff>
    </xdr:from>
    <xdr:to>
      <xdr:col>7</xdr:col>
      <xdr:colOff>312164</xdr:colOff>
      <xdr:row>145</xdr:row>
      <xdr:rowOff>180096</xdr:rowOff>
    </xdr:to>
    <xdr:cxnSp macro="">
      <xdr:nvCxnSpPr>
        <xdr:cNvPr id="89" name="Conector recto 88">
          <a:extLst>
            <a:ext uri="{FF2B5EF4-FFF2-40B4-BE49-F238E27FC236}">
              <a16:creationId xmlns:a16="http://schemas.microsoft.com/office/drawing/2014/main" id="{7B4423E5-FB32-4EA7-BAE6-7A87D28C0751}"/>
            </a:ext>
          </a:extLst>
        </xdr:cNvPr>
        <xdr:cNvCxnSpPr/>
      </xdr:nvCxnSpPr>
      <xdr:spPr>
        <a:xfrm flipH="1">
          <a:off x="5703442" y="26697694"/>
          <a:ext cx="156082" cy="2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148</xdr:row>
      <xdr:rowOff>24333</xdr:rowOff>
    </xdr:from>
    <xdr:to>
      <xdr:col>7</xdr:col>
      <xdr:colOff>308482</xdr:colOff>
      <xdr:row>148</xdr:row>
      <xdr:rowOff>24335</xdr:rowOff>
    </xdr:to>
    <xdr:cxnSp macro="">
      <xdr:nvCxnSpPr>
        <xdr:cNvPr id="90" name="Conector recto 89">
          <a:extLst>
            <a:ext uri="{FF2B5EF4-FFF2-40B4-BE49-F238E27FC236}">
              <a16:creationId xmlns:a16="http://schemas.microsoft.com/office/drawing/2014/main" id="{68338EC2-9C9F-435A-BF6B-49EEF07C9D2A}"/>
            </a:ext>
          </a:extLst>
        </xdr:cNvPr>
        <xdr:cNvCxnSpPr/>
      </xdr:nvCxnSpPr>
      <xdr:spPr>
        <a:xfrm flipH="1">
          <a:off x="5699760" y="27090573"/>
          <a:ext cx="156082" cy="2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286775</xdr:colOff>
      <xdr:row>94</xdr:row>
      <xdr:rowOff>102420</xdr:rowOff>
    </xdr:from>
    <xdr:to>
      <xdr:col>6</xdr:col>
      <xdr:colOff>286776</xdr:colOff>
      <xdr:row>98</xdr:row>
      <xdr:rowOff>10242</xdr:rowOff>
    </xdr:to>
    <xdr:cxnSp macro="">
      <xdr:nvCxnSpPr>
        <xdr:cNvPr id="91" name="Conector recto 90">
          <a:extLst>
            <a:ext uri="{FF2B5EF4-FFF2-40B4-BE49-F238E27FC236}">
              <a16:creationId xmlns:a16="http://schemas.microsoft.com/office/drawing/2014/main" id="{2ACD0794-8E83-43DD-81A7-0827BEB11BF3}"/>
            </a:ext>
          </a:extLst>
        </xdr:cNvPr>
        <xdr:cNvCxnSpPr/>
      </xdr:nvCxnSpPr>
      <xdr:spPr>
        <a:xfrm flipH="1">
          <a:off x="5041655" y="17293140"/>
          <a:ext cx="1" cy="639342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153629</xdr:colOff>
      <xdr:row>165</xdr:row>
      <xdr:rowOff>3585</xdr:rowOff>
    </xdr:from>
    <xdr:to>
      <xdr:col>8</xdr:col>
      <xdr:colOff>92177</xdr:colOff>
      <xdr:row>165</xdr:row>
      <xdr:rowOff>3585</xdr:rowOff>
    </xdr:to>
    <xdr:cxnSp macro="">
      <xdr:nvCxnSpPr>
        <xdr:cNvPr id="92" name="Conector recto 91">
          <a:extLst>
            <a:ext uri="{FF2B5EF4-FFF2-40B4-BE49-F238E27FC236}">
              <a16:creationId xmlns:a16="http://schemas.microsoft.com/office/drawing/2014/main" id="{B0576A4C-F6ED-42EB-8593-A9F7F1A2428F}"/>
            </a:ext>
          </a:extLst>
        </xdr:cNvPr>
        <xdr:cNvCxnSpPr/>
      </xdr:nvCxnSpPr>
      <xdr:spPr>
        <a:xfrm>
          <a:off x="5700989" y="30178785"/>
          <a:ext cx="731028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92178</xdr:colOff>
      <xdr:row>177</xdr:row>
      <xdr:rowOff>170434</xdr:rowOff>
    </xdr:from>
    <xdr:to>
      <xdr:col>6</xdr:col>
      <xdr:colOff>346267</xdr:colOff>
      <xdr:row>177</xdr:row>
      <xdr:rowOff>174113</xdr:rowOff>
    </xdr:to>
    <xdr:cxnSp macro="">
      <xdr:nvCxnSpPr>
        <xdr:cNvPr id="93" name="Conector recto 92">
          <a:extLst>
            <a:ext uri="{FF2B5EF4-FFF2-40B4-BE49-F238E27FC236}">
              <a16:creationId xmlns:a16="http://schemas.microsoft.com/office/drawing/2014/main" id="{EBF36FD9-AA38-40D1-856C-DEE4D86089B6}"/>
            </a:ext>
          </a:extLst>
        </xdr:cNvPr>
        <xdr:cNvCxnSpPr/>
      </xdr:nvCxnSpPr>
      <xdr:spPr>
        <a:xfrm flipV="1">
          <a:off x="4847058" y="32540194"/>
          <a:ext cx="254089" cy="367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368709</xdr:colOff>
      <xdr:row>180</xdr:row>
      <xdr:rowOff>92177</xdr:rowOff>
    </xdr:from>
    <xdr:to>
      <xdr:col>7</xdr:col>
      <xdr:colOff>369194</xdr:colOff>
      <xdr:row>181</xdr:row>
      <xdr:rowOff>189458</xdr:rowOff>
    </xdr:to>
    <xdr:cxnSp macro="">
      <xdr:nvCxnSpPr>
        <xdr:cNvPr id="94" name="Conector recto 93">
          <a:extLst>
            <a:ext uri="{FF2B5EF4-FFF2-40B4-BE49-F238E27FC236}">
              <a16:creationId xmlns:a16="http://schemas.microsoft.com/office/drawing/2014/main" id="{A093552E-4141-412F-A484-17A70F59880C}"/>
            </a:ext>
          </a:extLst>
        </xdr:cNvPr>
        <xdr:cNvCxnSpPr/>
      </xdr:nvCxnSpPr>
      <xdr:spPr>
        <a:xfrm>
          <a:off x="5916069" y="33010577"/>
          <a:ext cx="485" cy="272541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276533</xdr:colOff>
      <xdr:row>197</xdr:row>
      <xdr:rowOff>172679</xdr:rowOff>
    </xdr:from>
    <xdr:to>
      <xdr:col>7</xdr:col>
      <xdr:colOff>143387</xdr:colOff>
      <xdr:row>197</xdr:row>
      <xdr:rowOff>172679</xdr:rowOff>
    </xdr:to>
    <xdr:cxnSp macro="">
      <xdr:nvCxnSpPr>
        <xdr:cNvPr id="95" name="Conector recto 94">
          <a:extLst>
            <a:ext uri="{FF2B5EF4-FFF2-40B4-BE49-F238E27FC236}">
              <a16:creationId xmlns:a16="http://schemas.microsoft.com/office/drawing/2014/main" id="{10E36C15-EBFF-482B-AD2C-F0B6612AA575}"/>
            </a:ext>
          </a:extLst>
        </xdr:cNvPr>
        <xdr:cNvCxnSpPr/>
      </xdr:nvCxnSpPr>
      <xdr:spPr>
        <a:xfrm flipH="1">
          <a:off x="5031413" y="36200039"/>
          <a:ext cx="659334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58473</xdr:colOff>
      <xdr:row>210</xdr:row>
      <xdr:rowOff>0</xdr:rowOff>
    </xdr:from>
    <xdr:to>
      <xdr:col>6</xdr:col>
      <xdr:colOff>419920</xdr:colOff>
      <xdr:row>210</xdr:row>
      <xdr:rowOff>1</xdr:rowOff>
    </xdr:to>
    <xdr:cxnSp macro="">
      <xdr:nvCxnSpPr>
        <xdr:cNvPr id="96" name="Conector recto 95">
          <a:extLst>
            <a:ext uri="{FF2B5EF4-FFF2-40B4-BE49-F238E27FC236}">
              <a16:creationId xmlns:a16="http://schemas.microsoft.com/office/drawing/2014/main" id="{44FBA6AB-F22D-4913-9B78-8407C77851B9}"/>
            </a:ext>
          </a:extLst>
        </xdr:cNvPr>
        <xdr:cNvCxnSpPr/>
      </xdr:nvCxnSpPr>
      <xdr:spPr>
        <a:xfrm flipH="1">
          <a:off x="4813353" y="38404800"/>
          <a:ext cx="361447" cy="1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282557</xdr:colOff>
      <xdr:row>231</xdr:row>
      <xdr:rowOff>16565</xdr:rowOff>
    </xdr:from>
    <xdr:to>
      <xdr:col>7</xdr:col>
      <xdr:colOff>281609</xdr:colOff>
      <xdr:row>231</xdr:row>
      <xdr:rowOff>16565</xdr:rowOff>
    </xdr:to>
    <xdr:cxnSp macro="">
      <xdr:nvCxnSpPr>
        <xdr:cNvPr id="97" name="Conector recto 96">
          <a:extLst>
            <a:ext uri="{FF2B5EF4-FFF2-40B4-BE49-F238E27FC236}">
              <a16:creationId xmlns:a16="http://schemas.microsoft.com/office/drawing/2014/main" id="{E48AE674-F71B-4F1F-AD08-7E8EFA608BB7}"/>
            </a:ext>
          </a:extLst>
        </xdr:cNvPr>
        <xdr:cNvCxnSpPr/>
      </xdr:nvCxnSpPr>
      <xdr:spPr>
        <a:xfrm flipH="1">
          <a:off x="4244957" y="42261845"/>
          <a:ext cx="1584012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399437</xdr:colOff>
      <xdr:row>224</xdr:row>
      <xdr:rowOff>112661</xdr:rowOff>
    </xdr:from>
    <xdr:to>
      <xdr:col>6</xdr:col>
      <xdr:colOff>409678</xdr:colOff>
      <xdr:row>228</xdr:row>
      <xdr:rowOff>81936</xdr:rowOff>
    </xdr:to>
    <xdr:cxnSp macro="">
      <xdr:nvCxnSpPr>
        <xdr:cNvPr id="98" name="Conector recto 97">
          <a:extLst>
            <a:ext uri="{FF2B5EF4-FFF2-40B4-BE49-F238E27FC236}">
              <a16:creationId xmlns:a16="http://schemas.microsoft.com/office/drawing/2014/main" id="{68E91BAC-A066-4A57-B31F-163867767BD7}"/>
            </a:ext>
          </a:extLst>
        </xdr:cNvPr>
        <xdr:cNvCxnSpPr/>
      </xdr:nvCxnSpPr>
      <xdr:spPr>
        <a:xfrm flipH="1">
          <a:off x="5154317" y="41077781"/>
          <a:ext cx="10241" cy="700795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255443</xdr:colOff>
      <xdr:row>12</xdr:row>
      <xdr:rowOff>169982</xdr:rowOff>
    </xdr:from>
    <xdr:to>
      <xdr:col>6</xdr:col>
      <xdr:colOff>256308</xdr:colOff>
      <xdr:row>13</xdr:row>
      <xdr:rowOff>43295</xdr:rowOff>
    </xdr:to>
    <xdr:cxnSp macro="">
      <xdr:nvCxnSpPr>
        <xdr:cNvPr id="99" name="Conector recto 98">
          <a:extLst>
            <a:ext uri="{FF2B5EF4-FFF2-40B4-BE49-F238E27FC236}">
              <a16:creationId xmlns:a16="http://schemas.microsoft.com/office/drawing/2014/main" id="{8C580694-5AE7-4DFB-B190-2B6E13910083}"/>
            </a:ext>
          </a:extLst>
        </xdr:cNvPr>
        <xdr:cNvCxnSpPr/>
      </xdr:nvCxnSpPr>
      <xdr:spPr>
        <a:xfrm flipH="1">
          <a:off x="5010323" y="2364542"/>
          <a:ext cx="865" cy="56193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267165</xdr:colOff>
      <xdr:row>50</xdr:row>
      <xdr:rowOff>185853</xdr:rowOff>
    </xdr:from>
    <xdr:to>
      <xdr:col>6</xdr:col>
      <xdr:colOff>201279</xdr:colOff>
      <xdr:row>51</xdr:row>
      <xdr:rowOff>0</xdr:rowOff>
    </xdr:to>
    <xdr:cxnSp macro="">
      <xdr:nvCxnSpPr>
        <xdr:cNvPr id="100" name="Conector recto 99">
          <a:extLst>
            <a:ext uri="{FF2B5EF4-FFF2-40B4-BE49-F238E27FC236}">
              <a16:creationId xmlns:a16="http://schemas.microsoft.com/office/drawing/2014/main" id="{C29BB6C0-56A0-4568-B049-2200B605C085}"/>
            </a:ext>
          </a:extLst>
        </xdr:cNvPr>
        <xdr:cNvCxnSpPr/>
      </xdr:nvCxnSpPr>
      <xdr:spPr>
        <a:xfrm flipH="1">
          <a:off x="4229565" y="9329853"/>
          <a:ext cx="726594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252874</xdr:colOff>
      <xdr:row>12</xdr:row>
      <xdr:rowOff>158915</xdr:rowOff>
    </xdr:from>
    <xdr:to>
      <xdr:col>7</xdr:col>
      <xdr:colOff>18443</xdr:colOff>
      <xdr:row>13</xdr:row>
      <xdr:rowOff>29347</xdr:rowOff>
    </xdr:to>
    <xdr:sp macro="" textlink="">
      <xdr:nvSpPr>
        <xdr:cNvPr id="101" name="Arco 100">
          <a:extLst>
            <a:ext uri="{FF2B5EF4-FFF2-40B4-BE49-F238E27FC236}">
              <a16:creationId xmlns:a16="http://schemas.microsoft.com/office/drawing/2014/main" id="{7C0EA5A6-342F-4C64-9F9F-91676730E22C}"/>
            </a:ext>
          </a:extLst>
        </xdr:cNvPr>
        <xdr:cNvSpPr/>
      </xdr:nvSpPr>
      <xdr:spPr>
        <a:xfrm rot="17693941">
          <a:off x="5260123" y="2101106"/>
          <a:ext cx="53312" cy="558049"/>
        </a:xfrm>
        <a:prstGeom prst="arc">
          <a:avLst>
            <a:gd name="adj1" fmla="val 16200000"/>
            <a:gd name="adj2" fmla="val 2463705"/>
          </a:avLst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8</xdr:col>
      <xdr:colOff>25871</xdr:colOff>
      <xdr:row>23</xdr:row>
      <xdr:rowOff>168976</xdr:rowOff>
    </xdr:from>
    <xdr:to>
      <xdr:col>8</xdr:col>
      <xdr:colOff>26077</xdr:colOff>
      <xdr:row>24</xdr:row>
      <xdr:rowOff>165770</xdr:rowOff>
    </xdr:to>
    <xdr:cxnSp macro="">
      <xdr:nvCxnSpPr>
        <xdr:cNvPr id="102" name="Conector recto 101">
          <a:extLst>
            <a:ext uri="{FF2B5EF4-FFF2-40B4-BE49-F238E27FC236}">
              <a16:creationId xmlns:a16="http://schemas.microsoft.com/office/drawing/2014/main" id="{75C279B9-40FF-4453-ABC8-9CF0A1F1811E}"/>
            </a:ext>
          </a:extLst>
        </xdr:cNvPr>
        <xdr:cNvCxnSpPr/>
      </xdr:nvCxnSpPr>
      <xdr:spPr>
        <a:xfrm>
          <a:off x="6365711" y="4375216"/>
          <a:ext cx="206" cy="179674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82921</xdr:colOff>
      <xdr:row>23</xdr:row>
      <xdr:rowOff>165803</xdr:rowOff>
    </xdr:from>
    <xdr:to>
      <xdr:col>6</xdr:col>
      <xdr:colOff>83127</xdr:colOff>
      <xdr:row>24</xdr:row>
      <xdr:rowOff>162597</xdr:rowOff>
    </xdr:to>
    <xdr:cxnSp macro="">
      <xdr:nvCxnSpPr>
        <xdr:cNvPr id="103" name="Conector recto 102">
          <a:extLst>
            <a:ext uri="{FF2B5EF4-FFF2-40B4-BE49-F238E27FC236}">
              <a16:creationId xmlns:a16="http://schemas.microsoft.com/office/drawing/2014/main" id="{DB3AA1C5-054A-4469-B83B-D1BE8BF5B8D6}"/>
            </a:ext>
          </a:extLst>
        </xdr:cNvPr>
        <xdr:cNvCxnSpPr/>
      </xdr:nvCxnSpPr>
      <xdr:spPr>
        <a:xfrm>
          <a:off x="4837801" y="4372043"/>
          <a:ext cx="206" cy="179674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5408</xdr:colOff>
      <xdr:row>44</xdr:row>
      <xdr:rowOff>14201</xdr:rowOff>
    </xdr:from>
    <xdr:to>
      <xdr:col>7</xdr:col>
      <xdr:colOff>311230</xdr:colOff>
      <xdr:row>44</xdr:row>
      <xdr:rowOff>14201</xdr:rowOff>
    </xdr:to>
    <xdr:cxnSp macro="">
      <xdr:nvCxnSpPr>
        <xdr:cNvPr id="104" name="Conector recto 103">
          <a:extLst>
            <a:ext uri="{FF2B5EF4-FFF2-40B4-BE49-F238E27FC236}">
              <a16:creationId xmlns:a16="http://schemas.microsoft.com/office/drawing/2014/main" id="{3B3E557A-D33C-4FF9-82BC-F0DFB28715B5}"/>
            </a:ext>
          </a:extLst>
        </xdr:cNvPr>
        <xdr:cNvCxnSpPr/>
      </xdr:nvCxnSpPr>
      <xdr:spPr>
        <a:xfrm rot="5400000" flipH="1">
          <a:off x="5309439" y="7511770"/>
          <a:ext cx="0" cy="1098302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5408</xdr:colOff>
      <xdr:row>34</xdr:row>
      <xdr:rowOff>14201</xdr:rowOff>
    </xdr:from>
    <xdr:to>
      <xdr:col>7</xdr:col>
      <xdr:colOff>311230</xdr:colOff>
      <xdr:row>34</xdr:row>
      <xdr:rowOff>14201</xdr:rowOff>
    </xdr:to>
    <xdr:cxnSp macro="">
      <xdr:nvCxnSpPr>
        <xdr:cNvPr id="105" name="Conector recto 104">
          <a:extLst>
            <a:ext uri="{FF2B5EF4-FFF2-40B4-BE49-F238E27FC236}">
              <a16:creationId xmlns:a16="http://schemas.microsoft.com/office/drawing/2014/main" id="{CAFCB0A3-B07A-478E-8BF4-C995DB229523}"/>
            </a:ext>
          </a:extLst>
        </xdr:cNvPr>
        <xdr:cNvCxnSpPr/>
      </xdr:nvCxnSpPr>
      <xdr:spPr>
        <a:xfrm rot="5400000" flipH="1">
          <a:off x="5309439" y="5682970"/>
          <a:ext cx="0" cy="1098302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293295</xdr:colOff>
      <xdr:row>33</xdr:row>
      <xdr:rowOff>76334</xdr:rowOff>
    </xdr:from>
    <xdr:to>
      <xdr:col>7</xdr:col>
      <xdr:colOff>296038</xdr:colOff>
      <xdr:row>34</xdr:row>
      <xdr:rowOff>27855</xdr:rowOff>
    </xdr:to>
    <xdr:cxnSp macro="">
      <xdr:nvCxnSpPr>
        <xdr:cNvPr id="106" name="Conector recto 105">
          <a:extLst>
            <a:ext uri="{FF2B5EF4-FFF2-40B4-BE49-F238E27FC236}">
              <a16:creationId xmlns:a16="http://schemas.microsoft.com/office/drawing/2014/main" id="{E68BAC04-8842-4DA2-BD3B-15BCA1A8834F}"/>
            </a:ext>
          </a:extLst>
        </xdr:cNvPr>
        <xdr:cNvCxnSpPr/>
      </xdr:nvCxnSpPr>
      <xdr:spPr>
        <a:xfrm flipH="1" flipV="1">
          <a:off x="5840655" y="6111374"/>
          <a:ext cx="2743" cy="134401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10893</xdr:colOff>
      <xdr:row>33</xdr:row>
      <xdr:rowOff>77906</xdr:rowOff>
    </xdr:from>
    <xdr:to>
      <xdr:col>6</xdr:col>
      <xdr:colOff>13636</xdr:colOff>
      <xdr:row>34</xdr:row>
      <xdr:rowOff>29427</xdr:rowOff>
    </xdr:to>
    <xdr:cxnSp macro="">
      <xdr:nvCxnSpPr>
        <xdr:cNvPr id="107" name="Conector recto 106">
          <a:extLst>
            <a:ext uri="{FF2B5EF4-FFF2-40B4-BE49-F238E27FC236}">
              <a16:creationId xmlns:a16="http://schemas.microsoft.com/office/drawing/2014/main" id="{322414E1-B967-493B-9DED-16594E495E8E}"/>
            </a:ext>
          </a:extLst>
        </xdr:cNvPr>
        <xdr:cNvCxnSpPr/>
      </xdr:nvCxnSpPr>
      <xdr:spPr>
        <a:xfrm flipH="1" flipV="1">
          <a:off x="4765773" y="6112946"/>
          <a:ext cx="2743" cy="134401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131916</xdr:colOff>
      <xdr:row>41</xdr:row>
      <xdr:rowOff>4032</xdr:rowOff>
    </xdr:from>
    <xdr:to>
      <xdr:col>8</xdr:col>
      <xdr:colOff>10242</xdr:colOff>
      <xdr:row>41</xdr:row>
      <xdr:rowOff>5261</xdr:rowOff>
    </xdr:to>
    <xdr:cxnSp macro="">
      <xdr:nvCxnSpPr>
        <xdr:cNvPr id="108" name="Conector recto 107">
          <a:extLst>
            <a:ext uri="{FF2B5EF4-FFF2-40B4-BE49-F238E27FC236}">
              <a16:creationId xmlns:a16="http://schemas.microsoft.com/office/drawing/2014/main" id="{4ED61F08-C74B-41F7-A746-9A0F41F76964}"/>
            </a:ext>
          </a:extLst>
        </xdr:cNvPr>
        <xdr:cNvCxnSpPr/>
      </xdr:nvCxnSpPr>
      <xdr:spPr>
        <a:xfrm>
          <a:off x="5679276" y="7502112"/>
          <a:ext cx="670806" cy="12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277240</xdr:colOff>
      <xdr:row>38</xdr:row>
      <xdr:rowOff>48331</xdr:rowOff>
    </xdr:from>
    <xdr:to>
      <xdr:col>7</xdr:col>
      <xdr:colOff>155566</xdr:colOff>
      <xdr:row>38</xdr:row>
      <xdr:rowOff>49560</xdr:rowOff>
    </xdr:to>
    <xdr:cxnSp macro="">
      <xdr:nvCxnSpPr>
        <xdr:cNvPr id="109" name="Conector recto 108">
          <a:extLst>
            <a:ext uri="{FF2B5EF4-FFF2-40B4-BE49-F238E27FC236}">
              <a16:creationId xmlns:a16="http://schemas.microsoft.com/office/drawing/2014/main" id="{7FA9F8F9-6E8E-4FC2-922C-C38F12C7D308}"/>
            </a:ext>
          </a:extLst>
        </xdr:cNvPr>
        <xdr:cNvCxnSpPr/>
      </xdr:nvCxnSpPr>
      <xdr:spPr>
        <a:xfrm>
          <a:off x="5032120" y="6997771"/>
          <a:ext cx="670806" cy="122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58473</xdr:colOff>
      <xdr:row>200</xdr:row>
      <xdr:rowOff>0</xdr:rowOff>
    </xdr:from>
    <xdr:to>
      <xdr:col>7</xdr:col>
      <xdr:colOff>20053</xdr:colOff>
      <xdr:row>200</xdr:row>
      <xdr:rowOff>0</xdr:rowOff>
    </xdr:to>
    <xdr:cxnSp macro="">
      <xdr:nvCxnSpPr>
        <xdr:cNvPr id="110" name="Conector recto 109">
          <a:extLst>
            <a:ext uri="{FF2B5EF4-FFF2-40B4-BE49-F238E27FC236}">
              <a16:creationId xmlns:a16="http://schemas.microsoft.com/office/drawing/2014/main" id="{E0C48AA0-D602-42F6-B6FC-AB38EC46D8FA}"/>
            </a:ext>
          </a:extLst>
        </xdr:cNvPr>
        <xdr:cNvCxnSpPr/>
      </xdr:nvCxnSpPr>
      <xdr:spPr>
        <a:xfrm flipH="1">
          <a:off x="4813353" y="36576000"/>
          <a:ext cx="754060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1210562</xdr:colOff>
      <xdr:row>5</xdr:row>
      <xdr:rowOff>83952</xdr:rowOff>
    </xdr:from>
    <xdr:ext cx="5459059" cy="2110141"/>
    <xdr:pic>
      <xdr:nvPicPr>
        <xdr:cNvPr id="2" name="Imagen 1">
          <a:extLst>
            <a:ext uri="{FF2B5EF4-FFF2-40B4-BE49-F238E27FC236}">
              <a16:creationId xmlns:a16="http://schemas.microsoft.com/office/drawing/2014/main" id="{7288AE87-6D1F-48BA-B726-9E9135C02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702" y="998352"/>
          <a:ext cx="5459059" cy="2110141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308447</xdr:colOff>
      <xdr:row>14</xdr:row>
      <xdr:rowOff>42808</xdr:rowOff>
    </xdr:from>
    <xdr:to>
      <xdr:col>7</xdr:col>
      <xdr:colOff>220378</xdr:colOff>
      <xdr:row>15</xdr:row>
      <xdr:rowOff>25563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E0B98CF9-92E7-4970-8CBE-D629E0CD3794}"/>
            </a:ext>
          </a:extLst>
        </xdr:cNvPr>
        <xdr:cNvGrpSpPr/>
      </xdr:nvGrpSpPr>
      <xdr:grpSpPr>
        <a:xfrm>
          <a:off x="2381535" y="2575337"/>
          <a:ext cx="606696" cy="173255"/>
          <a:chOff x="1615782" y="2894896"/>
          <a:chExt cx="617821" cy="448707"/>
        </a:xfrm>
      </xdr:grpSpPr>
      <xdr:cxnSp macro="">
        <xdr:nvCxnSpPr>
          <xdr:cNvPr id="3" name="Conector recto 2">
            <a:extLst>
              <a:ext uri="{FF2B5EF4-FFF2-40B4-BE49-F238E27FC236}">
                <a16:creationId xmlns:a16="http://schemas.microsoft.com/office/drawing/2014/main" id="{BEFAE69E-1099-443D-A2BB-91F200677441}"/>
              </a:ext>
            </a:extLst>
          </xdr:cNvPr>
          <xdr:cNvCxnSpPr/>
        </xdr:nvCxnSpPr>
        <xdr:spPr>
          <a:xfrm>
            <a:off x="2213845" y="2894896"/>
            <a:ext cx="3661" cy="448707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Conector recto 3">
            <a:extLst>
              <a:ext uri="{FF2B5EF4-FFF2-40B4-BE49-F238E27FC236}">
                <a16:creationId xmlns:a16="http://schemas.microsoft.com/office/drawing/2014/main" id="{C9BD3FEA-51D1-4F99-A645-2CBEA8702D5F}"/>
              </a:ext>
            </a:extLst>
          </xdr:cNvPr>
          <xdr:cNvCxnSpPr/>
        </xdr:nvCxnSpPr>
        <xdr:spPr>
          <a:xfrm flipH="1">
            <a:off x="1615782" y="3320964"/>
            <a:ext cx="617821" cy="1406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290397</xdr:colOff>
      <xdr:row>24</xdr:row>
      <xdr:rowOff>151006</xdr:rowOff>
    </xdr:from>
    <xdr:to>
      <xdr:col>8</xdr:col>
      <xdr:colOff>34848</xdr:colOff>
      <xdr:row>24</xdr:row>
      <xdr:rowOff>151006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FAF19D1D-6A7A-4AEB-9DFB-0D7E58F565C4}"/>
            </a:ext>
          </a:extLst>
        </xdr:cNvPr>
        <xdr:cNvCxnSpPr/>
      </xdr:nvCxnSpPr>
      <xdr:spPr>
        <a:xfrm flipH="1">
          <a:off x="4214697" y="4540126"/>
          <a:ext cx="2099031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58341</xdr:colOff>
      <xdr:row>19</xdr:row>
      <xdr:rowOff>117724</xdr:rowOff>
    </xdr:from>
    <xdr:to>
      <xdr:col>7</xdr:col>
      <xdr:colOff>128427</xdr:colOff>
      <xdr:row>19</xdr:row>
      <xdr:rowOff>119812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273B89EA-82E0-4926-AAC6-3642D143303F}"/>
            </a:ext>
          </a:extLst>
        </xdr:cNvPr>
        <xdr:cNvCxnSpPr/>
      </xdr:nvCxnSpPr>
      <xdr:spPr>
        <a:xfrm flipV="1">
          <a:off x="3982641" y="3592444"/>
          <a:ext cx="1639806" cy="2088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299663</xdr:colOff>
      <xdr:row>12</xdr:row>
      <xdr:rowOff>139129</xdr:rowOff>
    </xdr:from>
    <xdr:to>
      <xdr:col>5</xdr:col>
      <xdr:colOff>302013</xdr:colOff>
      <xdr:row>15</xdr:row>
      <xdr:rowOff>23232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6654E091-0D64-40BC-8E76-85ECF68BDF60}"/>
            </a:ext>
          </a:extLst>
        </xdr:cNvPr>
        <xdr:cNvCxnSpPr/>
      </xdr:nvCxnSpPr>
      <xdr:spPr>
        <a:xfrm flipH="1" flipV="1">
          <a:off x="4223963" y="2333689"/>
          <a:ext cx="2350" cy="432743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23232</xdr:colOff>
      <xdr:row>23</xdr:row>
      <xdr:rowOff>69695</xdr:rowOff>
    </xdr:from>
    <xdr:to>
      <xdr:col>8</xdr:col>
      <xdr:colOff>23232</xdr:colOff>
      <xdr:row>24</xdr:row>
      <xdr:rowOff>168127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955ADBCD-F19E-4CD8-82DE-2702C84C4D64}"/>
            </a:ext>
          </a:extLst>
        </xdr:cNvPr>
        <xdr:cNvCxnSpPr/>
      </xdr:nvCxnSpPr>
      <xdr:spPr>
        <a:xfrm flipH="1">
          <a:off x="6302112" y="4275935"/>
          <a:ext cx="0" cy="281312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291791</xdr:colOff>
      <xdr:row>23</xdr:row>
      <xdr:rowOff>59473</xdr:rowOff>
    </xdr:from>
    <xdr:to>
      <xdr:col>5</xdr:col>
      <xdr:colOff>291791</xdr:colOff>
      <xdr:row>24</xdr:row>
      <xdr:rowOff>157905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ED469993-5D1A-465E-8F54-F3FAA1A401EF}"/>
            </a:ext>
          </a:extLst>
        </xdr:cNvPr>
        <xdr:cNvCxnSpPr/>
      </xdr:nvCxnSpPr>
      <xdr:spPr>
        <a:xfrm flipH="1">
          <a:off x="4216091" y="4265713"/>
          <a:ext cx="0" cy="281312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7645</xdr:colOff>
      <xdr:row>37</xdr:row>
      <xdr:rowOff>0</xdr:rowOff>
    </xdr:from>
    <xdr:to>
      <xdr:col>7</xdr:col>
      <xdr:colOff>235562</xdr:colOff>
      <xdr:row>37</xdr:row>
      <xdr:rowOff>0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1E10D604-73CE-4313-840B-DD66BB01C7BA}"/>
            </a:ext>
          </a:extLst>
        </xdr:cNvPr>
        <xdr:cNvGrpSpPr/>
      </xdr:nvGrpSpPr>
      <xdr:grpSpPr>
        <a:xfrm rot="5400000">
          <a:off x="2889457" y="6800070"/>
          <a:ext cx="0" cy="227917"/>
          <a:chOff x="1703076" y="23175311"/>
          <a:chExt cx="901010" cy="256189"/>
        </a:xfrm>
      </xdr:grpSpPr>
      <xdr:cxnSp macro="">
        <xdr:nvCxnSpPr>
          <xdr:cNvPr id="11" name="Conector recto 10">
            <a:extLst>
              <a:ext uri="{FF2B5EF4-FFF2-40B4-BE49-F238E27FC236}">
                <a16:creationId xmlns:a16="http://schemas.microsoft.com/office/drawing/2014/main" id="{6AF07C74-0AFD-4D53-8C62-523CAE247BC1}"/>
              </a:ext>
            </a:extLst>
          </xdr:cNvPr>
          <xdr:cNvCxnSpPr/>
        </xdr:nvCxnSpPr>
        <xdr:spPr>
          <a:xfrm rot="5400000" flipH="1">
            <a:off x="2153581" y="22980995"/>
            <a:ext cx="0" cy="90101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Conector recto 11">
            <a:extLst>
              <a:ext uri="{FF2B5EF4-FFF2-40B4-BE49-F238E27FC236}">
                <a16:creationId xmlns:a16="http://schemas.microsoft.com/office/drawing/2014/main" id="{9D689366-92A1-4229-92FD-425ACD1E825D}"/>
              </a:ext>
            </a:extLst>
          </xdr:cNvPr>
          <xdr:cNvCxnSpPr/>
        </xdr:nvCxnSpPr>
        <xdr:spPr>
          <a:xfrm flipH="1">
            <a:off x="1707931" y="23175311"/>
            <a:ext cx="0" cy="25200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212865</xdr:colOff>
      <xdr:row>37</xdr:row>
      <xdr:rowOff>0</xdr:rowOff>
    </xdr:from>
    <xdr:to>
      <xdr:col>7</xdr:col>
      <xdr:colOff>174111</xdr:colOff>
      <xdr:row>37</xdr:row>
      <xdr:rowOff>0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F5D4CEDF-4479-440A-A38D-1B74E2E412A0}"/>
            </a:ext>
          </a:extLst>
        </xdr:cNvPr>
        <xdr:cNvGrpSpPr/>
      </xdr:nvGrpSpPr>
      <xdr:grpSpPr>
        <a:xfrm rot="16200000">
          <a:off x="2787650" y="6759715"/>
          <a:ext cx="0" cy="308628"/>
          <a:chOff x="2211064" y="3050303"/>
          <a:chExt cx="304285" cy="295827"/>
        </a:xfrm>
      </xdr:grpSpPr>
      <xdr:cxnSp macro="">
        <xdr:nvCxnSpPr>
          <xdr:cNvPr id="14" name="Conector recto 13">
            <a:extLst>
              <a:ext uri="{FF2B5EF4-FFF2-40B4-BE49-F238E27FC236}">
                <a16:creationId xmlns:a16="http://schemas.microsoft.com/office/drawing/2014/main" id="{E2CF21F7-3F66-4C55-9346-C40EE901DD33}"/>
              </a:ext>
            </a:extLst>
          </xdr:cNvPr>
          <xdr:cNvCxnSpPr/>
        </xdr:nvCxnSpPr>
        <xdr:spPr>
          <a:xfrm flipH="1">
            <a:off x="2217505" y="3050303"/>
            <a:ext cx="0" cy="28823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Conector recto 14">
            <a:extLst>
              <a:ext uri="{FF2B5EF4-FFF2-40B4-BE49-F238E27FC236}">
                <a16:creationId xmlns:a16="http://schemas.microsoft.com/office/drawing/2014/main" id="{4FA8A523-9D17-4D85-8F15-F4AEB866B633}"/>
              </a:ext>
            </a:extLst>
          </xdr:cNvPr>
          <xdr:cNvCxnSpPr/>
        </xdr:nvCxnSpPr>
        <xdr:spPr>
          <a:xfrm rot="5400000" flipH="1">
            <a:off x="2357052" y="3187832"/>
            <a:ext cx="12310" cy="304285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21405</xdr:colOff>
      <xdr:row>28</xdr:row>
      <xdr:rowOff>42809</xdr:rowOff>
    </xdr:from>
    <xdr:to>
      <xdr:col>7</xdr:col>
      <xdr:colOff>26671</xdr:colOff>
      <xdr:row>30</xdr:row>
      <xdr:rowOff>179070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A1EC4AA8-A867-4331-A5FA-91FF0BB641EE}"/>
            </a:ext>
          </a:extLst>
        </xdr:cNvPr>
        <xdr:cNvCxnSpPr/>
      </xdr:nvCxnSpPr>
      <xdr:spPr>
        <a:xfrm flipH="1" flipV="1">
          <a:off x="5515425" y="5163449"/>
          <a:ext cx="5266" cy="502021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30</xdr:row>
      <xdr:rowOff>167640</xdr:rowOff>
    </xdr:from>
    <xdr:to>
      <xdr:col>7</xdr:col>
      <xdr:colOff>38286</xdr:colOff>
      <xdr:row>30</xdr:row>
      <xdr:rowOff>168590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255899C9-FD8F-4BAB-8C3F-35048969C080}"/>
            </a:ext>
          </a:extLst>
        </xdr:cNvPr>
        <xdr:cNvCxnSpPr/>
      </xdr:nvCxnSpPr>
      <xdr:spPr>
        <a:xfrm flipH="1" flipV="1">
          <a:off x="4880610" y="5654040"/>
          <a:ext cx="651696" cy="95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173505</xdr:colOff>
      <xdr:row>28</xdr:row>
      <xdr:rowOff>26541</xdr:rowOff>
    </xdr:from>
    <xdr:to>
      <xdr:col>7</xdr:col>
      <xdr:colOff>40341</xdr:colOff>
      <xdr:row>28</xdr:row>
      <xdr:rowOff>27491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7647C6A0-F029-4CC8-9AFB-21E4227A66B0}"/>
            </a:ext>
          </a:extLst>
        </xdr:cNvPr>
        <xdr:cNvCxnSpPr/>
      </xdr:nvCxnSpPr>
      <xdr:spPr>
        <a:xfrm flipH="1" flipV="1">
          <a:off x="4882665" y="5147181"/>
          <a:ext cx="651696" cy="95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290397</xdr:colOff>
      <xdr:row>34</xdr:row>
      <xdr:rowOff>151006</xdr:rowOff>
    </xdr:from>
    <xdr:to>
      <xdr:col>8</xdr:col>
      <xdr:colOff>34848</xdr:colOff>
      <xdr:row>34</xdr:row>
      <xdr:rowOff>151006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FA8D6B86-B865-40C3-81AE-F0F2F5B1DE52}"/>
            </a:ext>
          </a:extLst>
        </xdr:cNvPr>
        <xdr:cNvCxnSpPr/>
      </xdr:nvCxnSpPr>
      <xdr:spPr>
        <a:xfrm flipH="1">
          <a:off x="4214697" y="6368926"/>
          <a:ext cx="2099031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23232</xdr:colOff>
      <xdr:row>33</xdr:row>
      <xdr:rowOff>69695</xdr:rowOff>
    </xdr:from>
    <xdr:to>
      <xdr:col>8</xdr:col>
      <xdr:colOff>23232</xdr:colOff>
      <xdr:row>34</xdr:row>
      <xdr:rowOff>168127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02D6144C-1D04-4162-818D-6B6B3CCFEB11}"/>
            </a:ext>
          </a:extLst>
        </xdr:cNvPr>
        <xdr:cNvCxnSpPr/>
      </xdr:nvCxnSpPr>
      <xdr:spPr>
        <a:xfrm flipH="1">
          <a:off x="6302112" y="6104735"/>
          <a:ext cx="0" cy="281312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291791</xdr:colOff>
      <xdr:row>33</xdr:row>
      <xdr:rowOff>59473</xdr:rowOff>
    </xdr:from>
    <xdr:to>
      <xdr:col>5</xdr:col>
      <xdr:colOff>291791</xdr:colOff>
      <xdr:row>34</xdr:row>
      <xdr:rowOff>157905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7C7468A0-AEF5-48FC-9314-C664F9E9A362}"/>
            </a:ext>
          </a:extLst>
        </xdr:cNvPr>
        <xdr:cNvCxnSpPr/>
      </xdr:nvCxnSpPr>
      <xdr:spPr>
        <a:xfrm flipH="1">
          <a:off x="4216091" y="6094513"/>
          <a:ext cx="0" cy="281312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477819</xdr:colOff>
      <xdr:row>5</xdr:row>
      <xdr:rowOff>103826</xdr:rowOff>
    </xdr:from>
    <xdr:ext cx="3650646" cy="2183936"/>
    <xdr:pic>
      <xdr:nvPicPr>
        <xdr:cNvPr id="2" name="Imagen 1">
          <a:extLst>
            <a:ext uri="{FF2B5EF4-FFF2-40B4-BE49-F238E27FC236}">
              <a16:creationId xmlns:a16="http://schemas.microsoft.com/office/drawing/2014/main" id="{14B0C526-F668-48BD-8ABF-907F84EC89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476"/>
        <a:stretch/>
      </xdr:blipFill>
      <xdr:spPr>
        <a:xfrm>
          <a:off x="1262679" y="1018226"/>
          <a:ext cx="3650646" cy="2183936"/>
        </a:xfrm>
        <a:prstGeom prst="rect">
          <a:avLst/>
        </a:prstGeom>
      </xdr:spPr>
    </xdr:pic>
    <xdr:clientData/>
  </xdr:oneCellAnchor>
  <xdr:oneCellAnchor>
    <xdr:from>
      <xdr:col>1</xdr:col>
      <xdr:colOff>4355387</xdr:colOff>
      <xdr:row>5</xdr:row>
      <xdr:rowOff>84628</xdr:rowOff>
    </xdr:from>
    <xdr:ext cx="2653031" cy="2153973"/>
    <xdr:pic>
      <xdr:nvPicPr>
        <xdr:cNvPr id="3" name="Imagen 2">
          <a:extLst>
            <a:ext uri="{FF2B5EF4-FFF2-40B4-BE49-F238E27FC236}">
              <a16:creationId xmlns:a16="http://schemas.microsoft.com/office/drawing/2014/main" id="{EA52BF7E-9746-49DF-917A-C8C68B70E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467" y="999028"/>
          <a:ext cx="2653031" cy="2153973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308447</xdr:colOff>
      <xdr:row>12</xdr:row>
      <xdr:rowOff>125691</xdr:rowOff>
    </xdr:from>
    <xdr:to>
      <xdr:col>7</xdr:col>
      <xdr:colOff>220378</xdr:colOff>
      <xdr:row>14</xdr:row>
      <xdr:rowOff>5079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A3E409BC-A721-4FD8-A831-54BC40B31CF8}"/>
            </a:ext>
          </a:extLst>
        </xdr:cNvPr>
        <xdr:cNvGrpSpPr/>
      </xdr:nvGrpSpPr>
      <xdr:grpSpPr>
        <a:xfrm>
          <a:off x="2381535" y="2770279"/>
          <a:ext cx="606696" cy="260388"/>
          <a:chOff x="1615782" y="2668873"/>
          <a:chExt cx="617821" cy="674730"/>
        </a:xfrm>
      </xdr:grpSpPr>
      <xdr:cxnSp macro="">
        <xdr:nvCxnSpPr>
          <xdr:cNvPr id="3" name="Conector recto 2">
            <a:extLst>
              <a:ext uri="{FF2B5EF4-FFF2-40B4-BE49-F238E27FC236}">
                <a16:creationId xmlns:a16="http://schemas.microsoft.com/office/drawing/2014/main" id="{D93008F9-D1A7-4D39-8889-5F1D760EB716}"/>
              </a:ext>
            </a:extLst>
          </xdr:cNvPr>
          <xdr:cNvCxnSpPr/>
        </xdr:nvCxnSpPr>
        <xdr:spPr>
          <a:xfrm flipH="1">
            <a:off x="2217505" y="2668873"/>
            <a:ext cx="1438" cy="67473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Conector recto 3">
            <a:extLst>
              <a:ext uri="{FF2B5EF4-FFF2-40B4-BE49-F238E27FC236}">
                <a16:creationId xmlns:a16="http://schemas.microsoft.com/office/drawing/2014/main" id="{7DEA04CA-249D-41E6-9C1F-5B61CF04036D}"/>
              </a:ext>
            </a:extLst>
          </xdr:cNvPr>
          <xdr:cNvCxnSpPr/>
        </xdr:nvCxnSpPr>
        <xdr:spPr>
          <a:xfrm flipH="1">
            <a:off x="1615782" y="3320964"/>
            <a:ext cx="617821" cy="1406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290397</xdr:colOff>
      <xdr:row>23</xdr:row>
      <xdr:rowOff>151006</xdr:rowOff>
    </xdr:from>
    <xdr:to>
      <xdr:col>8</xdr:col>
      <xdr:colOff>34848</xdr:colOff>
      <xdr:row>23</xdr:row>
      <xdr:rowOff>151006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3D53F79A-4409-4100-BF52-F1C2FACC86B5}"/>
            </a:ext>
          </a:extLst>
        </xdr:cNvPr>
        <xdr:cNvCxnSpPr/>
      </xdr:nvCxnSpPr>
      <xdr:spPr>
        <a:xfrm flipH="1">
          <a:off x="4214697" y="4357246"/>
          <a:ext cx="2099031" cy="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26671</xdr:colOff>
      <xdr:row>27</xdr:row>
      <xdr:rowOff>33227</xdr:rowOff>
    </xdr:from>
    <xdr:to>
      <xdr:col>7</xdr:col>
      <xdr:colOff>33227</xdr:colOff>
      <xdr:row>29</xdr:row>
      <xdr:rowOff>179071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FD67D06C-D6C7-415B-93D2-F49FD5779B20}"/>
            </a:ext>
          </a:extLst>
        </xdr:cNvPr>
        <xdr:cNvCxnSpPr/>
      </xdr:nvCxnSpPr>
      <xdr:spPr>
        <a:xfrm flipV="1">
          <a:off x="5520691" y="4970987"/>
          <a:ext cx="6556" cy="511604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5408</xdr:colOff>
      <xdr:row>32</xdr:row>
      <xdr:rowOff>169259</xdr:rowOff>
    </xdr:from>
    <xdr:to>
      <xdr:col>8</xdr:col>
      <xdr:colOff>1113</xdr:colOff>
      <xdr:row>32</xdr:row>
      <xdr:rowOff>169259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F152DC1E-FDA0-47F2-8D2C-18D8A46F67F3}"/>
            </a:ext>
          </a:extLst>
        </xdr:cNvPr>
        <xdr:cNvCxnSpPr/>
      </xdr:nvCxnSpPr>
      <xdr:spPr>
        <a:xfrm rot="5400000" flipH="1">
          <a:off x="5497281" y="5238706"/>
          <a:ext cx="0" cy="1565425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231</xdr:colOff>
      <xdr:row>12</xdr:row>
      <xdr:rowOff>141460</xdr:rowOff>
    </xdr:from>
    <xdr:to>
      <xdr:col>6</xdr:col>
      <xdr:colOff>4715</xdr:colOff>
      <xdr:row>14</xdr:row>
      <xdr:rowOff>23231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FDB3BF27-770F-4463-88C7-A8BB8D1C2FAF}"/>
            </a:ext>
          </a:extLst>
        </xdr:cNvPr>
        <xdr:cNvCxnSpPr/>
      </xdr:nvCxnSpPr>
      <xdr:spPr>
        <a:xfrm flipV="1">
          <a:off x="4709391" y="2336020"/>
          <a:ext cx="4484" cy="247531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23232</xdr:colOff>
      <xdr:row>22</xdr:row>
      <xdr:rowOff>69695</xdr:rowOff>
    </xdr:from>
    <xdr:to>
      <xdr:col>8</xdr:col>
      <xdr:colOff>23232</xdr:colOff>
      <xdr:row>23</xdr:row>
      <xdr:rowOff>168127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36751336-DA98-4590-8889-F1B2E1D7F13C}"/>
            </a:ext>
          </a:extLst>
        </xdr:cNvPr>
        <xdr:cNvCxnSpPr/>
      </xdr:nvCxnSpPr>
      <xdr:spPr>
        <a:xfrm flipH="1">
          <a:off x="6302112" y="4093055"/>
          <a:ext cx="0" cy="281312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291791</xdr:colOff>
      <xdr:row>22</xdr:row>
      <xdr:rowOff>59473</xdr:rowOff>
    </xdr:from>
    <xdr:to>
      <xdr:col>5</xdr:col>
      <xdr:colOff>291791</xdr:colOff>
      <xdr:row>23</xdr:row>
      <xdr:rowOff>157905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E8E8E46A-507D-464F-A000-20549D0BEE3E}"/>
            </a:ext>
          </a:extLst>
        </xdr:cNvPr>
        <xdr:cNvCxnSpPr/>
      </xdr:nvCxnSpPr>
      <xdr:spPr>
        <a:xfrm flipH="1">
          <a:off x="4216091" y="4082833"/>
          <a:ext cx="0" cy="281312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29</xdr:row>
      <xdr:rowOff>167640</xdr:rowOff>
    </xdr:from>
    <xdr:to>
      <xdr:col>7</xdr:col>
      <xdr:colOff>38286</xdr:colOff>
      <xdr:row>29</xdr:row>
      <xdr:rowOff>168590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59179376-F0A5-42CF-B80E-E03623FA5F02}"/>
            </a:ext>
          </a:extLst>
        </xdr:cNvPr>
        <xdr:cNvCxnSpPr/>
      </xdr:nvCxnSpPr>
      <xdr:spPr>
        <a:xfrm flipH="1" flipV="1">
          <a:off x="4880610" y="5471160"/>
          <a:ext cx="651696" cy="95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151602</xdr:colOff>
      <xdr:row>27</xdr:row>
      <xdr:rowOff>27910</xdr:rowOff>
    </xdr:from>
    <xdr:to>
      <xdr:col>7</xdr:col>
      <xdr:colOff>18438</xdr:colOff>
      <xdr:row>27</xdr:row>
      <xdr:rowOff>28860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3CB0C026-0D1E-417C-96B3-D30C9DCF5389}"/>
            </a:ext>
          </a:extLst>
        </xdr:cNvPr>
        <xdr:cNvCxnSpPr/>
      </xdr:nvCxnSpPr>
      <xdr:spPr>
        <a:xfrm flipH="1" flipV="1">
          <a:off x="4860762" y="4965670"/>
          <a:ext cx="651696" cy="95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308447</xdr:colOff>
      <xdr:row>18</xdr:row>
      <xdr:rowOff>76200</xdr:rowOff>
    </xdr:from>
    <xdr:to>
      <xdr:col>7</xdr:col>
      <xdr:colOff>220378</xdr:colOff>
      <xdr:row>19</xdr:row>
      <xdr:rowOff>133350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CFD59903-3A32-4CDC-9DDC-C729615E28B8}"/>
            </a:ext>
          </a:extLst>
        </xdr:cNvPr>
        <xdr:cNvGrpSpPr/>
      </xdr:nvGrpSpPr>
      <xdr:grpSpPr>
        <a:xfrm>
          <a:off x="2381535" y="3863788"/>
          <a:ext cx="606696" cy="247650"/>
          <a:chOff x="1615782" y="2668873"/>
          <a:chExt cx="617821" cy="674730"/>
        </a:xfrm>
      </xdr:grpSpPr>
      <xdr:cxnSp macro="">
        <xdr:nvCxnSpPr>
          <xdr:cNvPr id="14" name="Conector recto 13">
            <a:extLst>
              <a:ext uri="{FF2B5EF4-FFF2-40B4-BE49-F238E27FC236}">
                <a16:creationId xmlns:a16="http://schemas.microsoft.com/office/drawing/2014/main" id="{A8E1C776-2283-488A-A19A-C64F3A73ACE1}"/>
              </a:ext>
            </a:extLst>
          </xdr:cNvPr>
          <xdr:cNvCxnSpPr/>
        </xdr:nvCxnSpPr>
        <xdr:spPr>
          <a:xfrm flipH="1">
            <a:off x="2217505" y="2668873"/>
            <a:ext cx="1438" cy="674730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Conector recto 14">
            <a:extLst>
              <a:ext uri="{FF2B5EF4-FFF2-40B4-BE49-F238E27FC236}">
                <a16:creationId xmlns:a16="http://schemas.microsoft.com/office/drawing/2014/main" id="{00C3A236-BC3E-4353-B4A7-D5117198E0FB}"/>
              </a:ext>
            </a:extLst>
          </xdr:cNvPr>
          <xdr:cNvCxnSpPr/>
        </xdr:nvCxnSpPr>
        <xdr:spPr>
          <a:xfrm flipH="1">
            <a:off x="1615782" y="3320964"/>
            <a:ext cx="617821" cy="14069"/>
          </a:xfrm>
          <a:prstGeom prst="line">
            <a:avLst/>
          </a:prstGeom>
          <a:ln w="28575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4715</xdr:colOff>
      <xdr:row>16</xdr:row>
      <xdr:rowOff>170036</xdr:rowOff>
    </xdr:from>
    <xdr:to>
      <xdr:col>6</xdr:col>
      <xdr:colOff>9525</xdr:colOff>
      <xdr:row>19</xdr:row>
      <xdr:rowOff>142875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5F3CA57B-6341-4D68-A0A7-AC0B1731EA75}"/>
            </a:ext>
          </a:extLst>
        </xdr:cNvPr>
        <xdr:cNvCxnSpPr/>
      </xdr:nvCxnSpPr>
      <xdr:spPr>
        <a:xfrm flipH="1" flipV="1">
          <a:off x="4713875" y="3096116"/>
          <a:ext cx="4810" cy="521479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26671</xdr:colOff>
      <xdr:row>37</xdr:row>
      <xdr:rowOff>33227</xdr:rowOff>
    </xdr:from>
    <xdr:to>
      <xdr:col>7</xdr:col>
      <xdr:colOff>33227</xdr:colOff>
      <xdr:row>39</xdr:row>
      <xdr:rowOff>179071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B2D1BD45-620E-4256-AEF8-68205A0AA1AA}"/>
            </a:ext>
          </a:extLst>
        </xdr:cNvPr>
        <xdr:cNvCxnSpPr/>
      </xdr:nvCxnSpPr>
      <xdr:spPr>
        <a:xfrm flipV="1">
          <a:off x="5520691" y="6799787"/>
          <a:ext cx="6556" cy="511604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39</xdr:row>
      <xdr:rowOff>167640</xdr:rowOff>
    </xdr:from>
    <xdr:to>
      <xdr:col>7</xdr:col>
      <xdr:colOff>38286</xdr:colOff>
      <xdr:row>39</xdr:row>
      <xdr:rowOff>168590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C6688D9F-9D9E-4906-8CF4-5B2B9951116F}"/>
            </a:ext>
          </a:extLst>
        </xdr:cNvPr>
        <xdr:cNvCxnSpPr/>
      </xdr:nvCxnSpPr>
      <xdr:spPr>
        <a:xfrm flipH="1" flipV="1">
          <a:off x="4880610" y="7299960"/>
          <a:ext cx="651696" cy="95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151602</xdr:colOff>
      <xdr:row>37</xdr:row>
      <xdr:rowOff>27910</xdr:rowOff>
    </xdr:from>
    <xdr:to>
      <xdr:col>7</xdr:col>
      <xdr:colOff>18438</xdr:colOff>
      <xdr:row>37</xdr:row>
      <xdr:rowOff>28860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C45A1F76-BEED-4DF1-95DA-B3FF0F135C4F}"/>
            </a:ext>
          </a:extLst>
        </xdr:cNvPr>
        <xdr:cNvCxnSpPr/>
      </xdr:nvCxnSpPr>
      <xdr:spPr>
        <a:xfrm flipH="1" flipV="1">
          <a:off x="4860762" y="6794470"/>
          <a:ext cx="651696" cy="950"/>
        </a:xfrm>
        <a:prstGeom prst="line">
          <a:avLst/>
        </a:prstGeom>
        <a:ln w="28575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\\CAD001\Users\MANECO\Desktop\CONHYDRA%20Huancavelica%202012\Modelos%20PIP's\Mis%20documentos\Ray\trabajos%20viceministerio%20saneamiento\PROYECTOS\perfiles%20tipicos\perfil%20de%20proyecto\perfiles%20varios\Perfil%20Primavera\datos%20perfil\datos%20para%20primavera.xls?332B4B42" TargetMode="External"/><Relationship Id="rId1" Type="http://schemas.openxmlformats.org/officeDocument/2006/relationships/externalLinkPath" Target="file:///\\332B4B42\datos%20para%20primaver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D001\Users\MANECO\Desktop\CONHYDRA%20Huancavelica%202012\Modelos%20PIP's\CESAR\PRIMAVERA\3-%20PERFIL%20PRIMAVERA%20OK%20OK%20OK%2020-8-04%20y%2020-8-05\Al%2029-08-2005\Copia%20de%20E.Econ&#243;mica%20Primavera-levantado%20observa%2029-08-05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\\LT-GONY\Users\Users\Galvan%20De%20La%20Cruz\Desktop\Mis%20documentos\Ray\trabajos%20viceministerio%20saneamiento\PROYECTOS\perfiles%20tipicos\perfil%20de%20proyecto\perfiles%20varios\Perfil%20Primavera\datos%20perfil\datos%20para%20primavera.xls?81FEB24F" TargetMode="External"/><Relationship Id="rId1" Type="http://schemas.openxmlformats.org/officeDocument/2006/relationships/externalLinkPath" Target="file:///\\81FEB24F\datos%20para%20primaver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arpeta%20Publica\BGARCIA\APMIGUELPAMPA\METRADOS%20GENERALES%20-%20MIGUELPAMP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Carpeta%20Publica\BGARCIA\APMIGUELPAMPA\METRADOS%20GENERALES%20-%20MIGUELPAMP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arpeta%20Publica\BGARCIA\APMIGUELPAMPA\METRADOS%20GENERALES%20-%20MIGUELPAMP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Carpeta%20Publica/BGARCIA/APMIGUELPAMPA/METRADOS%20GENERALES%20-%20MIGUELPAMP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D001\CESAR\PRIMAVERA\3-%20PERFIL%20PRIMAVERA%20OK%20OK%20OK%2020-8-04%20y%2020-8-05\Al%2029-08-2005\Copia%20de%20E.Econ&#243;mica%20Primavera-levantado%20observa%2029-08-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ello\c\NELLY\nelly\lambayeque\000%20CN%20San%20Jos&#233;%20-%20Exp%20Tec%20Reform%20metrado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LCHOR\Proyectos%202013\19.-AGUA%20POTABLE%20Y%20ALCANTARILLADO\PIP%20SAP%20SAL%20MANTARO\Metrados\METRADOS%20AGUA%20Y%20SAL%20MANTARO-TERESA\MODIFIC.PARA%20ALIMTAR%20A%20S10\metrados%20(ver%201)%20corregidos%20por%20luka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D001\Users\MANECO\Desktop\CONHYDRA%20Huancavelica%202012\Modelos%20PIP's\colca%20octubre%2025\Control%20de%20Calidad\C.ROSALES2002\BCEOM1\4SANRA~1\VOL-I\CONSRA~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D001\Mis%20documentos\Ray\trabajos%20viceministerio%20saneamiento\PROYECTOS\perfiles%20tipicos\perfil%20de%20proyecto\perfiles%20varios\Perfil%20Primavera\datos%20perfil\datos%20para%20primaver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LCHOR\Grupo1Item3%20Piura%20Ayabaca\INFORME\PRESUPUESTO\modelo%20expediente\13.%20Comenderos%20Alto\TOMO%20II%20-%20METRADOS%20Y%20PRESUPUESTOS\2.1.%20METRADOS\1.%20METRADO%20SAP%20COMENDEROS%20ALTO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Y_ING\C940\Cliente\Base%20de%20Precio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LCHOR\Grupo1Item5%20Cajamarca%20San%20Ignacio\INFORMES\5%20INFO%204-FINAL%20EXP%20TECNICO\3.0%20LOCAL%203ER%20GRUPO\25%20SUPAYACU\TOMO%20II_METRADOS%20Y%20PPTOS\1.%20METRADOS\METRADOS%20SAP\METRADOS%20SAP%20-%20SUPYACU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LCHOR\Grupo4Item8%20Cusco\Grupo1Item5%20Cajamarca%20San%20Ignacio\INFORMES\5%20INFO%204-FINAL%20EXP%20TECNICO\3.0%20LOCAL%203ER%20GRUPO\25%20SUPAYACU\TOMO%20II_METRADOS%20Y%20PPTOS\1.%20METRADOS\METRADOS%20SAP\METRADOS%20SAP%20-%20SUPYACU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LCHOR\Grupo1Item8%20Cajamarca%20Chota\INFORME\5%20INF%204-EXPED%20TECNICO\A.%201er%20GRUPO\4.%20TAURIPAMPA\TOMO%20II_METRADOS%20Y%20PPTOS\1.%20METRADOS\METRADO%20SAP\METRADOS%20SAP%20TAURIPAMP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D001\Users\MANECO\Desktop\CONHYDRA%20Huancavelica%202012\Modelos%20PIP's\Mis%20documentos\PERFIL%20STA.%20ROSA\informe%20final%2022.04.05\Evaluaci&#243;n%20Econ&#243;mica%20por%20llenar%20-%20Humedale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D001\Users\MANECO\Desktop\CONHYDRA%20Huancavelica%202012\Modelos%20PIP's\colca%20octubre%2025\CALC%20DEMANDA%20%20AP%20Y%20ALC-FINAL-SR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UDER\FONCODES\FONCODES%20TRUJILLO\TRUJILLO%202009\INFORMACION%20AYUDA%20LA%20ACHIRA\PIURA\Metrados%20generale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ERFILES\Perfiles%20Diciembre\CINTHIA\033%20VMT_3%20MARIAS%20Y%20COMITE%2047\Ejemplo\Cuadros%20Perfil%20PIP%2005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microsoft.com/office/2019/04/relationships/externalLinkLongPath" Target="file:///\\MELCHOR\Grupo1Item7%20Cajamarca%20Celendin\Proyectos%202013\19.-AGUA%20POTABLE%20Y%20ALCANTARILLADO\PIP%20SAP%20SAL%20MANTARO\Metrados\METRADOS%20AGUA%20Y%20SAL%20MANTARO-TERESA\MODIFIC.PARA%20ALIMTAR%20A%20S10\metrados%20(ver%201)%20corregidos%20por%20lukas.xls?35D355F1" TargetMode="External"/><Relationship Id="rId1" Type="http://schemas.openxmlformats.org/officeDocument/2006/relationships/externalLinkPath" Target="file:///\\35D355F1\metrados%20(ver%201)%20corregidos%20por%20luka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LCHOR\Grupo4Item8%20Cusco\Proyectos%202013\19.-AGUA%20POTABLE%20Y%20ALCANTARILLADO\PIP%20SAP%20SAL%20MANTARO\Metrados\METRADOS%20AGUA%20Y%20SAL%20MANTARO-TERESA\MODIFIC.PARA%20ALIMTAR%20A%20S10\metrados%20(ver%201)%20corregidos%20por%20luka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D001\PERFILES\Perfiles%20Diciembre\CINTHIA\033%20VMT_3%20MARIAS%20Y%20COMITE%2047\Ejemplo\Cuadros%20Perfil%20PIP%2005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UDER\GRA%20PROYECTISTA\BALCON\METRADO%20ESTRUCTURAS%20AGUA%20POTABLE-orig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CARAMPAYOG/PIZARRO/PLANOS%20Y%20METRADOS%20ORIGINALES%20CARAMPAYOG/05%20METRADOS%20FINALES%20CARAMP/03.-Captacion%20Barraje%20&#10004;%201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shiba/Desktop/ffffff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so"/>
      <sheetName val="Poblacion"/>
      <sheetName val="Dato"/>
      <sheetName val="Usuarios"/>
      <sheetName val="Usuarios Potencial"/>
      <sheetName val="Demanda Pasiva Agua"/>
      <sheetName val="Demanda Pasiva Alcant"/>
      <sheetName val="Grafpasagua"/>
      <sheetName val="Grafpasalc"/>
      <sheetName val="Metas"/>
      <sheetName val="Demanda Activa Agua"/>
      <sheetName val="GrafActAgua"/>
      <sheetName val="Demanda Activa Alcant"/>
      <sheetName val="GrafActAlc"/>
      <sheetName val="Oferta de Agua"/>
      <sheetName val="Grafoferprog"/>
      <sheetName val="Caudales de Diseño"/>
      <sheetName val="Contribucion"/>
      <sheetName val="Grafcontri"/>
      <sheetName val="Caudales de Diseño alc."/>
      <sheetName val="DiagnostAg"/>
      <sheetName val="Captacion"/>
      <sheetName val="PreTratamiento"/>
      <sheetName val="ConduCruda"/>
      <sheetName val="Tratamiento"/>
      <sheetName val="ConduTratada"/>
      <sheetName val="Almacena"/>
      <sheetName val="AducciónTratada"/>
      <sheetName val="EstBombeo"/>
      <sheetName val="RedPrimaria"/>
      <sheetName val="RedSecond"/>
      <sheetName val="ConexDomici"/>
      <sheetName val="PMedidores"/>
      <sheetName val="Colectores Primarios"/>
      <sheetName val="Colectores Secundarios"/>
      <sheetName val="Trat.AguasServ."/>
      <sheetName val="Emisores"/>
      <sheetName val="ConexDesa"/>
      <sheetName val="PMIO(Operativo)"/>
      <sheetName val="PMIO(Rehab)"/>
      <sheetName val="Inv.Agua.Potable"/>
      <sheetName val="InvAlcantarillado"/>
      <sheetName val="Vol.Venta"/>
      <sheetName val="Módulo2"/>
      <sheetName val="Módulo1"/>
    </sheetNames>
    <sheetDataSet>
      <sheetData sheetId="0"/>
      <sheetData sheetId="1"/>
      <sheetData sheetId="2"/>
      <sheetData sheetId="3"/>
      <sheetData sheetId="4"/>
      <sheetData sheetId="5">
        <row r="14">
          <cell r="R14">
            <v>91242.826576430583</v>
          </cell>
        </row>
      </sheetData>
      <sheetData sheetId="6"/>
      <sheetData sheetId="7"/>
      <sheetData sheetId="8"/>
      <sheetData sheetId="9"/>
      <sheetData sheetId="10">
        <row r="14">
          <cell r="R14">
            <v>91242.826576430598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1">
          <cell r="S11">
            <v>439.43978090815921</v>
          </cell>
          <cell r="T11">
            <v>320</v>
          </cell>
        </row>
        <row r="12">
          <cell r="S12">
            <v>9.3253804348322724</v>
          </cell>
          <cell r="T12">
            <v>320</v>
          </cell>
        </row>
        <row r="13">
          <cell r="S13">
            <v>7.33585324922133</v>
          </cell>
          <cell r="T13">
            <v>320</v>
          </cell>
        </row>
        <row r="14">
          <cell r="S14">
            <v>6.5770264464428356</v>
          </cell>
          <cell r="T14">
            <v>320</v>
          </cell>
        </row>
        <row r="15">
          <cell r="S15">
            <v>6.406896432338983</v>
          </cell>
          <cell r="T15">
            <v>320</v>
          </cell>
        </row>
        <row r="16">
          <cell r="S16">
            <v>6.2666682071846456</v>
          </cell>
          <cell r="T16">
            <v>320</v>
          </cell>
        </row>
        <row r="17">
          <cell r="S17">
            <v>6.3864849659214959</v>
          </cell>
          <cell r="T17">
            <v>320</v>
          </cell>
        </row>
        <row r="18">
          <cell r="S18">
            <v>6.507298141176773</v>
          </cell>
          <cell r="T18">
            <v>320</v>
          </cell>
        </row>
        <row r="19">
          <cell r="S19">
            <v>6.6291094254886618</v>
          </cell>
          <cell r="T19">
            <v>320</v>
          </cell>
        </row>
        <row r="20">
          <cell r="S20">
            <v>6.7519204256972065</v>
          </cell>
          <cell r="T20">
            <v>420</v>
          </cell>
        </row>
        <row r="21">
          <cell r="S21">
            <v>6.8757326683004463</v>
          </cell>
          <cell r="T21">
            <v>420</v>
          </cell>
        </row>
        <row r="22">
          <cell r="S22">
            <v>7.0329793254003388</v>
          </cell>
          <cell r="T22">
            <v>420</v>
          </cell>
        </row>
        <row r="23">
          <cell r="S23">
            <v>7.1918867300096991</v>
          </cell>
          <cell r="T23">
            <v>420</v>
          </cell>
        </row>
        <row r="24">
          <cell r="S24">
            <v>7.3524548821285274</v>
          </cell>
          <cell r="T24">
            <v>420</v>
          </cell>
        </row>
        <row r="25">
          <cell r="S25">
            <v>7.5146837817568199</v>
          </cell>
          <cell r="T25">
            <v>420</v>
          </cell>
        </row>
        <row r="26">
          <cell r="S26">
            <v>7.6785734288945857</v>
          </cell>
          <cell r="T26">
            <v>420</v>
          </cell>
        </row>
        <row r="27">
          <cell r="S27">
            <v>7.8441238235418158</v>
          </cell>
          <cell r="T27">
            <v>420</v>
          </cell>
        </row>
        <row r="28">
          <cell r="S28">
            <v>8.0113349656985182</v>
          </cell>
          <cell r="T28">
            <v>420</v>
          </cell>
        </row>
        <row r="29">
          <cell r="S29">
            <v>8.1802068553646876</v>
          </cell>
          <cell r="T29">
            <v>420</v>
          </cell>
        </row>
        <row r="30">
          <cell r="S30">
            <v>8.3507394925403258</v>
          </cell>
          <cell r="T30">
            <v>420</v>
          </cell>
        </row>
        <row r="31">
          <cell r="S31">
            <v>8.5229328772254309</v>
          </cell>
          <cell r="T31">
            <v>420</v>
          </cell>
        </row>
        <row r="32">
          <cell r="S32">
            <v>8.6967870094200013</v>
          </cell>
          <cell r="T32">
            <v>470</v>
          </cell>
        </row>
        <row r="33">
          <cell r="S33">
            <v>8.8723018891240457</v>
          </cell>
          <cell r="T33">
            <v>470</v>
          </cell>
        </row>
        <row r="34">
          <cell r="S34">
            <v>9.0494775163375554</v>
          </cell>
          <cell r="T34">
            <v>470</v>
          </cell>
        </row>
        <row r="35">
          <cell r="S35">
            <v>9.2283138910605356</v>
          </cell>
          <cell r="T35">
            <v>470</v>
          </cell>
        </row>
        <row r="36">
          <cell r="S36">
            <v>9.4088110132929845</v>
          </cell>
          <cell r="T36">
            <v>470</v>
          </cell>
        </row>
      </sheetData>
      <sheetData sheetId="22">
        <row r="13">
          <cell r="O13">
            <v>55.295999999999999</v>
          </cell>
        </row>
      </sheetData>
      <sheetData sheetId="23">
        <row r="11">
          <cell r="O11">
            <v>439.43978090815921</v>
          </cell>
          <cell r="P11">
            <v>380</v>
          </cell>
        </row>
        <row r="12">
          <cell r="O12">
            <v>9.3253804348322724</v>
          </cell>
          <cell r="P12">
            <v>380</v>
          </cell>
        </row>
        <row r="13">
          <cell r="O13">
            <v>7.33585324922133</v>
          </cell>
          <cell r="P13">
            <v>380</v>
          </cell>
        </row>
        <row r="14">
          <cell r="O14">
            <v>6.5770264464428356</v>
          </cell>
          <cell r="P14">
            <v>380</v>
          </cell>
        </row>
        <row r="15">
          <cell r="O15">
            <v>6.406896432338983</v>
          </cell>
          <cell r="P15">
            <v>380</v>
          </cell>
        </row>
        <row r="16">
          <cell r="O16">
            <v>6.2666682071846456</v>
          </cell>
          <cell r="P16">
            <v>380</v>
          </cell>
        </row>
        <row r="17">
          <cell r="O17">
            <v>6.3864849659214959</v>
          </cell>
          <cell r="P17">
            <v>380</v>
          </cell>
        </row>
        <row r="18">
          <cell r="O18">
            <v>6.507298141176773</v>
          </cell>
          <cell r="P18">
            <v>380</v>
          </cell>
        </row>
        <row r="19">
          <cell r="O19">
            <v>6.6291094254886618</v>
          </cell>
          <cell r="P19">
            <v>380</v>
          </cell>
        </row>
        <row r="20">
          <cell r="O20">
            <v>6.7519204256972065</v>
          </cell>
          <cell r="P20">
            <v>380</v>
          </cell>
        </row>
        <row r="21">
          <cell r="O21">
            <v>6.8757326683004463</v>
          </cell>
          <cell r="P21">
            <v>380</v>
          </cell>
        </row>
        <row r="22">
          <cell r="O22">
            <v>7.0329793254003388</v>
          </cell>
          <cell r="P22">
            <v>380</v>
          </cell>
        </row>
        <row r="23">
          <cell r="O23">
            <v>7.1918867300096991</v>
          </cell>
          <cell r="P23">
            <v>380</v>
          </cell>
        </row>
        <row r="24">
          <cell r="O24">
            <v>7.3524548821285274</v>
          </cell>
          <cell r="P24">
            <v>380</v>
          </cell>
        </row>
        <row r="25">
          <cell r="O25">
            <v>7.5146837817568199</v>
          </cell>
          <cell r="P25">
            <v>380</v>
          </cell>
        </row>
        <row r="26">
          <cell r="O26">
            <v>7.6785734288945857</v>
          </cell>
          <cell r="P26">
            <v>380</v>
          </cell>
        </row>
        <row r="27">
          <cell r="O27">
            <v>7.8441238235418158</v>
          </cell>
          <cell r="P27">
            <v>380</v>
          </cell>
        </row>
        <row r="28">
          <cell r="O28">
            <v>8.0113349656985182</v>
          </cell>
          <cell r="P28">
            <v>380</v>
          </cell>
        </row>
        <row r="29">
          <cell r="O29">
            <v>8.1802068553646876</v>
          </cell>
          <cell r="P29">
            <v>380</v>
          </cell>
        </row>
        <row r="30">
          <cell r="O30">
            <v>8.3507394925403258</v>
          </cell>
          <cell r="P30">
            <v>380</v>
          </cell>
        </row>
        <row r="31">
          <cell r="O31">
            <v>8.5229328772254309</v>
          </cell>
          <cell r="P31">
            <v>380</v>
          </cell>
        </row>
        <row r="32">
          <cell r="O32">
            <v>8.6967870094200013</v>
          </cell>
          <cell r="P32">
            <v>380</v>
          </cell>
        </row>
        <row r="33">
          <cell r="O33">
            <v>8.8723018891240457</v>
          </cell>
          <cell r="P33">
            <v>380</v>
          </cell>
        </row>
        <row r="34">
          <cell r="O34">
            <v>9.0494775163375554</v>
          </cell>
          <cell r="P34">
            <v>380</v>
          </cell>
        </row>
        <row r="35">
          <cell r="O35">
            <v>9.2283138910605356</v>
          </cell>
          <cell r="P35">
            <v>380</v>
          </cell>
        </row>
        <row r="36">
          <cell r="O36">
            <v>9.4088110132929845</v>
          </cell>
          <cell r="P36">
            <v>380</v>
          </cell>
        </row>
      </sheetData>
      <sheetData sheetId="24">
        <row r="11">
          <cell r="T11">
            <v>332.18886132419169</v>
          </cell>
          <cell r="U11">
            <v>320</v>
          </cell>
        </row>
        <row r="12">
          <cell r="T12">
            <v>-97.925539149135261</v>
          </cell>
          <cell r="U12">
            <v>320</v>
          </cell>
        </row>
        <row r="13">
          <cell r="T13">
            <v>-99.9150663347462</v>
          </cell>
          <cell r="U13">
            <v>320</v>
          </cell>
        </row>
        <row r="14">
          <cell r="T14">
            <v>-100.6738931375247</v>
          </cell>
          <cell r="U14">
            <v>320</v>
          </cell>
        </row>
        <row r="15">
          <cell r="T15">
            <v>-100.84402315162855</v>
          </cell>
          <cell r="U15">
            <v>320</v>
          </cell>
        </row>
        <row r="16">
          <cell r="T16">
            <v>-100.98425137678288</v>
          </cell>
          <cell r="U16">
            <v>320</v>
          </cell>
        </row>
        <row r="17">
          <cell r="T17">
            <v>-100.86443461804603</v>
          </cell>
          <cell r="U17">
            <v>320</v>
          </cell>
        </row>
        <row r="18">
          <cell r="T18">
            <v>-100.74362144279075</v>
          </cell>
          <cell r="U18">
            <v>320</v>
          </cell>
        </row>
        <row r="19">
          <cell r="T19">
            <v>-100.62181015847887</v>
          </cell>
          <cell r="U19">
            <v>320</v>
          </cell>
        </row>
        <row r="20">
          <cell r="T20">
            <v>-134.0149115282602</v>
          </cell>
          <cell r="U20">
            <v>320</v>
          </cell>
        </row>
        <row r="21">
          <cell r="T21">
            <v>-133.89109928565694</v>
          </cell>
          <cell r="U21">
            <v>320</v>
          </cell>
        </row>
        <row r="22">
          <cell r="T22">
            <v>-133.73385262855706</v>
          </cell>
          <cell r="U22">
            <v>320</v>
          </cell>
        </row>
        <row r="23">
          <cell r="T23">
            <v>-133.57494522394768</v>
          </cell>
          <cell r="U23">
            <v>320</v>
          </cell>
        </row>
        <row r="24">
          <cell r="T24">
            <v>-133.41437707182885</v>
          </cell>
          <cell r="U24">
            <v>320</v>
          </cell>
        </row>
        <row r="25">
          <cell r="T25">
            <v>-133.25214817220058</v>
          </cell>
          <cell r="U25">
            <v>320</v>
          </cell>
        </row>
        <row r="26">
          <cell r="T26">
            <v>-133.0882585250628</v>
          </cell>
          <cell r="U26">
            <v>320</v>
          </cell>
        </row>
        <row r="27">
          <cell r="T27">
            <v>-132.92270813041557</v>
          </cell>
          <cell r="U27">
            <v>320</v>
          </cell>
        </row>
        <row r="28">
          <cell r="T28">
            <v>-132.75549698825887</v>
          </cell>
          <cell r="U28">
            <v>320</v>
          </cell>
        </row>
        <row r="29">
          <cell r="T29">
            <v>-132.58662509859272</v>
          </cell>
          <cell r="U29">
            <v>320</v>
          </cell>
        </row>
        <row r="30">
          <cell r="T30">
            <v>-132.41609246141707</v>
          </cell>
          <cell r="U30">
            <v>320</v>
          </cell>
        </row>
        <row r="31">
          <cell r="T31">
            <v>-132.24389907673196</v>
          </cell>
          <cell r="U31">
            <v>320</v>
          </cell>
        </row>
        <row r="32">
          <cell r="T32">
            <v>-148.82800112953231</v>
          </cell>
          <cell r="U32">
            <v>320</v>
          </cell>
        </row>
        <row r="33">
          <cell r="T33">
            <v>-148.65248624982826</v>
          </cell>
          <cell r="U33">
            <v>320</v>
          </cell>
        </row>
        <row r="34">
          <cell r="T34">
            <v>-148.47531062261476</v>
          </cell>
          <cell r="U34">
            <v>320</v>
          </cell>
        </row>
        <row r="35">
          <cell r="T35">
            <v>-148.29647424789178</v>
          </cell>
          <cell r="U35">
            <v>320</v>
          </cell>
        </row>
        <row r="36">
          <cell r="T36">
            <v>-148.11597712565933</v>
          </cell>
          <cell r="U36">
            <v>320</v>
          </cell>
        </row>
      </sheetData>
      <sheetData sheetId="25">
        <row r="12">
          <cell r="O12">
            <v>439.43978090815921</v>
          </cell>
        </row>
      </sheetData>
      <sheetData sheetId="26">
        <row r="15">
          <cell r="P15">
            <v>7301</v>
          </cell>
          <cell r="Q15">
            <v>4050</v>
          </cell>
        </row>
        <row r="16">
          <cell r="P16">
            <v>155</v>
          </cell>
          <cell r="Q16">
            <v>4050</v>
          </cell>
        </row>
        <row r="17">
          <cell r="P17">
            <v>122</v>
          </cell>
          <cell r="Q17">
            <v>4050</v>
          </cell>
        </row>
        <row r="18">
          <cell r="P18">
            <v>109</v>
          </cell>
          <cell r="Q18">
            <v>4050</v>
          </cell>
        </row>
        <row r="19">
          <cell r="P19">
            <v>106</v>
          </cell>
          <cell r="Q19">
            <v>4050</v>
          </cell>
        </row>
        <row r="20">
          <cell r="P20">
            <v>104</v>
          </cell>
          <cell r="Q20">
            <v>4050</v>
          </cell>
        </row>
        <row r="21">
          <cell r="P21">
            <v>106</v>
          </cell>
          <cell r="Q21">
            <v>4050</v>
          </cell>
        </row>
        <row r="22">
          <cell r="P22">
            <v>108</v>
          </cell>
          <cell r="Q22">
            <v>4050</v>
          </cell>
        </row>
        <row r="23">
          <cell r="P23">
            <v>110</v>
          </cell>
          <cell r="Q23">
            <v>4050</v>
          </cell>
        </row>
        <row r="24">
          <cell r="P24">
            <v>112</v>
          </cell>
          <cell r="Q24">
            <v>4050</v>
          </cell>
        </row>
        <row r="25">
          <cell r="P25">
            <v>114</v>
          </cell>
          <cell r="Q25">
            <v>4050</v>
          </cell>
        </row>
        <row r="26">
          <cell r="P26">
            <v>117</v>
          </cell>
          <cell r="Q26">
            <v>4050</v>
          </cell>
        </row>
        <row r="27">
          <cell r="P27">
            <v>119</v>
          </cell>
          <cell r="Q27">
            <v>4050</v>
          </cell>
        </row>
        <row r="28">
          <cell r="P28">
            <v>122</v>
          </cell>
          <cell r="Q28">
            <v>4050</v>
          </cell>
        </row>
        <row r="29">
          <cell r="P29">
            <v>125</v>
          </cell>
          <cell r="Q29">
            <v>4050</v>
          </cell>
        </row>
        <row r="30">
          <cell r="P30">
            <v>128</v>
          </cell>
          <cell r="Q30">
            <v>4050</v>
          </cell>
        </row>
        <row r="31">
          <cell r="P31">
            <v>130</v>
          </cell>
          <cell r="Q31">
            <v>4050</v>
          </cell>
        </row>
        <row r="32">
          <cell r="P32">
            <v>133</v>
          </cell>
          <cell r="Q32">
            <v>4050</v>
          </cell>
        </row>
        <row r="33">
          <cell r="P33">
            <v>136</v>
          </cell>
          <cell r="Q33">
            <v>4050</v>
          </cell>
        </row>
        <row r="34">
          <cell r="P34">
            <v>139</v>
          </cell>
          <cell r="Q34">
            <v>4050</v>
          </cell>
        </row>
        <row r="35">
          <cell r="P35">
            <v>142</v>
          </cell>
          <cell r="Q35">
            <v>4050</v>
          </cell>
        </row>
        <row r="36">
          <cell r="P36">
            <v>145</v>
          </cell>
          <cell r="Q36">
            <v>4050</v>
          </cell>
        </row>
        <row r="37">
          <cell r="P37">
            <v>147</v>
          </cell>
          <cell r="Q37">
            <v>4050</v>
          </cell>
        </row>
        <row r="38">
          <cell r="P38">
            <v>150</v>
          </cell>
          <cell r="Q38">
            <v>4050</v>
          </cell>
        </row>
        <row r="39">
          <cell r="P39">
            <v>153</v>
          </cell>
          <cell r="Q39">
            <v>4050</v>
          </cell>
        </row>
        <row r="40">
          <cell r="P40">
            <v>156</v>
          </cell>
          <cell r="Q40">
            <v>4050</v>
          </cell>
        </row>
      </sheetData>
      <sheetData sheetId="27"/>
      <sheetData sheetId="28"/>
      <sheetData sheetId="29"/>
      <sheetData sheetId="30"/>
      <sheetData sheetId="31">
        <row r="13">
          <cell r="Q13">
            <v>11594</v>
          </cell>
          <cell r="R13">
            <v>11594</v>
          </cell>
        </row>
        <row r="14">
          <cell r="Q14">
            <v>272.91879755443188</v>
          </cell>
          <cell r="R14">
            <v>272.91879755443188</v>
          </cell>
        </row>
        <row r="15">
          <cell r="Q15">
            <v>319.92569702088582</v>
          </cell>
          <cell r="R15">
            <v>319.92569702088582</v>
          </cell>
        </row>
        <row r="16">
          <cell r="Q16">
            <v>344.43966771652299</v>
          </cell>
          <cell r="R16">
            <v>344.43966771652299</v>
          </cell>
        </row>
        <row r="17">
          <cell r="Q17">
            <v>365.66474369192167</v>
          </cell>
          <cell r="R17">
            <v>365.66474369192167</v>
          </cell>
        </row>
        <row r="18">
          <cell r="Q18">
            <v>387.61052412819811</v>
          </cell>
          <cell r="R18">
            <v>387.61052412819811</v>
          </cell>
        </row>
        <row r="19">
          <cell r="Q19">
            <v>401.46414910136974</v>
          </cell>
          <cell r="R19">
            <v>401.46414910136974</v>
          </cell>
        </row>
        <row r="20">
          <cell r="Q20">
            <v>415.63521399610477</v>
          </cell>
          <cell r="R20">
            <v>415.63521399610477</v>
          </cell>
        </row>
        <row r="21">
          <cell r="Q21">
            <v>430.12722813518809</v>
          </cell>
          <cell r="R21">
            <v>430.12722813518809</v>
          </cell>
        </row>
        <row r="22">
          <cell r="Q22">
            <v>444.94370084140496</v>
          </cell>
          <cell r="R22">
            <v>444.94370084140496</v>
          </cell>
        </row>
        <row r="23">
          <cell r="Q23">
            <v>460.08814143754017</v>
          </cell>
          <cell r="R23">
            <v>460.08814143754017</v>
          </cell>
        </row>
        <row r="24">
          <cell r="Q24">
            <v>470.61026696256272</v>
          </cell>
          <cell r="R24">
            <v>470.61026696256272</v>
          </cell>
        </row>
        <row r="25">
          <cell r="Q25">
            <v>481.24352104244468</v>
          </cell>
          <cell r="R25">
            <v>481.24352104244468</v>
          </cell>
        </row>
        <row r="26">
          <cell r="Q26">
            <v>491.98790367718607</v>
          </cell>
          <cell r="R26">
            <v>491.98790367718607</v>
          </cell>
        </row>
        <row r="27">
          <cell r="Q27">
            <v>502.84341486678687</v>
          </cell>
          <cell r="R27">
            <v>502.84341486678687</v>
          </cell>
        </row>
        <row r="28">
          <cell r="Q28">
            <v>513.81005461124732</v>
          </cell>
          <cell r="R28">
            <v>513.81005461124732</v>
          </cell>
        </row>
        <row r="29">
          <cell r="Q29">
            <v>524.88782291056702</v>
          </cell>
          <cell r="R29">
            <v>524.88782291056702</v>
          </cell>
        </row>
        <row r="30">
          <cell r="Q30">
            <v>536.07671976474649</v>
          </cell>
          <cell r="R30">
            <v>536.07671976474649</v>
          </cell>
        </row>
        <row r="31">
          <cell r="Q31">
            <v>547.37674517378514</v>
          </cell>
          <cell r="R31">
            <v>547.37674517378514</v>
          </cell>
        </row>
        <row r="32">
          <cell r="Q32">
            <v>558.78789913768344</v>
          </cell>
          <cell r="R32">
            <v>558.78789913768344</v>
          </cell>
        </row>
        <row r="33">
          <cell r="Q33">
            <v>570.31018165644116</v>
          </cell>
          <cell r="R33">
            <v>570.31018165644116</v>
          </cell>
        </row>
        <row r="34">
          <cell r="Q34">
            <v>581.94359273005819</v>
          </cell>
          <cell r="R34">
            <v>581.94359273005819</v>
          </cell>
        </row>
        <row r="35">
          <cell r="Q35">
            <v>593.68813235853509</v>
          </cell>
          <cell r="R35">
            <v>593.68813235853509</v>
          </cell>
        </row>
        <row r="36">
          <cell r="Q36">
            <v>605.54380054187106</v>
          </cell>
          <cell r="R36">
            <v>605.54380054187106</v>
          </cell>
        </row>
        <row r="37">
          <cell r="Q37">
            <v>617.5105972800668</v>
          </cell>
          <cell r="R37">
            <v>617.5105972800668</v>
          </cell>
        </row>
        <row r="38">
          <cell r="Q38">
            <v>629.58852257312208</v>
          </cell>
          <cell r="R38">
            <v>629.58852257312208</v>
          </cell>
        </row>
      </sheetData>
      <sheetData sheetId="32">
        <row r="14">
          <cell r="U14">
            <v>11594</v>
          </cell>
          <cell r="V14">
            <v>6181</v>
          </cell>
        </row>
        <row r="15">
          <cell r="U15">
            <v>272.91879755443188</v>
          </cell>
          <cell r="V15">
            <v>171.01494450172652</v>
          </cell>
        </row>
        <row r="16">
          <cell r="U16">
            <v>319.92569702088582</v>
          </cell>
          <cell r="V16">
            <v>243.13276804691017</v>
          </cell>
        </row>
        <row r="17">
          <cell r="U17">
            <v>344.43966771652299</v>
          </cell>
          <cell r="V17">
            <v>288.66588894839839</v>
          </cell>
        </row>
        <row r="18">
          <cell r="U18">
            <v>365.66474369192167</v>
          </cell>
          <cell r="V18">
            <v>335.81936797665895</v>
          </cell>
        </row>
        <row r="19">
          <cell r="U19">
            <v>387.61052412819811</v>
          </cell>
          <cell r="V19">
            <v>387.61052412819811</v>
          </cell>
        </row>
        <row r="20">
          <cell r="U20">
            <v>401.46414910136974</v>
          </cell>
          <cell r="V20">
            <v>401.46414910136974</v>
          </cell>
        </row>
        <row r="21">
          <cell r="U21">
            <v>415.63521399610477</v>
          </cell>
          <cell r="V21">
            <v>415.63521399610477</v>
          </cell>
        </row>
        <row r="22">
          <cell r="U22">
            <v>430.12722813518809</v>
          </cell>
          <cell r="V22">
            <v>430.12722813518809</v>
          </cell>
        </row>
        <row r="23">
          <cell r="U23">
            <v>444.94370084140496</v>
          </cell>
          <cell r="V23">
            <v>444.94370084140496</v>
          </cell>
        </row>
        <row r="24">
          <cell r="U24">
            <v>460.08814143754017</v>
          </cell>
          <cell r="V24">
            <v>460.08814143754017</v>
          </cell>
        </row>
        <row r="25">
          <cell r="U25">
            <v>470.61026696256272</v>
          </cell>
          <cell r="V25">
            <v>470.61026696256272</v>
          </cell>
        </row>
        <row r="26">
          <cell r="U26">
            <v>481.24352104244468</v>
          </cell>
          <cell r="V26">
            <v>481.24352104244468</v>
          </cell>
        </row>
        <row r="27">
          <cell r="U27">
            <v>491.98790367718607</v>
          </cell>
          <cell r="V27">
            <v>491.98790367718607</v>
          </cell>
        </row>
        <row r="28">
          <cell r="U28">
            <v>502.84341486678687</v>
          </cell>
          <cell r="V28">
            <v>502.84341486678687</v>
          </cell>
        </row>
        <row r="29">
          <cell r="U29">
            <v>513.81005461124732</v>
          </cell>
          <cell r="V29">
            <v>513.81005461124732</v>
          </cell>
        </row>
        <row r="30">
          <cell r="U30">
            <v>524.88782291056702</v>
          </cell>
          <cell r="V30">
            <v>524.88782291056702</v>
          </cell>
        </row>
        <row r="31">
          <cell r="U31">
            <v>536.07671976474649</v>
          </cell>
          <cell r="V31">
            <v>536.07671976474649</v>
          </cell>
        </row>
        <row r="32">
          <cell r="U32">
            <v>547.37674517378514</v>
          </cell>
          <cell r="V32">
            <v>547.37674517378514</v>
          </cell>
        </row>
        <row r="33">
          <cell r="U33">
            <v>558.78789913768344</v>
          </cell>
          <cell r="V33">
            <v>558.78789913768344</v>
          </cell>
        </row>
        <row r="34">
          <cell r="U34">
            <v>570.31018165644116</v>
          </cell>
          <cell r="V34">
            <v>570.31018165644116</v>
          </cell>
        </row>
        <row r="35">
          <cell r="U35">
            <v>581.94359273005819</v>
          </cell>
          <cell r="V35">
            <v>581.94359273005819</v>
          </cell>
        </row>
        <row r="36">
          <cell r="U36">
            <v>593.68813235853509</v>
          </cell>
          <cell r="V36">
            <v>593.68813235853509</v>
          </cell>
        </row>
        <row r="37">
          <cell r="U37">
            <v>605.54380054187106</v>
          </cell>
          <cell r="V37">
            <v>605.54380054187106</v>
          </cell>
        </row>
        <row r="38">
          <cell r="U38">
            <v>617.5105972800668</v>
          </cell>
          <cell r="V38">
            <v>617.5105972800668</v>
          </cell>
        </row>
        <row r="39">
          <cell r="U39">
            <v>629.58852257312208</v>
          </cell>
          <cell r="V39">
            <v>629.58852257312208</v>
          </cell>
        </row>
      </sheetData>
      <sheetData sheetId="33"/>
      <sheetData sheetId="34"/>
      <sheetData sheetId="35">
        <row r="19">
          <cell r="X19">
            <v>707.86411700073268</v>
          </cell>
        </row>
      </sheetData>
      <sheetData sheetId="36">
        <row r="11">
          <cell r="V11">
            <v>1274.1554106013189</v>
          </cell>
          <cell r="W11">
            <v>0</v>
          </cell>
        </row>
        <row r="12">
          <cell r="V12">
            <v>143.83304212206932</v>
          </cell>
          <cell r="W12">
            <v>0</v>
          </cell>
        </row>
        <row r="13">
          <cell r="V13">
            <v>107.09978274959968</v>
          </cell>
          <cell r="W13">
            <v>0</v>
          </cell>
        </row>
        <row r="14">
          <cell r="V14">
            <v>84.176402281392313</v>
          </cell>
          <cell r="W14">
            <v>0</v>
          </cell>
        </row>
        <row r="15">
          <cell r="V15">
            <v>72.755115123522373</v>
          </cell>
          <cell r="W15">
            <v>0</v>
          </cell>
        </row>
        <row r="16">
          <cell r="V16">
            <v>61.259800174070641</v>
          </cell>
          <cell r="W16">
            <v>0</v>
          </cell>
        </row>
        <row r="17">
          <cell r="V17">
            <v>59.333331241724281</v>
          </cell>
          <cell r="W17">
            <v>0</v>
          </cell>
        </row>
        <row r="18">
          <cell r="V18">
            <v>57.421724710607386</v>
          </cell>
          <cell r="W18">
            <v>0</v>
          </cell>
        </row>
        <row r="19">
          <cell r="V19">
            <v>55.525209975899237</v>
          </cell>
          <cell r="W19">
            <v>0</v>
          </cell>
        </row>
        <row r="20">
          <cell r="V20">
            <v>53.644016432778677</v>
          </cell>
          <cell r="W20">
            <v>0</v>
          </cell>
        </row>
        <row r="21">
          <cell r="V21">
            <v>51.778373476424811</v>
          </cell>
          <cell r="W21">
            <v>0</v>
          </cell>
        </row>
        <row r="22">
          <cell r="V22">
            <v>51.908694159805279</v>
          </cell>
          <cell r="W22">
            <v>0</v>
          </cell>
        </row>
        <row r="23">
          <cell r="V23">
            <v>52.040391214260048</v>
          </cell>
          <cell r="W23">
            <v>0</v>
          </cell>
        </row>
        <row r="24">
          <cell r="V24">
            <v>52.17346463978906</v>
          </cell>
          <cell r="W24">
            <v>0</v>
          </cell>
        </row>
        <row r="25">
          <cell r="V25">
            <v>52.307914436392323</v>
          </cell>
          <cell r="W25">
            <v>0</v>
          </cell>
        </row>
        <row r="26">
          <cell r="V26">
            <v>52.44374060406988</v>
          </cell>
          <cell r="W26">
            <v>0</v>
          </cell>
        </row>
        <row r="27">
          <cell r="V27">
            <v>52.580943142821646</v>
          </cell>
          <cell r="W27">
            <v>0</v>
          </cell>
        </row>
        <row r="28">
          <cell r="V28">
            <v>52.719522052647719</v>
          </cell>
          <cell r="W28">
            <v>0</v>
          </cell>
        </row>
        <row r="29">
          <cell r="V29">
            <v>52.859477333548014</v>
          </cell>
          <cell r="W29">
            <v>0</v>
          </cell>
        </row>
        <row r="30">
          <cell r="V30">
            <v>53.000808985522575</v>
          </cell>
          <cell r="W30">
            <v>0</v>
          </cell>
        </row>
        <row r="31">
          <cell r="V31">
            <v>53.143517008571436</v>
          </cell>
          <cell r="W31">
            <v>0</v>
          </cell>
        </row>
        <row r="32">
          <cell r="V32">
            <v>53.28760140269452</v>
          </cell>
          <cell r="W32">
            <v>0</v>
          </cell>
        </row>
        <row r="33">
          <cell r="V33">
            <v>53.433062167891883</v>
          </cell>
          <cell r="W33">
            <v>0</v>
          </cell>
        </row>
        <row r="34">
          <cell r="V34">
            <v>53.579899304163476</v>
          </cell>
          <cell r="W34">
            <v>0</v>
          </cell>
        </row>
        <row r="35">
          <cell r="V35">
            <v>53.728112811509348</v>
          </cell>
          <cell r="W35">
            <v>0</v>
          </cell>
        </row>
        <row r="36">
          <cell r="V36">
            <v>53.877702689929485</v>
          </cell>
          <cell r="W36">
            <v>0</v>
          </cell>
        </row>
        <row r="37">
          <cell r="V37">
            <v>0</v>
          </cell>
          <cell r="W37">
            <v>0</v>
          </cell>
        </row>
      </sheetData>
      <sheetData sheetId="37">
        <row r="14">
          <cell r="O14">
            <v>2004</v>
          </cell>
          <cell r="P14">
            <v>8510.0000000000018</v>
          </cell>
          <cell r="Q14">
            <v>8510.0000000000018</v>
          </cell>
        </row>
        <row r="15">
          <cell r="O15">
            <v>2005</v>
          </cell>
          <cell r="P15">
            <v>194.94199825316565</v>
          </cell>
          <cell r="Q15">
            <v>194.94199825316537</v>
          </cell>
        </row>
        <row r="16">
          <cell r="O16">
            <v>2006</v>
          </cell>
          <cell r="P16">
            <v>215.94984548909795</v>
          </cell>
          <cell r="Q16">
            <v>215.94984548909795</v>
          </cell>
        </row>
        <row r="17">
          <cell r="O17">
            <v>2007</v>
          </cell>
          <cell r="P17">
            <v>237.82738961378965</v>
          </cell>
          <cell r="Q17">
            <v>237.82738961378965</v>
          </cell>
        </row>
        <row r="18">
          <cell r="O18">
            <v>2008</v>
          </cell>
          <cell r="P18">
            <v>260.58866791838096</v>
          </cell>
          <cell r="Q18">
            <v>260.58866791838096</v>
          </cell>
        </row>
        <row r="19">
          <cell r="O19">
            <v>2009</v>
          </cell>
          <cell r="P19">
            <v>279.94093409258744</v>
          </cell>
          <cell r="Q19">
            <v>279.94093409258744</v>
          </cell>
        </row>
        <row r="20">
          <cell r="O20">
            <v>2010</v>
          </cell>
          <cell r="P20">
            <v>308.81857623182282</v>
          </cell>
          <cell r="Q20">
            <v>308.81857623182282</v>
          </cell>
        </row>
        <row r="21">
          <cell r="O21">
            <v>2011</v>
          </cell>
          <cell r="P21">
            <v>338.83305488812886</v>
          </cell>
          <cell r="Q21">
            <v>338.83305488812886</v>
          </cell>
        </row>
        <row r="22">
          <cell r="O22">
            <v>2012</v>
          </cell>
          <cell r="P22">
            <v>370.00191667543061</v>
          </cell>
          <cell r="Q22">
            <v>370.00191667543061</v>
          </cell>
        </row>
        <row r="23">
          <cell r="O23">
            <v>2013</v>
          </cell>
          <cell r="P23">
            <v>402.34270820765346</v>
          </cell>
          <cell r="Q23">
            <v>402.34270820765346</v>
          </cell>
        </row>
        <row r="24">
          <cell r="O24">
            <v>2014</v>
          </cell>
          <cell r="P24">
            <v>435.8729760987224</v>
          </cell>
          <cell r="Q24">
            <v>435.8729760987224</v>
          </cell>
        </row>
        <row r="25">
          <cell r="O25">
            <v>2015</v>
          </cell>
          <cell r="P25">
            <v>445.84130554348053</v>
          </cell>
          <cell r="Q25">
            <v>445.84130554348053</v>
          </cell>
        </row>
        <row r="26">
          <cell r="O26">
            <v>2016</v>
          </cell>
          <cell r="P26">
            <v>455.91491467178975</v>
          </cell>
          <cell r="Q26">
            <v>455.91491467178975</v>
          </cell>
        </row>
        <row r="27">
          <cell r="O27">
            <v>2017</v>
          </cell>
          <cell r="P27">
            <v>466.09380348365005</v>
          </cell>
          <cell r="Q27">
            <v>466.09380348365005</v>
          </cell>
        </row>
        <row r="28">
          <cell r="O28">
            <v>2018</v>
          </cell>
          <cell r="P28">
            <v>476.37797197906139</v>
          </cell>
          <cell r="Q28">
            <v>476.37797197906139</v>
          </cell>
        </row>
        <row r="29">
          <cell r="O29">
            <v>2019</v>
          </cell>
          <cell r="P29">
            <v>486.76742015802381</v>
          </cell>
          <cell r="Q29">
            <v>486.76742015802381</v>
          </cell>
        </row>
        <row r="30">
          <cell r="O30">
            <v>2020</v>
          </cell>
          <cell r="P30">
            <v>497.26214802053732</v>
          </cell>
          <cell r="Q30">
            <v>497.26214802053732</v>
          </cell>
        </row>
        <row r="31">
          <cell r="O31">
            <v>2021</v>
          </cell>
          <cell r="P31">
            <v>507.86215556660181</v>
          </cell>
          <cell r="Q31">
            <v>507.86215556660181</v>
          </cell>
        </row>
        <row r="32">
          <cell r="O32">
            <v>2022</v>
          </cell>
          <cell r="P32">
            <v>518.56744279621751</v>
          </cell>
          <cell r="Q32">
            <v>518.56744279621751</v>
          </cell>
        </row>
        <row r="33">
          <cell r="O33">
            <v>2023</v>
          </cell>
          <cell r="P33">
            <v>529.3780097093844</v>
          </cell>
          <cell r="Q33">
            <v>529.3780097093844</v>
          </cell>
        </row>
        <row r="34">
          <cell r="O34">
            <v>2024</v>
          </cell>
          <cell r="P34">
            <v>540.29385630610204</v>
          </cell>
          <cell r="Q34">
            <v>540.29385630610204</v>
          </cell>
        </row>
        <row r="35">
          <cell r="O35">
            <v>2025</v>
          </cell>
          <cell r="P35">
            <v>551.314982586371</v>
          </cell>
          <cell r="Q35">
            <v>551.314982586371</v>
          </cell>
        </row>
        <row r="36">
          <cell r="O36">
            <v>2026</v>
          </cell>
          <cell r="P36">
            <v>562.44138855019128</v>
          </cell>
          <cell r="Q36">
            <v>562.44138855019128</v>
          </cell>
        </row>
        <row r="37">
          <cell r="O37">
            <v>2027</v>
          </cell>
          <cell r="P37">
            <v>573.67307419756219</v>
          </cell>
          <cell r="Q37">
            <v>573.67307419756219</v>
          </cell>
        </row>
        <row r="38">
          <cell r="O38">
            <v>2028</v>
          </cell>
          <cell r="P38">
            <v>585.01003952848441</v>
          </cell>
          <cell r="Q38">
            <v>585.01003952848441</v>
          </cell>
        </row>
        <row r="39">
          <cell r="O39">
            <v>2029</v>
          </cell>
          <cell r="P39">
            <v>596.45228454295773</v>
          </cell>
          <cell r="Q39">
            <v>596.45228454295773</v>
          </cell>
        </row>
        <row r="40">
          <cell r="O40">
            <v>0</v>
          </cell>
          <cell r="P40">
            <v>0</v>
          </cell>
          <cell r="Q40">
            <v>0</v>
          </cell>
        </row>
      </sheetData>
      <sheetData sheetId="38"/>
      <sheetData sheetId="39"/>
      <sheetData sheetId="40"/>
      <sheetData sheetId="41"/>
      <sheetData sheetId="42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so"/>
      <sheetName val="Poblacion"/>
      <sheetName val="C O&amp;M Sin Proyecto"/>
      <sheetName val="C O&amp;M Con Proyect"/>
      <sheetName val="Flujo de ingreso"/>
      <sheetName val="Información fuente 1alt P.P"/>
      <sheetName val="Información fuente 2alt P.P"/>
      <sheetName val="Resultados -Evaluación 1alt PP"/>
      <sheetName val="Resultados -Evaluación 1alt PS"/>
      <sheetName val="Resultados-Evaluación 2altP.P"/>
      <sheetName val="Resultados-Evaluación 2alt PS"/>
      <sheetName val="Resultados-Curva Demanda"/>
      <sheetName val="cost incre AP 1alt p.p"/>
      <sheetName val="cost incre AP 1alt. p.s"/>
      <sheetName val="cost incre AP 2alt P.P."/>
      <sheetName val="cost incre AP 2alt. P.S."/>
      <sheetName val="Cost Incre Alc PP-PS"/>
      <sheetName val="Cost Incre PTAR PP-PS 1ERA ALT"/>
      <sheetName val="Cost Incre PTAR PP-PS 2DA ALT"/>
      <sheetName val="Beneficios anuales"/>
      <sheetName val="Ingreso de Información"/>
      <sheetName val="Proy Demanda Agua"/>
      <sheetName val="Demanda Alcantarillado"/>
      <sheetName val="sensibila mas10 1alt p.p"/>
      <sheetName val="sensibila men10 1alt p.p"/>
      <sheetName val="sensibila mas10 1alt p.s"/>
      <sheetName val="sensibila men10 1alt p.s"/>
      <sheetName val="sensibila mas10 2alt p.p"/>
      <sheetName val="sensibila men10 2alt p.p"/>
      <sheetName val="sensibila mas10 2alt p.s"/>
      <sheetName val="sensibila men10 2alt p.s"/>
      <sheetName val="C.E Alcantarillado P.P"/>
      <sheetName val="C.E Alcantarillado Alt P.S"/>
      <sheetName val="C.E PTAR 1ra Alt P.P"/>
      <sheetName val="C.E PTAR 1ra Alt P.S"/>
      <sheetName val="C.E PTAR 2da Alt P.P"/>
      <sheetName val="C.E PTAR 2da Alt P.S"/>
      <sheetName val="C.E PTAR 2da Alt P.S mas 10%"/>
      <sheetName val="C.E PTAR 2da Alt P.S men 10"/>
      <sheetName val="C.E PTAR 2da Alt P.P mas 10%"/>
      <sheetName val="C.E PTAR 2da Alt P.P men 10"/>
      <sheetName val="C.E Alcant 1ra mas10% p.s."/>
      <sheetName val="C.E Alcant 1ra men10% p.s."/>
      <sheetName val="C.E Alcant 1ra mas10% p.p"/>
      <sheetName val="C.E Alcant 1ra men10% p.p"/>
      <sheetName val="RESUMEN DE EVALUACION"/>
      <sheetName val="CRONOGRAMA VALORIZADO"/>
      <sheetName val="Pres1ra. Alt Agua"/>
      <sheetName val="Pres2da. AlterAgua"/>
      <sheetName val="1RA PTAR"/>
      <sheetName val="2da. PTAR"/>
      <sheetName val="cronograma"/>
      <sheetName val="o&amp;m"/>
      <sheetName val="DEMANDAS"/>
      <sheetName val="Información fuente PP 2ALT"/>
      <sheetName val="Resultados -Evaluación 2ALT"/>
    </sheetNames>
    <sheetDataSet>
      <sheetData sheetId="0"/>
      <sheetData sheetId="1" refreshError="1">
        <row r="31">
          <cell r="D31">
            <v>876</v>
          </cell>
          <cell r="E31">
            <v>1072</v>
          </cell>
          <cell r="F31">
            <v>1197</v>
          </cell>
          <cell r="G31">
            <v>1962</v>
          </cell>
        </row>
        <row r="32">
          <cell r="D32">
            <v>1291</v>
          </cell>
          <cell r="E32">
            <v>1429</v>
          </cell>
          <cell r="F32">
            <v>1665</v>
          </cell>
          <cell r="G32">
            <v>1962</v>
          </cell>
        </row>
        <row r="33">
          <cell r="D33">
            <v>955</v>
          </cell>
          <cell r="E33">
            <v>1116</v>
          </cell>
          <cell r="F33">
            <v>1440</v>
          </cell>
          <cell r="G33">
            <v>1962</v>
          </cell>
        </row>
        <row r="34">
          <cell r="D34">
            <v>978</v>
          </cell>
          <cell r="E34">
            <v>1138</v>
          </cell>
          <cell r="F34">
            <v>1458</v>
          </cell>
          <cell r="G34">
            <v>1962</v>
          </cell>
        </row>
        <row r="35">
          <cell r="D35">
            <v>956</v>
          </cell>
          <cell r="E35">
            <v>1117</v>
          </cell>
          <cell r="F35">
            <v>1441</v>
          </cell>
          <cell r="G35">
            <v>1962</v>
          </cell>
        </row>
        <row r="36">
          <cell r="D36">
            <v>991</v>
          </cell>
          <cell r="E36">
            <v>1151</v>
          </cell>
          <cell r="F36">
            <v>1467</v>
          </cell>
          <cell r="G36">
            <v>1962</v>
          </cell>
        </row>
        <row r="107">
          <cell r="D107">
            <v>1972</v>
          </cell>
          <cell r="E107">
            <v>1981</v>
          </cell>
          <cell r="F107">
            <v>1993</v>
          </cell>
          <cell r="G107">
            <v>2004</v>
          </cell>
        </row>
        <row r="108">
          <cell r="D108">
            <v>876</v>
          </cell>
          <cell r="E108">
            <v>1072</v>
          </cell>
          <cell r="F108">
            <v>1197</v>
          </cell>
          <cell r="G108">
            <v>1962</v>
          </cell>
        </row>
        <row r="109">
          <cell r="D109">
            <v>1274</v>
          </cell>
          <cell r="E109">
            <v>1439</v>
          </cell>
          <cell r="F109">
            <v>1692</v>
          </cell>
          <cell r="G109">
            <v>1962</v>
          </cell>
        </row>
        <row r="110">
          <cell r="D110">
            <v>877</v>
          </cell>
          <cell r="E110">
            <v>1101</v>
          </cell>
          <cell r="F110">
            <v>1488</v>
          </cell>
          <cell r="G110">
            <v>1962</v>
          </cell>
        </row>
        <row r="111">
          <cell r="D111">
            <v>977</v>
          </cell>
          <cell r="E111">
            <v>1189</v>
          </cell>
          <cell r="F111">
            <v>1544</v>
          </cell>
          <cell r="G111">
            <v>1962</v>
          </cell>
        </row>
        <row r="112">
          <cell r="D112">
            <v>1044</v>
          </cell>
          <cell r="E112">
            <v>1247</v>
          </cell>
          <cell r="F112">
            <v>1580</v>
          </cell>
          <cell r="G112">
            <v>1962</v>
          </cell>
        </row>
        <row r="113">
          <cell r="D113">
            <v>1020</v>
          </cell>
          <cell r="E113">
            <v>1226</v>
          </cell>
          <cell r="F113">
            <v>1567</v>
          </cell>
          <cell r="G113">
            <v>1962</v>
          </cell>
        </row>
        <row r="189">
          <cell r="C189">
            <v>1972</v>
          </cell>
          <cell r="D189">
            <v>1981</v>
          </cell>
          <cell r="E189">
            <v>1993</v>
          </cell>
          <cell r="F189">
            <v>2004</v>
          </cell>
        </row>
        <row r="190">
          <cell r="C190">
            <v>876</v>
          </cell>
          <cell r="D190">
            <v>1072</v>
          </cell>
          <cell r="E190">
            <v>1197</v>
          </cell>
          <cell r="F190">
            <v>1962</v>
          </cell>
        </row>
        <row r="191">
          <cell r="C191">
            <v>1663</v>
          </cell>
          <cell r="D191">
            <v>1859</v>
          </cell>
          <cell r="E191">
            <v>1984</v>
          </cell>
          <cell r="F191">
            <v>1962</v>
          </cell>
        </row>
        <row r="192">
          <cell r="C192">
            <v>876</v>
          </cell>
          <cell r="D192">
            <v>1072</v>
          </cell>
          <cell r="E192">
            <v>1466</v>
          </cell>
          <cell r="F192">
            <v>1962</v>
          </cell>
        </row>
        <row r="193">
          <cell r="C193">
            <v>876</v>
          </cell>
          <cell r="D193">
            <v>830</v>
          </cell>
          <cell r="E193">
            <v>1197</v>
          </cell>
          <cell r="F193">
            <v>1962</v>
          </cell>
        </row>
        <row r="194">
          <cell r="C194">
            <v>1464</v>
          </cell>
          <cell r="D194">
            <v>1072</v>
          </cell>
          <cell r="E194">
            <v>1197</v>
          </cell>
          <cell r="F194">
            <v>1962</v>
          </cell>
        </row>
        <row r="195">
          <cell r="C195">
            <v>926</v>
          </cell>
          <cell r="D195">
            <v>949</v>
          </cell>
          <cell r="E195">
            <v>1306</v>
          </cell>
          <cell r="F195">
            <v>1962</v>
          </cell>
        </row>
        <row r="262">
          <cell r="B262">
            <v>2004</v>
          </cell>
          <cell r="C262">
            <v>1962</v>
          </cell>
          <cell r="D262">
            <v>1962</v>
          </cell>
          <cell r="E262">
            <v>1962</v>
          </cell>
          <cell r="F262">
            <v>1962</v>
          </cell>
          <cell r="G262">
            <v>1962</v>
          </cell>
        </row>
        <row r="263">
          <cell r="B263">
            <v>2005</v>
          </cell>
          <cell r="C263">
            <v>2009.088</v>
          </cell>
          <cell r="D263">
            <v>2029.4928</v>
          </cell>
          <cell r="E263">
            <v>2013.4043999999999</v>
          </cell>
          <cell r="F263">
            <v>2037.1080464440522</v>
          </cell>
          <cell r="G263">
            <v>1827.4914529914531</v>
          </cell>
        </row>
        <row r="264">
          <cell r="B264">
            <v>2006</v>
          </cell>
          <cell r="C264">
            <v>2057.3061119999998</v>
          </cell>
          <cell r="D264">
            <v>2096.9856</v>
          </cell>
          <cell r="E264">
            <v>2066.1555952799999</v>
          </cell>
          <cell r="F264">
            <v>2114.8065755642556</v>
          </cell>
          <cell r="G264">
            <v>1858.9623931623933</v>
          </cell>
        </row>
        <row r="265">
          <cell r="B265">
            <v>2007</v>
          </cell>
          <cell r="C265">
            <v>2106.681458688</v>
          </cell>
          <cell r="D265">
            <v>2164.4784</v>
          </cell>
          <cell r="E265">
            <v>2120.2888718763361</v>
          </cell>
          <cell r="F265">
            <v>2195.0955873606094</v>
          </cell>
          <cell r="G265">
            <v>1890.4333333333334</v>
          </cell>
        </row>
        <row r="266">
          <cell r="B266">
            <v>2008</v>
          </cell>
          <cell r="C266">
            <v>2157.2418136965121</v>
          </cell>
          <cell r="D266">
            <v>2231.9712</v>
          </cell>
          <cell r="E266">
            <v>2175.8404403194959</v>
          </cell>
          <cell r="F266">
            <v>2277.9750818331154</v>
          </cell>
          <cell r="G266">
            <v>1921.9042735042738</v>
          </cell>
        </row>
        <row r="267">
          <cell r="B267">
            <v>2009</v>
          </cell>
          <cell r="C267">
            <v>2209.0156172252287</v>
          </cell>
          <cell r="D267">
            <v>2299.4639999999999</v>
          </cell>
          <cell r="E267">
            <v>2232.8474598558664</v>
          </cell>
          <cell r="F267">
            <v>2363.445058981772</v>
          </cell>
          <cell r="G267">
            <v>1953.3752136752139</v>
          </cell>
        </row>
        <row r="268">
          <cell r="B268">
            <v>2010</v>
          </cell>
          <cell r="C268">
            <v>2262.0319920386337</v>
          </cell>
          <cell r="D268">
            <v>2366.9567999999999</v>
          </cell>
          <cell r="E268">
            <v>2291.3480633040904</v>
          </cell>
          <cell r="F268">
            <v>2451.5055188065794</v>
          </cell>
          <cell r="G268">
            <v>1984.846153846154</v>
          </cell>
        </row>
        <row r="269">
          <cell r="B269">
            <v>2011</v>
          </cell>
          <cell r="C269">
            <v>2316.320759847561</v>
          </cell>
          <cell r="D269">
            <v>2434.4495999999999</v>
          </cell>
          <cell r="E269">
            <v>2351.381382562658</v>
          </cell>
          <cell r="F269">
            <v>2542.1564613075388</v>
          </cell>
          <cell r="G269">
            <v>2016.3170940170942</v>
          </cell>
        </row>
        <row r="270">
          <cell r="B270">
            <v>2012</v>
          </cell>
          <cell r="C270">
            <v>2371.912458083902</v>
          </cell>
          <cell r="D270">
            <v>2501.9423999999999</v>
          </cell>
          <cell r="E270">
            <v>2412.9875747857991</v>
          </cell>
          <cell r="F270">
            <v>2635.397886484649</v>
          </cell>
          <cell r="G270">
            <v>2047.7880341880343</v>
          </cell>
        </row>
        <row r="271">
          <cell r="B271">
            <v>2013</v>
          </cell>
          <cell r="C271">
            <v>2428.8383570779156</v>
          </cell>
          <cell r="D271">
            <v>2569.4352000000003</v>
          </cell>
          <cell r="E271">
            <v>2476.2078492451869</v>
          </cell>
          <cell r="F271">
            <v>2731.2297943379103</v>
          </cell>
          <cell r="G271">
            <v>2079.2589743589747</v>
          </cell>
        </row>
        <row r="272">
          <cell r="B272">
            <v>2014</v>
          </cell>
          <cell r="C272">
            <v>2487.1304776477859</v>
          </cell>
          <cell r="D272">
            <v>2636.9279999999999</v>
          </cell>
          <cell r="E272">
            <v>2541.0844948954109</v>
          </cell>
          <cell r="F272">
            <v>2829.6521848673228</v>
          </cell>
          <cell r="G272">
            <v>2110.7299145299148</v>
          </cell>
        </row>
        <row r="273">
          <cell r="B273">
            <v>2015</v>
          </cell>
          <cell r="C273">
            <v>2546.8216091113331</v>
          </cell>
          <cell r="D273">
            <v>2704.4208000000003</v>
          </cell>
          <cell r="E273">
            <v>2607.6609086616709</v>
          </cell>
          <cell r="F273">
            <v>2930.6650580728865</v>
          </cell>
          <cell r="G273">
            <v>2142.200854700855</v>
          </cell>
        </row>
        <row r="274">
          <cell r="B274">
            <v>2016</v>
          </cell>
          <cell r="C274">
            <v>2607.9453277300049</v>
          </cell>
          <cell r="D274">
            <v>2771.9136000000003</v>
          </cell>
          <cell r="E274">
            <v>2675.9816244686067</v>
          </cell>
          <cell r="F274">
            <v>3034.2684139546013</v>
          </cell>
          <cell r="G274">
            <v>2173.6717948717951</v>
          </cell>
        </row>
        <row r="275">
          <cell r="B275">
            <v>2017</v>
          </cell>
          <cell r="C275">
            <v>2670.536015595525</v>
          </cell>
          <cell r="D275">
            <v>2839.4064000000003</v>
          </cell>
          <cell r="E275">
            <v>2746.0923430296839</v>
          </cell>
          <cell r="F275">
            <v>3140.4622525124673</v>
          </cell>
          <cell r="G275">
            <v>2205.1427350427352</v>
          </cell>
        </row>
        <row r="276">
          <cell r="B276">
            <v>2018</v>
          </cell>
          <cell r="C276">
            <v>2734.6288799698173</v>
          </cell>
          <cell r="D276">
            <v>2906.8991999999998</v>
          </cell>
          <cell r="E276">
            <v>2818.0399624170618</v>
          </cell>
          <cell r="F276">
            <v>3249.246573746484</v>
          </cell>
          <cell r="G276">
            <v>2236.6136752136754</v>
          </cell>
        </row>
        <row r="277">
          <cell r="B277">
            <v>2019</v>
          </cell>
          <cell r="C277">
            <v>2800.2599730890934</v>
          </cell>
          <cell r="D277">
            <v>2974.3919999999998</v>
          </cell>
          <cell r="E277">
            <v>2891.8726094323893</v>
          </cell>
          <cell r="F277">
            <v>3360.6213776566524</v>
          </cell>
          <cell r="G277">
            <v>2268.0846153846155</v>
          </cell>
        </row>
        <row r="278">
          <cell r="B278">
            <v>2020</v>
          </cell>
          <cell r="C278">
            <v>2867.4662124432311</v>
          </cell>
          <cell r="D278">
            <v>3041.8847999999998</v>
          </cell>
          <cell r="E278">
            <v>2967.6396717995171</v>
          </cell>
          <cell r="F278">
            <v>3474.5866642429719</v>
          </cell>
          <cell r="G278">
            <v>2299.5555555555557</v>
          </cell>
        </row>
        <row r="279">
          <cell r="B279">
            <v>2021</v>
          </cell>
          <cell r="C279">
            <v>2936.2854015418689</v>
          </cell>
          <cell r="D279">
            <v>3109.3775999999998</v>
          </cell>
          <cell r="E279">
            <v>3045.3918312006645</v>
          </cell>
          <cell r="F279">
            <v>3591.1424335054426</v>
          </cell>
          <cell r="G279">
            <v>2331.0264957264958</v>
          </cell>
        </row>
        <row r="280">
          <cell r="B280">
            <v>2022</v>
          </cell>
          <cell r="C280">
            <v>3006.7562511788733</v>
          </cell>
          <cell r="D280">
            <v>3176.8703999999998</v>
          </cell>
          <cell r="E280">
            <v>3125.1810971781215</v>
          </cell>
          <cell r="F280">
            <v>3710.2886854440644</v>
          </cell>
          <cell r="G280">
            <v>2362.4974358974359</v>
          </cell>
        </row>
        <row r="281">
          <cell r="B281">
            <v>2023</v>
          </cell>
          <cell r="C281">
            <v>3078.9184012071669</v>
          </cell>
          <cell r="D281">
            <v>3244.3631999999998</v>
          </cell>
          <cell r="E281">
            <v>3207.0608419241889</v>
          </cell>
          <cell r="F281">
            <v>3832.025420058837</v>
          </cell>
          <cell r="G281">
            <v>2393.9683760683761</v>
          </cell>
        </row>
        <row r="282">
          <cell r="B282">
            <v>2024</v>
          </cell>
          <cell r="C282">
            <v>3152.8124428361384</v>
          </cell>
          <cell r="D282">
            <v>3311.8559999999998</v>
          </cell>
          <cell r="E282">
            <v>3291.0858359826025</v>
          </cell>
          <cell r="F282">
            <v>3956.3526373497612</v>
          </cell>
          <cell r="G282">
            <v>2425.4393162393162</v>
          </cell>
        </row>
        <row r="283">
          <cell r="B283">
            <v>2025</v>
          </cell>
          <cell r="C283">
            <v>3228.4799414642061</v>
          </cell>
          <cell r="D283">
            <v>3379.3487999999998</v>
          </cell>
          <cell r="E283">
            <v>3377.3122848853463</v>
          </cell>
          <cell r="F283">
            <v>4083.2703373168365</v>
          </cell>
          <cell r="G283">
            <v>2456.9102564102568</v>
          </cell>
        </row>
        <row r="284">
          <cell r="B284">
            <v>2026</v>
          </cell>
          <cell r="C284">
            <v>3305.9634600593463</v>
          </cell>
          <cell r="D284">
            <v>3446.8415999999997</v>
          </cell>
          <cell r="E284">
            <v>3465.7978667493426</v>
          </cell>
          <cell r="F284">
            <v>4212.7785199600621</v>
          </cell>
          <cell r="G284">
            <v>2488.3811965811965</v>
          </cell>
        </row>
        <row r="285">
          <cell r="B285">
            <v>2027</v>
          </cell>
          <cell r="C285">
            <v>3385.3065831007716</v>
          </cell>
          <cell r="D285">
            <v>3514.3343999999997</v>
          </cell>
          <cell r="E285">
            <v>3556.6017708581762</v>
          </cell>
          <cell r="F285">
            <v>4344.8771852794398</v>
          </cell>
          <cell r="G285">
            <v>2519.8521367521371</v>
          </cell>
        </row>
        <row r="286">
          <cell r="B286">
            <v>2028</v>
          </cell>
          <cell r="C286">
            <v>3466.5539410951892</v>
          </cell>
          <cell r="D286">
            <v>3581.8272000000002</v>
          </cell>
          <cell r="E286">
            <v>3649.7847372546594</v>
          </cell>
          <cell r="F286">
            <v>4479.5663332749691</v>
          </cell>
          <cell r="G286">
            <v>2551.3230769230772</v>
          </cell>
        </row>
        <row r="287">
          <cell r="B287">
            <v>2029</v>
          </cell>
          <cell r="C287">
            <v>3549.7512356814736</v>
          </cell>
          <cell r="D287">
            <v>3649.3199999999997</v>
          </cell>
          <cell r="E287">
            <v>3745.4090973707312</v>
          </cell>
          <cell r="F287">
            <v>4616.8459639466491</v>
          </cell>
          <cell r="G287">
            <v>2582.7940170940174</v>
          </cell>
        </row>
        <row r="288">
          <cell r="B288">
            <v>2030</v>
          </cell>
          <cell r="C288">
            <v>3634.9452653378289</v>
          </cell>
          <cell r="D288">
            <v>3716.8128000000002</v>
          </cell>
          <cell r="E288">
            <v>3843.5388157218445</v>
          </cell>
          <cell r="F288">
            <v>4756.7160772944799</v>
          </cell>
          <cell r="G288">
            <v>2614.2649572649575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so"/>
      <sheetName val="Poblacion"/>
      <sheetName val="Dato"/>
      <sheetName val="Usuarios"/>
      <sheetName val="Usuarios Potencial"/>
      <sheetName val="Demanda Pasiva Agua"/>
      <sheetName val="Demanda Pasiva Alcant"/>
      <sheetName val="Grafpasagua"/>
      <sheetName val="Grafpasalc"/>
      <sheetName val="Metas"/>
      <sheetName val="Demanda Activa Agua"/>
      <sheetName val="GrafActAgua"/>
      <sheetName val="Demanda Activa Alcant"/>
      <sheetName val="GrafActAlc"/>
      <sheetName val="Oferta de Agua"/>
      <sheetName val="Grafoferprog"/>
      <sheetName val="Caudales de Diseño"/>
      <sheetName val="Contribucion"/>
      <sheetName val="Grafcontri"/>
      <sheetName val="Caudales de Diseño alc."/>
      <sheetName val="DiagnostAg"/>
      <sheetName val="Captacion"/>
      <sheetName val="PreTratamiento"/>
      <sheetName val="ConduCruda"/>
      <sheetName val="Tratamiento"/>
      <sheetName val="ConduTratada"/>
      <sheetName val="Almacena"/>
      <sheetName val="AducciónTratada"/>
      <sheetName val="EstBombeo"/>
      <sheetName val="RedPrimaria"/>
      <sheetName val="RedSecond"/>
      <sheetName val="ConexDomici"/>
      <sheetName val="PMedidores"/>
      <sheetName val="Colectores Primarios"/>
      <sheetName val="Colectores Secundarios"/>
      <sheetName val="Trat.AguasServ."/>
      <sheetName val="Emisores"/>
      <sheetName val="ConexDesa"/>
      <sheetName val="PMIO(Operativo)"/>
      <sheetName val="PMIO(Rehab)"/>
      <sheetName val="Inv.Agua.Potable"/>
      <sheetName val="InvAlcantarillado"/>
      <sheetName val="Vol.Venta"/>
      <sheetName val="Módulo2"/>
      <sheetName val="Módulo1"/>
    </sheetNames>
    <sheetDataSet>
      <sheetData sheetId="0"/>
      <sheetData sheetId="1"/>
      <sheetData sheetId="2"/>
      <sheetData sheetId="3"/>
      <sheetData sheetId="4"/>
      <sheetData sheetId="5">
        <row r="14">
          <cell r="R14">
            <v>91242.826576430583</v>
          </cell>
          <cell r="S14">
            <v>277249.16666666669</v>
          </cell>
        </row>
        <row r="15">
          <cell r="R15">
            <v>25550.95770592607</v>
          </cell>
          <cell r="S15">
            <v>277249.16666666669</v>
          </cell>
        </row>
        <row r="16">
          <cell r="R16">
            <v>25790.100319564641</v>
          </cell>
          <cell r="S16">
            <v>277249.16666666669</v>
          </cell>
        </row>
        <row r="17">
          <cell r="R17">
            <v>26032.033907881523</v>
          </cell>
          <cell r="S17">
            <v>277249.16666666669</v>
          </cell>
        </row>
        <row r="18">
          <cell r="R18">
            <v>26276.758470876754</v>
          </cell>
          <cell r="S18">
            <v>277249.16666666669</v>
          </cell>
        </row>
        <row r="19">
          <cell r="R19">
            <v>26524.274008550368</v>
          </cell>
          <cell r="S19">
            <v>277249.16666666669</v>
          </cell>
        </row>
        <row r="20">
          <cell r="R20">
            <v>26774.580520902338</v>
          </cell>
          <cell r="S20">
            <v>277249.16666666669</v>
          </cell>
        </row>
        <row r="21">
          <cell r="R21">
            <v>27027.678007932678</v>
          </cell>
          <cell r="S21">
            <v>277249.16666666669</v>
          </cell>
        </row>
        <row r="22">
          <cell r="R22">
            <v>27283.566469641373</v>
          </cell>
          <cell r="S22">
            <v>277249.16666666669</v>
          </cell>
        </row>
        <row r="23">
          <cell r="R23">
            <v>27542.245906028424</v>
          </cell>
          <cell r="S23">
            <v>277249.16666666669</v>
          </cell>
        </row>
        <row r="24">
          <cell r="R24">
            <v>27803.716317093858</v>
          </cell>
          <cell r="S24">
            <v>277249.16666666669</v>
          </cell>
        </row>
        <row r="25">
          <cell r="R25">
            <v>28067.977702837597</v>
          </cell>
          <cell r="S25">
            <v>277249.16666666669</v>
          </cell>
        </row>
        <row r="26">
          <cell r="R26">
            <v>28335.03006325975</v>
          </cell>
          <cell r="S26">
            <v>277249.16666666669</v>
          </cell>
        </row>
        <row r="27">
          <cell r="R27">
            <v>28604.873398360221</v>
          </cell>
          <cell r="S27">
            <v>277249.16666666669</v>
          </cell>
        </row>
        <row r="28">
          <cell r="R28">
            <v>28877.507708139092</v>
          </cell>
          <cell r="S28">
            <v>277249.16666666669</v>
          </cell>
        </row>
        <row r="29">
          <cell r="R29">
            <v>29152.932992596361</v>
          </cell>
          <cell r="S29">
            <v>277249.16666666669</v>
          </cell>
        </row>
        <row r="30">
          <cell r="R30">
            <v>29431.149251731898</v>
          </cell>
          <cell r="S30">
            <v>277249.16666666669</v>
          </cell>
        </row>
        <row r="31">
          <cell r="R31">
            <v>29712.156485545864</v>
          </cell>
          <cell r="S31">
            <v>277249.16666666669</v>
          </cell>
        </row>
        <row r="32">
          <cell r="R32">
            <v>29995.954694038119</v>
          </cell>
          <cell r="S32">
            <v>277249.16666666669</v>
          </cell>
        </row>
        <row r="33">
          <cell r="R33">
            <v>30282.543877208765</v>
          </cell>
          <cell r="S33">
            <v>277249.16666666669</v>
          </cell>
        </row>
        <row r="34">
          <cell r="R34">
            <v>30571.924035057833</v>
          </cell>
          <cell r="S34">
            <v>277249.16666666669</v>
          </cell>
        </row>
        <row r="35">
          <cell r="R35">
            <v>30864.095167585205</v>
          </cell>
          <cell r="S35">
            <v>277249.16666666669</v>
          </cell>
        </row>
        <row r="36">
          <cell r="R36">
            <v>31159.057274790954</v>
          </cell>
          <cell r="S36">
            <v>277249.16666666669</v>
          </cell>
        </row>
        <row r="37">
          <cell r="R37">
            <v>31456.810356675014</v>
          </cell>
          <cell r="S37">
            <v>277249.16666666669</v>
          </cell>
        </row>
        <row r="38">
          <cell r="R38">
            <v>31757.354413237488</v>
          </cell>
          <cell r="S38">
            <v>277249.16666666669</v>
          </cell>
        </row>
        <row r="39">
          <cell r="R39">
            <v>32060.689444478354</v>
          </cell>
          <cell r="S39">
            <v>277249.16666666669</v>
          </cell>
        </row>
      </sheetData>
      <sheetData sheetId="6"/>
      <sheetData sheetId="7"/>
      <sheetData sheetId="8"/>
      <sheetData sheetId="9"/>
      <sheetData sheetId="10">
        <row r="14">
          <cell r="R14">
            <v>91242.826576430598</v>
          </cell>
          <cell r="S14">
            <v>277249.16666666669</v>
          </cell>
        </row>
        <row r="15">
          <cell r="R15">
            <v>20414.603745553097</v>
          </cell>
          <cell r="S15">
            <v>336384.00000000006</v>
          </cell>
        </row>
        <row r="16">
          <cell r="R16">
            <v>11557.599107443413</v>
          </cell>
          <cell r="S16">
            <v>462528.00000000006</v>
          </cell>
        </row>
        <row r="17">
          <cell r="R17">
            <v>11127.472695760305</v>
          </cell>
          <cell r="S17">
            <v>546624</v>
          </cell>
        </row>
        <row r="18">
          <cell r="R18">
            <v>10700.137258755502</v>
          </cell>
          <cell r="S18">
            <v>588672.00000000012</v>
          </cell>
        </row>
        <row r="19">
          <cell r="R19">
            <v>10275.59279642914</v>
          </cell>
          <cell r="S19">
            <v>630720</v>
          </cell>
        </row>
        <row r="20">
          <cell r="R20">
            <v>10525.899308781125</v>
          </cell>
          <cell r="S20">
            <v>639129.59999999998</v>
          </cell>
        </row>
        <row r="21">
          <cell r="R21">
            <v>10778.99679581145</v>
          </cell>
          <cell r="S21">
            <v>647539.20000000007</v>
          </cell>
        </row>
        <row r="22">
          <cell r="R22">
            <v>11034.885257520153</v>
          </cell>
          <cell r="S22">
            <v>655948.80000000005</v>
          </cell>
        </row>
        <row r="23">
          <cell r="R23">
            <v>11293.56469390721</v>
          </cell>
          <cell r="S23">
            <v>664358.40000000002</v>
          </cell>
        </row>
        <row r="24">
          <cell r="R24">
            <v>11555.035104972645</v>
          </cell>
          <cell r="S24">
            <v>672768.00000000012</v>
          </cell>
        </row>
        <row r="25">
          <cell r="R25">
            <v>11819.29649071637</v>
          </cell>
          <cell r="S25">
            <v>672768.00000000012</v>
          </cell>
        </row>
        <row r="26">
          <cell r="R26">
            <v>12086.348851138537</v>
          </cell>
          <cell r="S26">
            <v>672768.00000000012</v>
          </cell>
        </row>
        <row r="27">
          <cell r="R27">
            <v>12356.192186239008</v>
          </cell>
          <cell r="S27">
            <v>672768.00000000012</v>
          </cell>
        </row>
        <row r="28">
          <cell r="R28">
            <v>12628.826496017879</v>
          </cell>
          <cell r="S28">
            <v>672768.00000000012</v>
          </cell>
        </row>
        <row r="29">
          <cell r="R29">
            <v>12904.251780475148</v>
          </cell>
          <cell r="S29">
            <v>672768.00000000012</v>
          </cell>
        </row>
        <row r="30">
          <cell r="R30">
            <v>13182.468039610678</v>
          </cell>
          <cell r="S30">
            <v>672768.00000000012</v>
          </cell>
        </row>
        <row r="31">
          <cell r="R31">
            <v>13463.47527342465</v>
          </cell>
          <cell r="S31">
            <v>672768.00000000012</v>
          </cell>
        </row>
        <row r="32">
          <cell r="R32">
            <v>13747.273481916905</v>
          </cell>
          <cell r="S32">
            <v>672768.00000000012</v>
          </cell>
        </row>
        <row r="33">
          <cell r="R33">
            <v>14033.862665087552</v>
          </cell>
          <cell r="S33">
            <v>672768.00000000012</v>
          </cell>
        </row>
        <row r="34">
          <cell r="R34">
            <v>14323.242822936605</v>
          </cell>
          <cell r="S34">
            <v>672768.00000000012</v>
          </cell>
        </row>
        <row r="35">
          <cell r="R35">
            <v>14615.413955463984</v>
          </cell>
          <cell r="S35">
            <v>672768.00000000012</v>
          </cell>
        </row>
        <row r="36">
          <cell r="R36">
            <v>14910.37606266974</v>
          </cell>
          <cell r="S36">
            <v>672768.00000000012</v>
          </cell>
        </row>
        <row r="37">
          <cell r="R37">
            <v>15208.129144553801</v>
          </cell>
          <cell r="S37">
            <v>672768.00000000012</v>
          </cell>
        </row>
        <row r="38">
          <cell r="R38">
            <v>15508.673201116275</v>
          </cell>
          <cell r="S38">
            <v>672768.00000000012</v>
          </cell>
        </row>
        <row r="39">
          <cell r="R39">
            <v>15812.008232357141</v>
          </cell>
          <cell r="S39">
            <v>672768.00000000012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1">
          <cell r="S11">
            <v>439.43978090815921</v>
          </cell>
        </row>
      </sheetData>
      <sheetData sheetId="22">
        <row r="13">
          <cell r="O13">
            <v>55.295999999999999</v>
          </cell>
          <cell r="P13">
            <v>63.936000000000007</v>
          </cell>
        </row>
        <row r="14">
          <cell r="O14">
            <v>55.295999999999999</v>
          </cell>
          <cell r="P14">
            <v>63.936000000000007</v>
          </cell>
        </row>
        <row r="15">
          <cell r="O15">
            <v>55.295999999999999</v>
          </cell>
          <cell r="P15">
            <v>63.936000000000007</v>
          </cell>
        </row>
        <row r="16">
          <cell r="O16">
            <v>55.295999999999999</v>
          </cell>
          <cell r="P16">
            <v>63.936000000000007</v>
          </cell>
        </row>
        <row r="17">
          <cell r="O17">
            <v>55.295999999999999</v>
          </cell>
          <cell r="P17">
            <v>63.936000000000007</v>
          </cell>
        </row>
        <row r="18">
          <cell r="O18">
            <v>55.295999999999999</v>
          </cell>
          <cell r="P18">
            <v>63.936000000000007</v>
          </cell>
        </row>
        <row r="19">
          <cell r="O19">
            <v>55.295999999999999</v>
          </cell>
          <cell r="P19">
            <v>63.936000000000007</v>
          </cell>
        </row>
        <row r="20">
          <cell r="O20">
            <v>55.295999999999999</v>
          </cell>
          <cell r="P20">
            <v>63.936000000000007</v>
          </cell>
        </row>
        <row r="21">
          <cell r="O21">
            <v>55.295999999999999</v>
          </cell>
          <cell r="P21">
            <v>63.936000000000007</v>
          </cell>
        </row>
        <row r="22">
          <cell r="O22">
            <v>72.575999999999993</v>
          </cell>
          <cell r="P22">
            <v>63.936000000000007</v>
          </cell>
        </row>
        <row r="23">
          <cell r="O23">
            <v>72.575999999999993</v>
          </cell>
          <cell r="P23">
            <v>63.936000000000007</v>
          </cell>
        </row>
        <row r="24">
          <cell r="O24">
            <v>72.575999999999993</v>
          </cell>
          <cell r="P24">
            <v>63.936000000000007</v>
          </cell>
        </row>
        <row r="25">
          <cell r="O25">
            <v>72.575999999999993</v>
          </cell>
          <cell r="P25">
            <v>63.936000000000007</v>
          </cell>
        </row>
        <row r="26">
          <cell r="O26">
            <v>72.575999999999993</v>
          </cell>
          <cell r="P26">
            <v>63.936000000000007</v>
          </cell>
        </row>
        <row r="27">
          <cell r="O27">
            <v>72.575999999999993</v>
          </cell>
          <cell r="P27">
            <v>63.936000000000007</v>
          </cell>
        </row>
        <row r="28">
          <cell r="O28">
            <v>72.575999999999993</v>
          </cell>
          <cell r="P28">
            <v>63.936000000000007</v>
          </cell>
        </row>
        <row r="29">
          <cell r="O29">
            <v>72.575999999999993</v>
          </cell>
          <cell r="P29">
            <v>63.936000000000007</v>
          </cell>
        </row>
        <row r="30">
          <cell r="O30">
            <v>72.575999999999993</v>
          </cell>
          <cell r="P30">
            <v>63.936000000000007</v>
          </cell>
        </row>
        <row r="31">
          <cell r="O31">
            <v>72.575999999999993</v>
          </cell>
          <cell r="P31">
            <v>63.936000000000007</v>
          </cell>
        </row>
        <row r="32">
          <cell r="O32">
            <v>72.575999999999993</v>
          </cell>
          <cell r="P32">
            <v>63.936000000000007</v>
          </cell>
        </row>
        <row r="33">
          <cell r="O33">
            <v>72.575999999999993</v>
          </cell>
          <cell r="P33">
            <v>63.936000000000007</v>
          </cell>
        </row>
        <row r="34">
          <cell r="O34">
            <v>81.215999999999994</v>
          </cell>
          <cell r="P34">
            <v>63.936000000000007</v>
          </cell>
        </row>
        <row r="35">
          <cell r="O35">
            <v>81.215999999999994</v>
          </cell>
          <cell r="P35">
            <v>63.936000000000007</v>
          </cell>
        </row>
        <row r="36">
          <cell r="O36">
            <v>81.215999999999994</v>
          </cell>
          <cell r="P36">
            <v>63.936000000000007</v>
          </cell>
        </row>
        <row r="37">
          <cell r="O37">
            <v>81.215999999999994</v>
          </cell>
          <cell r="P37">
            <v>63.936000000000007</v>
          </cell>
        </row>
        <row r="38">
          <cell r="O38">
            <v>81.215999999999994</v>
          </cell>
          <cell r="P38">
            <v>63.936000000000007</v>
          </cell>
        </row>
        <row r="43">
          <cell r="P43" t="str">
            <v xml:space="preserve"> </v>
          </cell>
        </row>
      </sheetData>
      <sheetData sheetId="23">
        <row r="11">
          <cell r="O11">
            <v>439.43978090815921</v>
          </cell>
        </row>
      </sheetData>
      <sheetData sheetId="24">
        <row r="11">
          <cell r="T11">
            <v>332.18886132419169</v>
          </cell>
        </row>
      </sheetData>
      <sheetData sheetId="25">
        <row r="12">
          <cell r="O12">
            <v>439.43978090815921</v>
          </cell>
          <cell r="P12">
            <v>830</v>
          </cell>
        </row>
        <row r="13">
          <cell r="O13">
            <v>9.3253804348322724</v>
          </cell>
          <cell r="P13">
            <v>830</v>
          </cell>
        </row>
        <row r="14">
          <cell r="O14">
            <v>7.33585324922133</v>
          </cell>
          <cell r="P14">
            <v>830</v>
          </cell>
        </row>
        <row r="15">
          <cell r="O15">
            <v>6.5770264464428356</v>
          </cell>
          <cell r="P15">
            <v>830</v>
          </cell>
        </row>
        <row r="16">
          <cell r="O16">
            <v>6.406896432338983</v>
          </cell>
          <cell r="P16">
            <v>830</v>
          </cell>
        </row>
        <row r="17">
          <cell r="O17">
            <v>6.2666682071846456</v>
          </cell>
          <cell r="P17">
            <v>830</v>
          </cell>
        </row>
        <row r="18">
          <cell r="O18">
            <v>6.3864849659214959</v>
          </cell>
          <cell r="P18">
            <v>50</v>
          </cell>
        </row>
        <row r="19">
          <cell r="O19">
            <v>6.507298141176773</v>
          </cell>
          <cell r="P19">
            <v>450</v>
          </cell>
        </row>
        <row r="20">
          <cell r="O20">
            <v>6.6291094254886618</v>
          </cell>
          <cell r="P20">
            <v>450</v>
          </cell>
        </row>
        <row r="21">
          <cell r="O21">
            <v>6.7519204256972065</v>
          </cell>
          <cell r="P21">
            <v>450</v>
          </cell>
        </row>
        <row r="22">
          <cell r="O22">
            <v>6.8757326683004463</v>
          </cell>
          <cell r="P22">
            <v>450</v>
          </cell>
        </row>
        <row r="23">
          <cell r="O23">
            <v>7.0329793254003388</v>
          </cell>
          <cell r="P23">
            <v>450</v>
          </cell>
        </row>
        <row r="24">
          <cell r="O24">
            <v>7.1918867300096991</v>
          </cell>
          <cell r="P24">
            <v>450</v>
          </cell>
        </row>
        <row r="25">
          <cell r="O25">
            <v>7.3524548821285274</v>
          </cell>
          <cell r="P25">
            <v>450</v>
          </cell>
        </row>
        <row r="26">
          <cell r="O26">
            <v>7.5146837817568199</v>
          </cell>
          <cell r="P26">
            <v>450</v>
          </cell>
        </row>
        <row r="27">
          <cell r="O27">
            <v>7.6785734288945857</v>
          </cell>
          <cell r="P27">
            <v>450</v>
          </cell>
        </row>
        <row r="28">
          <cell r="O28">
            <v>7.8441238235418158</v>
          </cell>
          <cell r="P28">
            <v>450</v>
          </cell>
        </row>
        <row r="29">
          <cell r="O29">
            <v>8.0113349656985182</v>
          </cell>
          <cell r="P29">
            <v>450</v>
          </cell>
        </row>
        <row r="30">
          <cell r="O30">
            <v>8.1802068553646876</v>
          </cell>
          <cell r="P30">
            <v>450</v>
          </cell>
        </row>
        <row r="31">
          <cell r="O31">
            <v>8.3507394925403258</v>
          </cell>
          <cell r="P31">
            <v>450</v>
          </cell>
        </row>
        <row r="32">
          <cell r="O32">
            <v>8.5229328772254309</v>
          </cell>
          <cell r="P32">
            <v>450</v>
          </cell>
        </row>
        <row r="33">
          <cell r="O33">
            <v>8.6967870094200013</v>
          </cell>
          <cell r="P33">
            <v>450</v>
          </cell>
        </row>
        <row r="34">
          <cell r="O34">
            <v>8.8723018891240457</v>
          </cell>
          <cell r="P34">
            <v>450</v>
          </cell>
        </row>
        <row r="35">
          <cell r="O35">
            <v>9.0494775163375554</v>
          </cell>
          <cell r="P35">
            <v>500</v>
          </cell>
        </row>
        <row r="36">
          <cell r="O36">
            <v>9.2283138910605356</v>
          </cell>
          <cell r="P36">
            <v>500</v>
          </cell>
        </row>
        <row r="37">
          <cell r="O37">
            <v>9.4088110132929845</v>
          </cell>
          <cell r="P37">
            <v>500</v>
          </cell>
        </row>
      </sheetData>
      <sheetData sheetId="26">
        <row r="15">
          <cell r="P15">
            <v>7301</v>
          </cell>
        </row>
      </sheetData>
      <sheetData sheetId="27"/>
      <sheetData sheetId="28"/>
      <sheetData sheetId="29"/>
      <sheetData sheetId="30"/>
      <sheetData sheetId="31">
        <row r="13">
          <cell r="Q13">
            <v>11594</v>
          </cell>
        </row>
      </sheetData>
      <sheetData sheetId="32">
        <row r="14">
          <cell r="U14">
            <v>11594</v>
          </cell>
        </row>
      </sheetData>
      <sheetData sheetId="33"/>
      <sheetData sheetId="34"/>
      <sheetData sheetId="35">
        <row r="19">
          <cell r="X19">
            <v>707.86411700073268</v>
          </cell>
          <cell r="Y19">
            <v>0</v>
          </cell>
        </row>
        <row r="20">
          <cell r="X20">
            <v>79.907245623371836</v>
          </cell>
          <cell r="Y20">
            <v>0</v>
          </cell>
        </row>
        <row r="21">
          <cell r="X21">
            <v>59.49987930533316</v>
          </cell>
          <cell r="Y21">
            <v>0</v>
          </cell>
        </row>
        <row r="22">
          <cell r="X22">
            <v>46.764667934106839</v>
          </cell>
          <cell r="Y22">
            <v>0</v>
          </cell>
        </row>
        <row r="23">
          <cell r="X23">
            <v>40.419508401956875</v>
          </cell>
          <cell r="Y23">
            <v>0</v>
          </cell>
        </row>
        <row r="24">
          <cell r="X24">
            <v>34.033222318928132</v>
          </cell>
          <cell r="Y24">
            <v>0</v>
          </cell>
        </row>
        <row r="25">
          <cell r="X25">
            <v>32.962961800957935</v>
          </cell>
          <cell r="Y25">
            <v>0</v>
          </cell>
        </row>
        <row r="26">
          <cell r="X26">
            <v>31.900958172559658</v>
          </cell>
          <cell r="Y26">
            <v>0</v>
          </cell>
        </row>
        <row r="27">
          <cell r="X27">
            <v>30.847338875499577</v>
          </cell>
          <cell r="Y27">
            <v>0</v>
          </cell>
        </row>
        <row r="28">
          <cell r="X28">
            <v>29.802231351543711</v>
          </cell>
          <cell r="Y28">
            <v>0</v>
          </cell>
        </row>
        <row r="29">
          <cell r="X29">
            <v>28.765763042458229</v>
          </cell>
          <cell r="Y29">
            <v>0</v>
          </cell>
        </row>
        <row r="30">
          <cell r="X30">
            <v>28.838163422114043</v>
          </cell>
          <cell r="Y30">
            <v>0</v>
          </cell>
        </row>
        <row r="31">
          <cell r="X31">
            <v>28.911328452366693</v>
          </cell>
          <cell r="Y31">
            <v>0</v>
          </cell>
        </row>
        <row r="32">
          <cell r="X32">
            <v>28.985258133216142</v>
          </cell>
          <cell r="Y32">
            <v>0</v>
          </cell>
        </row>
        <row r="33">
          <cell r="X33">
            <v>29.059952464662402</v>
          </cell>
          <cell r="Y33">
            <v>0</v>
          </cell>
        </row>
        <row r="34">
          <cell r="X34">
            <v>29.13541144670549</v>
          </cell>
          <cell r="Y34">
            <v>0</v>
          </cell>
        </row>
        <row r="35">
          <cell r="X35">
            <v>29.21163507934536</v>
          </cell>
          <cell r="Y35">
            <v>0</v>
          </cell>
        </row>
        <row r="36">
          <cell r="X36">
            <v>29.288623362582065</v>
          </cell>
          <cell r="Y36">
            <v>0</v>
          </cell>
        </row>
        <row r="37">
          <cell r="X37">
            <v>29.366376296415563</v>
          </cell>
          <cell r="Y37">
            <v>0</v>
          </cell>
        </row>
        <row r="38">
          <cell r="X38">
            <v>29.444893880845875</v>
          </cell>
          <cell r="Y38">
            <v>0</v>
          </cell>
        </row>
        <row r="39">
          <cell r="X39">
            <v>29.524176115873018</v>
          </cell>
          <cell r="Y39">
            <v>0</v>
          </cell>
        </row>
        <row r="40">
          <cell r="X40">
            <v>29.604223001496955</v>
          </cell>
          <cell r="Y40">
            <v>0</v>
          </cell>
        </row>
        <row r="41">
          <cell r="X41">
            <v>29.685034537717712</v>
          </cell>
          <cell r="Y41">
            <v>0</v>
          </cell>
        </row>
        <row r="42">
          <cell r="X42">
            <v>29.766610724535262</v>
          </cell>
          <cell r="Y42">
            <v>0</v>
          </cell>
        </row>
        <row r="43">
          <cell r="X43">
            <v>29.848951561949637</v>
          </cell>
          <cell r="Y43">
            <v>0</v>
          </cell>
        </row>
        <row r="44">
          <cell r="X44">
            <v>29.932057049960825</v>
          </cell>
          <cell r="Y44">
            <v>0</v>
          </cell>
        </row>
        <row r="45">
          <cell r="X45">
            <v>0</v>
          </cell>
          <cell r="Y45">
            <v>0</v>
          </cell>
        </row>
      </sheetData>
      <sheetData sheetId="36">
        <row r="11">
          <cell r="V11">
            <v>1274.1554106013189</v>
          </cell>
        </row>
      </sheetData>
      <sheetData sheetId="37">
        <row r="14">
          <cell r="O14">
            <v>2004</v>
          </cell>
        </row>
      </sheetData>
      <sheetData sheetId="38"/>
      <sheetData sheetId="39"/>
      <sheetData sheetId="40"/>
      <sheetData sheetId="41"/>
      <sheetData sheetId="42"/>
      <sheetData sheetId="43" refreshError="1"/>
      <sheetData sheetId="4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C-CAPTA"/>
      <sheetName val="CER-FILTR"/>
      <sheetName val="CERC-RESERV"/>
      <sheetName val="Captación MIGUELPAMPA"/>
      <sheetName val="L_ CONDUC"/>
      <sheetName val="PASES AEREOS"/>
      <sheetName val="DISEÑO RESERV "/>
      <sheetName val="Reservorio"/>
      <sheetName val="Red 12Piletas"/>
      <sheetName val="Red-Dist"/>
      <sheetName val="Tapas metálicas"/>
      <sheetName val="xx"/>
      <sheetName val="Red 11(Nulo)"/>
      <sheetName val="Red 12(Nulo)"/>
      <sheetName val="AreaLagu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9">
          <cell r="E99">
            <v>7.1319444444444435E-2</v>
          </cell>
        </row>
        <row r="102">
          <cell r="E102">
            <v>0.21395833333333333</v>
          </cell>
        </row>
        <row r="105">
          <cell r="E105">
            <v>2.8527777777777777E-2</v>
          </cell>
        </row>
        <row r="108">
          <cell r="E108">
            <v>2.8527777777777777E-2</v>
          </cell>
        </row>
        <row r="112">
          <cell r="E112">
            <v>2.8527777777777777E-2</v>
          </cell>
        </row>
        <row r="115">
          <cell r="E115">
            <v>5.7055555555555554E-2</v>
          </cell>
        </row>
        <row r="118">
          <cell r="E118">
            <v>0.21395833333333333</v>
          </cell>
        </row>
        <row r="121">
          <cell r="E121">
            <v>0.15690277777777778</v>
          </cell>
        </row>
        <row r="124">
          <cell r="E124">
            <v>7.1319444444444435E-2</v>
          </cell>
        </row>
        <row r="127">
          <cell r="E127">
            <v>4.2791666666666665E-2</v>
          </cell>
        </row>
        <row r="131">
          <cell r="E131">
            <v>0.34233333333333332</v>
          </cell>
        </row>
        <row r="135">
          <cell r="E135">
            <v>0.75598611111111114</v>
          </cell>
        </row>
      </sheetData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C-CAPTA"/>
      <sheetName val="CER-FILTR"/>
      <sheetName val="CERC-RESERV"/>
      <sheetName val="Captación MIGUELPAMPA"/>
      <sheetName val="L_ CONDUC"/>
      <sheetName val="PASES AEREOS"/>
      <sheetName val="DISEÑO RESERV "/>
      <sheetName val="Reservorio"/>
      <sheetName val="Red 12Piletas"/>
      <sheetName val="Red-Dist"/>
      <sheetName val="Tapas metálicas"/>
      <sheetName val="xx"/>
      <sheetName val="Red 11(Nulo)"/>
      <sheetName val="Red 12(Nulo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9">
          <cell r="E99">
            <v>7.1319444444444435E-2</v>
          </cell>
        </row>
        <row r="102">
          <cell r="E102">
            <v>0.21395833333333333</v>
          </cell>
        </row>
        <row r="105">
          <cell r="E105">
            <v>2.8527777777777777E-2</v>
          </cell>
        </row>
        <row r="108">
          <cell r="E108">
            <v>2.8527777777777777E-2</v>
          </cell>
        </row>
        <row r="112">
          <cell r="E112">
            <v>2.8527777777777777E-2</v>
          </cell>
        </row>
        <row r="115">
          <cell r="E115">
            <v>5.7055555555555554E-2</v>
          </cell>
        </row>
        <row r="118">
          <cell r="E118">
            <v>0.21395833333333333</v>
          </cell>
        </row>
        <row r="121">
          <cell r="E121">
            <v>0.15690277777777778</v>
          </cell>
        </row>
        <row r="124">
          <cell r="E124">
            <v>7.1319444444444435E-2</v>
          </cell>
        </row>
        <row r="127">
          <cell r="E127">
            <v>4.2791666666666665E-2</v>
          </cell>
        </row>
        <row r="131">
          <cell r="E131">
            <v>0.34233333333333332</v>
          </cell>
        </row>
        <row r="135">
          <cell r="E135">
            <v>0.75598611111111114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C-CAPTA"/>
      <sheetName val="CER-FILTR"/>
      <sheetName val="CERC-RESERV"/>
      <sheetName val="Captación MIGUELPAMPA"/>
      <sheetName val="L_ CONDUC"/>
      <sheetName val="PASES AEREOS"/>
      <sheetName val="DISEÑO RESERV "/>
      <sheetName val="Reservorio"/>
      <sheetName val="Red 12Piletas"/>
      <sheetName val="Red-Dist"/>
      <sheetName val="Tapas metálicas"/>
      <sheetName val="xx"/>
      <sheetName val="Red 11(Nulo)"/>
      <sheetName val="Red 12(Nulo)"/>
      <sheetName val="AreaLagu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9">
          <cell r="E99">
            <v>7.1319444444444435E-2</v>
          </cell>
        </row>
        <row r="102">
          <cell r="E102">
            <v>0.21395833333333333</v>
          </cell>
        </row>
        <row r="105">
          <cell r="E105">
            <v>2.8527777777777777E-2</v>
          </cell>
        </row>
        <row r="108">
          <cell r="E108">
            <v>2.8527777777777777E-2</v>
          </cell>
        </row>
        <row r="112">
          <cell r="E112">
            <v>2.8527777777777777E-2</v>
          </cell>
        </row>
        <row r="115">
          <cell r="E115">
            <v>5.7055555555555554E-2</v>
          </cell>
        </row>
        <row r="118">
          <cell r="E118">
            <v>0.21395833333333333</v>
          </cell>
        </row>
        <row r="121">
          <cell r="E121">
            <v>0.15690277777777778</v>
          </cell>
        </row>
        <row r="124">
          <cell r="E124">
            <v>7.1319444444444435E-2</v>
          </cell>
        </row>
        <row r="127">
          <cell r="E127">
            <v>4.2791666666666665E-2</v>
          </cell>
        </row>
        <row r="131">
          <cell r="E131">
            <v>0.34233333333333332</v>
          </cell>
        </row>
        <row r="135">
          <cell r="E135">
            <v>0.75598611111111114</v>
          </cell>
        </row>
      </sheetData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C-CAPTA"/>
      <sheetName val="CER-FILTR"/>
      <sheetName val="CERC-RESERV"/>
      <sheetName val="Captación MIGUELPAMPA"/>
      <sheetName val="L_ CONDUC"/>
      <sheetName val="PASES AEREOS"/>
      <sheetName val="DISEÑO RESERV "/>
      <sheetName val="Reservorio"/>
      <sheetName val="Red 12Piletas"/>
      <sheetName val="Red-Dist"/>
      <sheetName val="Tapas metálicas"/>
      <sheetName val="xx"/>
      <sheetName val="Red 11(Nulo)"/>
      <sheetName val="Red 12(Nulo)"/>
      <sheetName val="AreaLagu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9">
          <cell r="E99">
            <v>7.1319444444444435E-2</v>
          </cell>
        </row>
        <row r="102">
          <cell r="E102">
            <v>0.21395833333333333</v>
          </cell>
        </row>
        <row r="105">
          <cell r="E105">
            <v>2.8527777777777777E-2</v>
          </cell>
        </row>
        <row r="108">
          <cell r="E108">
            <v>2.8527777777777777E-2</v>
          </cell>
        </row>
        <row r="112">
          <cell r="E112">
            <v>2.8527777777777777E-2</v>
          </cell>
        </row>
        <row r="115">
          <cell r="E115">
            <v>5.7055555555555554E-2</v>
          </cell>
        </row>
        <row r="118">
          <cell r="E118">
            <v>0.21395833333333333</v>
          </cell>
        </row>
        <row r="121">
          <cell r="E121">
            <v>0.15690277777777778</v>
          </cell>
        </row>
        <row r="124">
          <cell r="E124">
            <v>7.1319444444444435E-2</v>
          </cell>
        </row>
        <row r="127">
          <cell r="E127">
            <v>4.2791666666666665E-2</v>
          </cell>
        </row>
        <row r="131">
          <cell r="E131">
            <v>0.34233333333333332</v>
          </cell>
        </row>
        <row r="135">
          <cell r="E135">
            <v>0.75598611111111114</v>
          </cell>
        </row>
      </sheetData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so"/>
      <sheetName val="Poblacion"/>
      <sheetName val="C O&amp;M Sin Proyecto"/>
      <sheetName val="C O&amp;M Con Proyect"/>
      <sheetName val="Flujo de ingreso"/>
      <sheetName val="Información fuente 1alt P.P"/>
      <sheetName val="Información fuente 2alt P.P"/>
      <sheetName val="Resultados -Evaluación 1alt PP"/>
      <sheetName val="Resultados -Evaluación 1alt PS"/>
      <sheetName val="Resultados-Evaluación 2altP.P"/>
      <sheetName val="Resultados-Evaluación 2alt PS"/>
      <sheetName val="Resultados-Curva Demanda"/>
      <sheetName val="cost incre AP 1alt p.p"/>
      <sheetName val="cost incre AP 1alt. p.s"/>
      <sheetName val="cost incre AP 2alt P.P."/>
      <sheetName val="cost incre AP 2alt. P.S."/>
      <sheetName val="Cost Incre Alc PP-PS"/>
      <sheetName val="Cost Incre PTAR PP-PS 1ERA ALT"/>
      <sheetName val="Cost Incre PTAR PP-PS 2DA ALT"/>
      <sheetName val="Beneficios anuales"/>
      <sheetName val="Ingreso de Información"/>
      <sheetName val="Proy Demanda Agua"/>
      <sheetName val="Demanda Alcantarillado"/>
      <sheetName val="sensibila mas10 1alt p.p"/>
      <sheetName val="sensibila men10 1alt p.p"/>
      <sheetName val="sensibila mas10 1alt p.s"/>
      <sheetName val="sensibila men10 1alt p.s"/>
      <sheetName val="sensibila mas10 2alt p.p"/>
      <sheetName val="sensibila men10 2alt p.p"/>
      <sheetName val="sensibila mas10 2alt p.s"/>
      <sheetName val="sensibila men10 2alt p.s"/>
      <sheetName val="C.E Alcantarillado P.P"/>
      <sheetName val="C.E Alcantarillado Alt P.S"/>
      <sheetName val="C.E PTAR 1ra Alt P.P"/>
      <sheetName val="C.E PTAR 1ra Alt P.S"/>
      <sheetName val="C.E PTAR 2da Alt P.P"/>
      <sheetName val="C.E PTAR 2da Alt P.S"/>
      <sheetName val="C.E PTAR 2da Alt P.S mas 10%"/>
      <sheetName val="C.E PTAR 2da Alt P.S men 10"/>
      <sheetName val="C.E PTAR 2da Alt P.P mas 10%"/>
      <sheetName val="C.E PTAR 2da Alt P.P men 10"/>
      <sheetName val="C.E Alcant 1ra mas10% p.s."/>
      <sheetName val="C.E Alcant 1ra men10% p.s."/>
      <sheetName val="C.E Alcant 1ra mas10% p.p"/>
      <sheetName val="C.E Alcant 1ra men10% p.p"/>
      <sheetName val="RESUMEN DE EVALUACION"/>
      <sheetName val="CRONOGRAMA VALORIZADO"/>
      <sheetName val="Pres1ra. Alt Agua"/>
      <sheetName val="Pres2da. AlterAgua"/>
      <sheetName val="1RA PTAR"/>
      <sheetName val="2da. PTAR"/>
      <sheetName val="cronograma"/>
      <sheetName val="o&amp;m"/>
      <sheetName val="DEMANDAS"/>
      <sheetName val="Información fuente PP 2ALT"/>
      <sheetName val="Resultados -Evaluación 2ALT"/>
      <sheetName val="Red 12Piletas"/>
    </sheetNames>
    <sheetDataSet>
      <sheetData sheetId="0"/>
      <sheetData sheetId="1" refreshError="1">
        <row r="31">
          <cell r="D31">
            <v>876</v>
          </cell>
        </row>
        <row r="113">
          <cell r="D113">
            <v>1020</v>
          </cell>
          <cell r="E113">
            <v>1226</v>
          </cell>
          <cell r="F113">
            <v>1567</v>
          </cell>
          <cell r="G113">
            <v>1962</v>
          </cell>
        </row>
        <row r="194">
          <cell r="C194">
            <v>1464</v>
          </cell>
          <cell r="D194">
            <v>1072</v>
          </cell>
          <cell r="E194">
            <v>1197</v>
          </cell>
          <cell r="F194">
            <v>1962</v>
          </cell>
        </row>
        <row r="195">
          <cell r="C195">
            <v>926</v>
          </cell>
          <cell r="D195">
            <v>949</v>
          </cell>
          <cell r="E195">
            <v>1306</v>
          </cell>
          <cell r="F195">
            <v>1962</v>
          </cell>
        </row>
        <row r="262">
          <cell r="G262">
            <v>1962</v>
          </cell>
        </row>
        <row r="263">
          <cell r="G263">
            <v>1827.4914529914531</v>
          </cell>
        </row>
        <row r="264">
          <cell r="G264">
            <v>1858.9623931623933</v>
          </cell>
        </row>
        <row r="265">
          <cell r="G265">
            <v>1890.4333333333334</v>
          </cell>
        </row>
        <row r="266">
          <cell r="G266">
            <v>1921.9042735042738</v>
          </cell>
        </row>
        <row r="267">
          <cell r="G267">
            <v>1953.3752136752139</v>
          </cell>
        </row>
        <row r="268">
          <cell r="G268">
            <v>1984.846153846154</v>
          </cell>
        </row>
        <row r="269">
          <cell r="G269">
            <v>2016.3170940170942</v>
          </cell>
        </row>
        <row r="270">
          <cell r="G270">
            <v>2047.7880341880343</v>
          </cell>
        </row>
        <row r="271">
          <cell r="G271">
            <v>2079.2589743589747</v>
          </cell>
        </row>
        <row r="272">
          <cell r="G272">
            <v>2110.7299145299148</v>
          </cell>
        </row>
        <row r="273">
          <cell r="G273">
            <v>2142.200854700855</v>
          </cell>
        </row>
        <row r="274">
          <cell r="G274">
            <v>2173.6717948717951</v>
          </cell>
        </row>
        <row r="275">
          <cell r="G275">
            <v>2205.1427350427352</v>
          </cell>
        </row>
        <row r="276">
          <cell r="G276">
            <v>2236.6136752136754</v>
          </cell>
        </row>
        <row r="277">
          <cell r="G277">
            <v>2268.0846153846155</v>
          </cell>
        </row>
        <row r="278">
          <cell r="G278">
            <v>2299.5555555555557</v>
          </cell>
        </row>
        <row r="279">
          <cell r="G279">
            <v>2331.0264957264958</v>
          </cell>
        </row>
        <row r="280">
          <cell r="G280">
            <v>2362.4974358974359</v>
          </cell>
        </row>
        <row r="281">
          <cell r="G281">
            <v>2393.9683760683761</v>
          </cell>
        </row>
        <row r="282">
          <cell r="G282">
            <v>2425.4393162393162</v>
          </cell>
        </row>
        <row r="283">
          <cell r="G283">
            <v>2456.9102564102568</v>
          </cell>
        </row>
        <row r="284">
          <cell r="G284">
            <v>2488.3811965811965</v>
          </cell>
        </row>
        <row r="285">
          <cell r="G285">
            <v>2519.8521367521371</v>
          </cell>
        </row>
        <row r="286">
          <cell r="G286">
            <v>2551.3230769230772</v>
          </cell>
        </row>
        <row r="287">
          <cell r="G287">
            <v>2582.7940170940174</v>
          </cell>
        </row>
        <row r="288">
          <cell r="G288">
            <v>2614.2649572649575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cha Resumen-Elegibilidad"/>
      <sheetName val="Cuadro Nº01-Pto.Obra"/>
      <sheetName val="Cuadro Nº06-C.U."/>
      <sheetName val="Cuadro Nº07-Insumos"/>
      <sheetName val="Cuadro Nº02-Usos y Fuent.Proy."/>
      <sheetName val="Cuadro Nº03-Desagregado C.D."/>
      <sheetName val="Cuadro Nº04-Desagregado C.Ind."/>
      <sheetName val="Cuadro Nº05-Plan. Sust. Metr."/>
      <sheetName val="Cuadro Nº08-Insum adqui.Aporte"/>
      <sheetName val="Cuadro de Cálculo"/>
      <sheetName val="Cálculo-MONC"/>
      <sheetName val="Cálculo-Mater, equipos y herr."/>
      <sheetName val="Cronog. Nº01-Avance de Ejec. "/>
      <sheetName val="Cronog.Nº02-Desemb. mens. Obra"/>
      <sheetName val="Cronog Nº03 Materia equ. herr."/>
      <sheetName val="Cronog. Nº04-Valor. Rec. Benef."/>
      <sheetName val="Gráfico1"/>
      <sheetName val="Cronog. Nº5 -Desemb aporte Pro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UMOS"/>
      <sheetName val="Resumen"/>
      <sheetName val="CAPTACION C-1"/>
      <sheetName val="CAPTACION DE FONDO"/>
      <sheetName val="GALERIA FILTRANTE"/>
      <sheetName val="LINEA CONDUC."/>
      <sheetName val="PASE AEREO L=25,0m"/>
      <sheetName val="PASE AEREO L=5,0m"/>
      <sheetName val="CAMARA T-6"/>
      <sheetName val="DISTRI. CAUDAL"/>
      <sheetName val="RESERV. 2.50M3"/>
      <sheetName val="RESERV. 3.0M3"/>
      <sheetName val="RESERV. 5.0M3"/>
      <sheetName val="CASETA DE VALVULAS"/>
      <sheetName val="RED ADUC. DISTRI."/>
      <sheetName val="CAM. RONP. T-7"/>
      <sheetName val="VALV. CONTR."/>
      <sheetName val="VALV. AIRE"/>
      <sheetName val="VALV. PURGA TIPO I"/>
      <sheetName val="VALV. PURGA TIPO II"/>
      <sheetName val="LAVA. CONEX. DOMICI."/>
      <sheetName val="LETRINA"/>
      <sheetName val="VARIO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osram"/>
      <sheetName val="Rejsramon"/>
      <sheetName val="Imhsramon"/>
      <sheetName val="Lagsramon"/>
      <sheetName val="Bowsramon"/>
      <sheetName val="Modsramon"/>
      <sheetName val="Lagsram2"/>
      <sheetName val="Module1"/>
      <sheetName val="Pres&amp;C.Increm."/>
      <sheetName val="Plan de Manejo Ambien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so"/>
      <sheetName val="Poblacion"/>
      <sheetName val="Dato"/>
      <sheetName val="Usuarios"/>
      <sheetName val="Usuarios Potencial"/>
      <sheetName val="Demanda Pasiva Agua"/>
      <sheetName val="Demanda Pasiva Alcant"/>
      <sheetName val="Grafpasagua"/>
      <sheetName val="Grafpasalc"/>
      <sheetName val="Metas"/>
      <sheetName val="Demanda Activa Agua"/>
      <sheetName val="GrafActAgua"/>
      <sheetName val="Demanda Activa Alcant"/>
      <sheetName val="GrafActAlc"/>
      <sheetName val="Oferta de Agua"/>
      <sheetName val="Grafoferprog"/>
      <sheetName val="Caudales de Diseño"/>
      <sheetName val="Contribucion"/>
      <sheetName val="Grafcontri"/>
      <sheetName val="Caudales de Diseño alc."/>
      <sheetName val="DiagnostAg"/>
      <sheetName val="Captacion"/>
      <sheetName val="PreTratamiento"/>
      <sheetName val="ConduCruda"/>
      <sheetName val="Tratamiento"/>
      <sheetName val="ConduTratada"/>
      <sheetName val="Almacena"/>
      <sheetName val="AducciónTratada"/>
      <sheetName val="EstBombeo"/>
      <sheetName val="RedPrimaria"/>
      <sheetName val="RedSecond"/>
      <sheetName val="ConexDomici"/>
      <sheetName val="PMedidores"/>
      <sheetName val="Colectores Primarios"/>
      <sheetName val="Colectores Secundarios"/>
      <sheetName val="Trat.AguasServ."/>
      <sheetName val="Emisores"/>
      <sheetName val="ConexDesa"/>
      <sheetName val="PMIO(Operativo)"/>
      <sheetName val="PMIO(Rehab)"/>
      <sheetName val="Inv.Agua.Potable"/>
      <sheetName val="InvAlcantarillado"/>
      <sheetName val="Vol.Venta"/>
      <sheetName val="Módulo2"/>
      <sheetName val="Módulo1"/>
      <sheetName val="2.2"/>
    </sheetNames>
    <sheetDataSet>
      <sheetData sheetId="0"/>
      <sheetData sheetId="1"/>
      <sheetData sheetId="2"/>
      <sheetData sheetId="3"/>
      <sheetData sheetId="4"/>
      <sheetData sheetId="5">
        <row r="14">
          <cell r="R14">
            <v>91242.826576430583</v>
          </cell>
        </row>
      </sheetData>
      <sheetData sheetId="6"/>
      <sheetData sheetId="7"/>
      <sheetData sheetId="8"/>
      <sheetData sheetId="9"/>
      <sheetData sheetId="10">
        <row r="14">
          <cell r="R14">
            <v>91242.826576430598</v>
          </cell>
        </row>
        <row r="15">
          <cell r="R15">
            <v>20414.603745553097</v>
          </cell>
        </row>
        <row r="16">
          <cell r="R16">
            <v>11557.599107443413</v>
          </cell>
        </row>
        <row r="17">
          <cell r="R17">
            <v>11127.472695760305</v>
          </cell>
        </row>
        <row r="18">
          <cell r="R18">
            <v>10700.137258755502</v>
          </cell>
        </row>
        <row r="19">
          <cell r="R19">
            <v>10275.59279642914</v>
          </cell>
        </row>
        <row r="20">
          <cell r="R20">
            <v>10525.899308781125</v>
          </cell>
        </row>
        <row r="21">
          <cell r="R21">
            <v>10778.99679581145</v>
          </cell>
        </row>
        <row r="22">
          <cell r="R22">
            <v>11034.885257520153</v>
          </cell>
        </row>
        <row r="23">
          <cell r="R23">
            <v>11293.56469390721</v>
          </cell>
        </row>
        <row r="24">
          <cell r="R24">
            <v>11555.035104972645</v>
          </cell>
        </row>
        <row r="25">
          <cell r="R25">
            <v>11819.29649071637</v>
          </cell>
        </row>
        <row r="26">
          <cell r="R26">
            <v>12086.348851138537</v>
          </cell>
        </row>
        <row r="27">
          <cell r="R27">
            <v>12356.192186239008</v>
          </cell>
        </row>
        <row r="28">
          <cell r="R28">
            <v>12628.826496017879</v>
          </cell>
        </row>
        <row r="29">
          <cell r="R29">
            <v>12904.251780475148</v>
          </cell>
        </row>
        <row r="30">
          <cell r="R30">
            <v>13182.468039610678</v>
          </cell>
        </row>
        <row r="31">
          <cell r="R31">
            <v>13463.47527342465</v>
          </cell>
        </row>
        <row r="32">
          <cell r="R32">
            <v>13747.273481916905</v>
          </cell>
        </row>
        <row r="33">
          <cell r="R33">
            <v>14033.862665087552</v>
          </cell>
        </row>
        <row r="34">
          <cell r="R34">
            <v>14323.242822936605</v>
          </cell>
        </row>
        <row r="35">
          <cell r="R35">
            <v>14615.413955463984</v>
          </cell>
        </row>
        <row r="36">
          <cell r="R36">
            <v>14910.37606266974</v>
          </cell>
        </row>
        <row r="37">
          <cell r="R37">
            <v>15208.129144553801</v>
          </cell>
        </row>
        <row r="38">
          <cell r="R38">
            <v>15508.673201116275</v>
          </cell>
        </row>
        <row r="39">
          <cell r="R39">
            <v>15812.008232357141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1">
          <cell r="S11">
            <v>439.43978090815921</v>
          </cell>
        </row>
      </sheetData>
      <sheetData sheetId="22">
        <row r="13">
          <cell r="O13">
            <v>55.295999999999999</v>
          </cell>
        </row>
      </sheetData>
      <sheetData sheetId="23">
        <row r="11">
          <cell r="O11">
            <v>439.43978090815921</v>
          </cell>
        </row>
      </sheetData>
      <sheetData sheetId="24">
        <row r="11">
          <cell r="T11">
            <v>332.18886132419169</v>
          </cell>
          <cell r="U11">
            <v>320</v>
          </cell>
        </row>
        <row r="12">
          <cell r="U12">
            <v>320</v>
          </cell>
        </row>
        <row r="13">
          <cell r="U13">
            <v>320</v>
          </cell>
        </row>
        <row r="14">
          <cell r="U14">
            <v>320</v>
          </cell>
        </row>
        <row r="15">
          <cell r="U15">
            <v>320</v>
          </cell>
        </row>
        <row r="16">
          <cell r="U16">
            <v>320</v>
          </cell>
        </row>
        <row r="17">
          <cell r="U17">
            <v>320</v>
          </cell>
        </row>
        <row r="18">
          <cell r="U18">
            <v>320</v>
          </cell>
        </row>
        <row r="19">
          <cell r="U19">
            <v>320</v>
          </cell>
        </row>
        <row r="20">
          <cell r="U20">
            <v>320</v>
          </cell>
        </row>
        <row r="21">
          <cell r="U21">
            <v>320</v>
          </cell>
        </row>
        <row r="22">
          <cell r="U22">
            <v>320</v>
          </cell>
        </row>
        <row r="23">
          <cell r="U23">
            <v>320</v>
          </cell>
        </row>
        <row r="24">
          <cell r="U24">
            <v>320</v>
          </cell>
        </row>
        <row r="25">
          <cell r="U25">
            <v>320</v>
          </cell>
        </row>
        <row r="26">
          <cell r="U26">
            <v>320</v>
          </cell>
        </row>
        <row r="27">
          <cell r="U27">
            <v>320</v>
          </cell>
        </row>
        <row r="28">
          <cell r="U28">
            <v>320</v>
          </cell>
        </row>
        <row r="29">
          <cell r="U29">
            <v>320</v>
          </cell>
        </row>
        <row r="30">
          <cell r="U30">
            <v>320</v>
          </cell>
        </row>
        <row r="31">
          <cell r="U31">
            <v>320</v>
          </cell>
        </row>
        <row r="32">
          <cell r="U32">
            <v>320</v>
          </cell>
        </row>
        <row r="33">
          <cell r="U33">
            <v>320</v>
          </cell>
        </row>
        <row r="34">
          <cell r="U34">
            <v>320</v>
          </cell>
        </row>
        <row r="35">
          <cell r="U35">
            <v>320</v>
          </cell>
        </row>
        <row r="36">
          <cell r="U36">
            <v>320</v>
          </cell>
        </row>
      </sheetData>
      <sheetData sheetId="25">
        <row r="12">
          <cell r="O12">
            <v>439.43978090815921</v>
          </cell>
        </row>
      </sheetData>
      <sheetData sheetId="26">
        <row r="15">
          <cell r="P15">
            <v>7301</v>
          </cell>
        </row>
        <row r="16">
          <cell r="P16">
            <v>155</v>
          </cell>
        </row>
        <row r="17">
          <cell r="P17">
            <v>122</v>
          </cell>
        </row>
        <row r="18">
          <cell r="P18">
            <v>109</v>
          </cell>
        </row>
        <row r="19">
          <cell r="P19">
            <v>106</v>
          </cell>
        </row>
        <row r="20">
          <cell r="P20">
            <v>104</v>
          </cell>
        </row>
        <row r="21">
          <cell r="P21">
            <v>106</v>
          </cell>
        </row>
        <row r="22">
          <cell r="P22">
            <v>108</v>
          </cell>
        </row>
        <row r="23">
          <cell r="P23">
            <v>110</v>
          </cell>
        </row>
        <row r="24">
          <cell r="P24">
            <v>112</v>
          </cell>
        </row>
        <row r="25">
          <cell r="P25">
            <v>114</v>
          </cell>
        </row>
        <row r="26">
          <cell r="P26">
            <v>117</v>
          </cell>
        </row>
        <row r="27">
          <cell r="P27">
            <v>119</v>
          </cell>
        </row>
        <row r="28">
          <cell r="P28">
            <v>122</v>
          </cell>
        </row>
        <row r="29">
          <cell r="P29">
            <v>125</v>
          </cell>
        </row>
        <row r="30">
          <cell r="P30">
            <v>128</v>
          </cell>
        </row>
        <row r="31">
          <cell r="P31">
            <v>130</v>
          </cell>
        </row>
        <row r="32">
          <cell r="P32">
            <v>133</v>
          </cell>
        </row>
        <row r="33">
          <cell r="P33">
            <v>136</v>
          </cell>
        </row>
        <row r="34">
          <cell r="P34">
            <v>139</v>
          </cell>
        </row>
        <row r="35">
          <cell r="P35">
            <v>142</v>
          </cell>
        </row>
        <row r="36">
          <cell r="P36">
            <v>145</v>
          </cell>
        </row>
        <row r="37">
          <cell r="P37">
            <v>147</v>
          </cell>
        </row>
        <row r="38">
          <cell r="P38">
            <v>150</v>
          </cell>
        </row>
        <row r="39">
          <cell r="P39">
            <v>153</v>
          </cell>
        </row>
        <row r="40">
          <cell r="P40">
            <v>156</v>
          </cell>
        </row>
      </sheetData>
      <sheetData sheetId="27"/>
      <sheetData sheetId="28"/>
      <sheetData sheetId="29"/>
      <sheetData sheetId="30"/>
      <sheetData sheetId="31">
        <row r="13">
          <cell r="Q13">
            <v>11594</v>
          </cell>
        </row>
      </sheetData>
      <sheetData sheetId="32">
        <row r="14">
          <cell r="U14">
            <v>11594</v>
          </cell>
          <cell r="V14">
            <v>6181</v>
          </cell>
        </row>
        <row r="15">
          <cell r="U15">
            <v>272.91879755443188</v>
          </cell>
          <cell r="V15">
            <v>171.01494450172652</v>
          </cell>
        </row>
        <row r="16">
          <cell r="U16">
            <v>319.92569702088582</v>
          </cell>
          <cell r="V16">
            <v>243.13276804691017</v>
          </cell>
        </row>
        <row r="17">
          <cell r="U17">
            <v>344.43966771652299</v>
          </cell>
          <cell r="V17">
            <v>288.66588894839839</v>
          </cell>
        </row>
        <row r="18">
          <cell r="U18">
            <v>365.66474369192167</v>
          </cell>
          <cell r="V18">
            <v>335.81936797665895</v>
          </cell>
        </row>
        <row r="19">
          <cell r="U19">
            <v>387.61052412819811</v>
          </cell>
          <cell r="V19">
            <v>387.61052412819811</v>
          </cell>
        </row>
        <row r="20">
          <cell r="U20">
            <v>401.46414910136974</v>
          </cell>
          <cell r="V20">
            <v>401.46414910136974</v>
          </cell>
        </row>
        <row r="21">
          <cell r="U21">
            <v>415.63521399610477</v>
          </cell>
          <cell r="V21">
            <v>415.63521399610477</v>
          </cell>
        </row>
        <row r="22">
          <cell r="U22">
            <v>430.12722813518809</v>
          </cell>
          <cell r="V22">
            <v>430.12722813518809</v>
          </cell>
        </row>
        <row r="23">
          <cell r="U23">
            <v>444.94370084140496</v>
          </cell>
          <cell r="V23">
            <v>444.94370084140496</v>
          </cell>
        </row>
        <row r="24">
          <cell r="U24">
            <v>460.08814143754017</v>
          </cell>
          <cell r="V24">
            <v>460.08814143754017</v>
          </cell>
        </row>
        <row r="25">
          <cell r="U25">
            <v>470.61026696256272</v>
          </cell>
          <cell r="V25">
            <v>470.61026696256272</v>
          </cell>
        </row>
        <row r="26">
          <cell r="U26">
            <v>481.24352104244468</v>
          </cell>
          <cell r="V26">
            <v>481.24352104244468</v>
          </cell>
        </row>
        <row r="27">
          <cell r="U27">
            <v>491.98790367718607</v>
          </cell>
          <cell r="V27">
            <v>491.98790367718607</v>
          </cell>
        </row>
        <row r="28">
          <cell r="U28">
            <v>502.84341486678687</v>
          </cell>
          <cell r="V28">
            <v>502.84341486678687</v>
          </cell>
        </row>
        <row r="29">
          <cell r="U29">
            <v>513.81005461124732</v>
          </cell>
          <cell r="V29">
            <v>513.81005461124732</v>
          </cell>
        </row>
        <row r="30">
          <cell r="U30">
            <v>524.88782291056702</v>
          </cell>
          <cell r="V30">
            <v>524.88782291056702</v>
          </cell>
        </row>
        <row r="31">
          <cell r="U31">
            <v>536.07671976474649</v>
          </cell>
          <cell r="V31">
            <v>536.07671976474649</v>
          </cell>
        </row>
        <row r="32">
          <cell r="U32">
            <v>547.37674517378514</v>
          </cell>
          <cell r="V32">
            <v>547.37674517378514</v>
          </cell>
        </row>
        <row r="33">
          <cell r="U33">
            <v>558.78789913768344</v>
          </cell>
          <cell r="V33">
            <v>558.78789913768344</v>
          </cell>
        </row>
        <row r="34">
          <cell r="U34">
            <v>570.31018165644116</v>
          </cell>
          <cell r="V34">
            <v>570.31018165644116</v>
          </cell>
        </row>
        <row r="35">
          <cell r="U35">
            <v>581.94359273005819</v>
          </cell>
          <cell r="V35">
            <v>581.94359273005819</v>
          </cell>
        </row>
        <row r="36">
          <cell r="U36">
            <v>593.68813235853509</v>
          </cell>
          <cell r="V36">
            <v>593.68813235853509</v>
          </cell>
        </row>
        <row r="37">
          <cell r="U37">
            <v>605.54380054187106</v>
          </cell>
          <cell r="V37">
            <v>605.54380054187106</v>
          </cell>
        </row>
        <row r="38">
          <cell r="U38">
            <v>617.5105972800668</v>
          </cell>
          <cell r="V38">
            <v>617.5105972800668</v>
          </cell>
        </row>
        <row r="39">
          <cell r="U39">
            <v>629.58852257312208</v>
          </cell>
          <cell r="V39">
            <v>629.58852257312208</v>
          </cell>
        </row>
      </sheetData>
      <sheetData sheetId="33"/>
      <sheetData sheetId="34"/>
      <sheetData sheetId="35">
        <row r="19">
          <cell r="X19">
            <v>707.86411700073268</v>
          </cell>
        </row>
      </sheetData>
      <sheetData sheetId="36">
        <row r="11">
          <cell r="V11">
            <v>1274.1554106013189</v>
          </cell>
          <cell r="W11">
            <v>0</v>
          </cell>
        </row>
        <row r="12">
          <cell r="W12">
            <v>0</v>
          </cell>
        </row>
        <row r="13">
          <cell r="W13">
            <v>0</v>
          </cell>
        </row>
        <row r="14">
          <cell r="W14">
            <v>0</v>
          </cell>
        </row>
        <row r="15">
          <cell r="W15">
            <v>0</v>
          </cell>
        </row>
        <row r="16">
          <cell r="W16">
            <v>0</v>
          </cell>
        </row>
        <row r="17">
          <cell r="W17">
            <v>0</v>
          </cell>
        </row>
        <row r="18">
          <cell r="W18">
            <v>0</v>
          </cell>
        </row>
        <row r="19">
          <cell r="W19">
            <v>0</v>
          </cell>
        </row>
        <row r="20">
          <cell r="W20">
            <v>0</v>
          </cell>
        </row>
        <row r="21">
          <cell r="W21">
            <v>0</v>
          </cell>
        </row>
        <row r="22">
          <cell r="W22">
            <v>0</v>
          </cell>
        </row>
        <row r="23">
          <cell r="W23">
            <v>0</v>
          </cell>
        </row>
        <row r="24">
          <cell r="W24">
            <v>0</v>
          </cell>
        </row>
        <row r="25">
          <cell r="W25">
            <v>0</v>
          </cell>
        </row>
        <row r="26">
          <cell r="W26">
            <v>0</v>
          </cell>
        </row>
        <row r="27">
          <cell r="W27">
            <v>0</v>
          </cell>
        </row>
        <row r="28">
          <cell r="W28">
            <v>0</v>
          </cell>
        </row>
        <row r="29">
          <cell r="W29">
            <v>0</v>
          </cell>
        </row>
        <row r="30">
          <cell r="W30">
            <v>0</v>
          </cell>
        </row>
        <row r="31">
          <cell r="W31">
            <v>0</v>
          </cell>
        </row>
        <row r="32">
          <cell r="W32">
            <v>0</v>
          </cell>
        </row>
        <row r="33">
          <cell r="W33">
            <v>0</v>
          </cell>
        </row>
        <row r="34">
          <cell r="W34">
            <v>0</v>
          </cell>
        </row>
        <row r="35">
          <cell r="W35">
            <v>0</v>
          </cell>
        </row>
        <row r="36">
          <cell r="W36">
            <v>0</v>
          </cell>
        </row>
        <row r="37">
          <cell r="W37">
            <v>0</v>
          </cell>
        </row>
      </sheetData>
      <sheetData sheetId="37">
        <row r="14">
          <cell r="O14">
            <v>2004</v>
          </cell>
        </row>
      </sheetData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LA"/>
      <sheetName val="GENERAL"/>
      <sheetName val="acero captacion"/>
      <sheetName val="CAMARA DE REUNION"/>
      <sheetName val="ACERO CRUCE AEREO"/>
      <sheetName val="ACERO-RESERV"/>
      <sheetName val="ACERO RPC6"/>
      <sheetName val="ACERO RPC7"/>
      <sheetName val="LAVADERO"/>
    </sheetNames>
    <sheetDataSet>
      <sheetData sheetId="0"/>
      <sheetData sheetId="1">
        <row r="2">
          <cell r="A2" t="str">
            <v xml:space="preserve">PROYECTO: </v>
          </cell>
        </row>
        <row r="313">
          <cell r="G313">
            <v>2.25</v>
          </cell>
          <cell r="M313">
            <v>0.2</v>
          </cell>
          <cell r="N313">
            <v>0.1</v>
          </cell>
          <cell r="O313">
            <v>0.1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CÁLCULO DE BOMBEO"/>
    </sheetNames>
    <sheetDataSet>
      <sheetData sheetId="0" refreshError="1">
        <row r="6">
          <cell r="E6">
            <v>1000</v>
          </cell>
          <cell r="F6" t="str">
            <v>OBRAS CIVILES / ESTRCTURAS</v>
          </cell>
        </row>
        <row r="7">
          <cell r="E7">
            <v>1100</v>
          </cell>
          <cell r="F7" t="str">
            <v>TUNELES Y CAVERNAS</v>
          </cell>
        </row>
        <row r="8">
          <cell r="E8">
            <v>1110</v>
          </cell>
          <cell r="F8" t="str">
            <v>Tuneles secciones menores a 10 m2</v>
          </cell>
          <cell r="G8" t="str">
            <v>m3</v>
          </cell>
          <cell r="H8">
            <v>1.1000000000000001</v>
          </cell>
          <cell r="I8">
            <v>0</v>
          </cell>
          <cell r="J8">
            <v>0</v>
          </cell>
          <cell r="K8">
            <v>5.5</v>
          </cell>
          <cell r="L8">
            <v>99.730546233018998</v>
          </cell>
        </row>
        <row r="9">
          <cell r="E9">
            <v>1120</v>
          </cell>
          <cell r="F9" t="str">
            <v>Tuneles seccione entre 10 m2 y 15 m2</v>
          </cell>
          <cell r="G9" t="str">
            <v>m3</v>
          </cell>
          <cell r="H9">
            <v>1.1000000000000001</v>
          </cell>
          <cell r="I9">
            <v>0</v>
          </cell>
          <cell r="J9">
            <v>0</v>
          </cell>
          <cell r="K9">
            <v>5.5</v>
          </cell>
          <cell r="L9">
            <v>52.227212919299838</v>
          </cell>
        </row>
        <row r="10">
          <cell r="E10">
            <v>1130</v>
          </cell>
          <cell r="F10" t="str">
            <v>Tuneles secciones mayors 15 m2</v>
          </cell>
          <cell r="G10" t="str">
            <v>m3</v>
          </cell>
          <cell r="H10">
            <v>1.1000000000000001</v>
          </cell>
          <cell r="I10">
            <v>0</v>
          </cell>
          <cell r="J10">
            <v>0</v>
          </cell>
          <cell r="K10">
            <v>5.5</v>
          </cell>
          <cell r="L10">
            <v>31.305675021694803</v>
          </cell>
        </row>
        <row r="11">
          <cell r="E11">
            <v>1135</v>
          </cell>
          <cell r="F11" t="str">
            <v>Desquinche Túneles</v>
          </cell>
          <cell r="G11" t="str">
            <v>m3</v>
          </cell>
          <cell r="H11">
            <v>1.1000000000000001</v>
          </cell>
          <cell r="K11">
            <v>5.5</v>
          </cell>
          <cell r="L11">
            <v>14.69651432847318</v>
          </cell>
        </row>
        <row r="12">
          <cell r="E12">
            <v>1140</v>
          </cell>
          <cell r="F12" t="str">
            <v>Caverna</v>
          </cell>
          <cell r="G12" t="str">
            <v>m3</v>
          </cell>
          <cell r="H12">
            <v>1.1000000000000001</v>
          </cell>
          <cell r="I12">
            <v>0</v>
          </cell>
          <cell r="J12">
            <v>0</v>
          </cell>
          <cell r="K12">
            <v>5.5</v>
          </cell>
          <cell r="L12">
            <v>67.687945992853614</v>
          </cell>
        </row>
        <row r="13">
          <cell r="E13">
            <v>1141</v>
          </cell>
          <cell r="F13" t="str">
            <v>Caverna gran tamaño</v>
          </cell>
          <cell r="G13" t="str">
            <v>m3</v>
          </cell>
          <cell r="H13">
            <v>1.1000000000000001</v>
          </cell>
          <cell r="I13">
            <v>0</v>
          </cell>
          <cell r="J13">
            <v>0</v>
          </cell>
          <cell r="K13">
            <v>5.5</v>
          </cell>
          <cell r="L13">
            <v>18.9920955164812</v>
          </cell>
        </row>
        <row r="14">
          <cell r="E14">
            <v>1145</v>
          </cell>
          <cell r="F14" t="str">
            <v>Piques</v>
          </cell>
          <cell r="G14" t="str">
            <v>m3</v>
          </cell>
          <cell r="H14">
            <v>1.1000000000000001</v>
          </cell>
          <cell r="I14">
            <v>0</v>
          </cell>
          <cell r="J14">
            <v>0</v>
          </cell>
          <cell r="K14">
            <v>5.5</v>
          </cell>
          <cell r="L14">
            <v>99.730546233018998</v>
          </cell>
        </row>
        <row r="15">
          <cell r="E15">
            <v>1145.0999999999999</v>
          </cell>
          <cell r="F15" t="str">
            <v>Pique alimentación</v>
          </cell>
          <cell r="G15" t="str">
            <v>m3</v>
          </cell>
          <cell r="H15">
            <v>1.1000000000000001</v>
          </cell>
          <cell r="I15">
            <v>0</v>
          </cell>
          <cell r="J15">
            <v>0</v>
          </cell>
          <cell r="K15">
            <v>5.5</v>
          </cell>
          <cell r="L15">
            <v>112.9038508314278</v>
          </cell>
        </row>
        <row r="16">
          <cell r="E16">
            <v>1146</v>
          </cell>
          <cell r="F16" t="str">
            <v>Excavación sala eléctrica</v>
          </cell>
          <cell r="G16" t="str">
            <v>m3</v>
          </cell>
          <cell r="H16">
            <v>1.1000000000000001</v>
          </cell>
          <cell r="I16">
            <v>0</v>
          </cell>
          <cell r="J16">
            <v>0</v>
          </cell>
          <cell r="K16">
            <v>5.5</v>
          </cell>
          <cell r="L16">
            <v>23.501825913275542</v>
          </cell>
        </row>
        <row r="17">
          <cell r="E17">
            <v>1147</v>
          </cell>
          <cell r="F17" t="str">
            <v>Tolva</v>
          </cell>
          <cell r="G17" t="str">
            <v>m3</v>
          </cell>
          <cell r="H17">
            <v>1.1000000000000001</v>
          </cell>
          <cell r="I17">
            <v>0</v>
          </cell>
          <cell r="J17">
            <v>0</v>
          </cell>
          <cell r="K17">
            <v>5.5</v>
          </cell>
          <cell r="L17">
            <v>38.607743140899046</v>
          </cell>
        </row>
        <row r="18">
          <cell r="E18">
            <v>1148</v>
          </cell>
          <cell r="F18" t="str">
            <v>Base tolva</v>
          </cell>
          <cell r="G18" t="str">
            <v>m3</v>
          </cell>
          <cell r="H18">
            <v>1.1000000000000001</v>
          </cell>
          <cell r="I18">
            <v>0</v>
          </cell>
          <cell r="J18">
            <v>0</v>
          </cell>
          <cell r="K18">
            <v>5.5</v>
          </cell>
          <cell r="L18">
            <v>19.651339159215567</v>
          </cell>
        </row>
        <row r="19">
          <cell r="E19">
            <v>1150</v>
          </cell>
          <cell r="F19" t="str">
            <v>Fortificaciones</v>
          </cell>
          <cell r="G19" t="str">
            <v>gl</v>
          </cell>
          <cell r="H19" t="str">
            <v>----&gt;</v>
          </cell>
          <cell r="I19" t="str">
            <v>----&gt;</v>
          </cell>
          <cell r="J19" t="str">
            <v>----&gt;</v>
          </cell>
          <cell r="K19" t="str">
            <v>----&gt;</v>
          </cell>
          <cell r="L19" t="str">
            <v>----&gt;</v>
          </cell>
        </row>
        <row r="20">
          <cell r="E20">
            <v>1200</v>
          </cell>
          <cell r="F20" t="str">
            <v>MOV. SUELOS</v>
          </cell>
        </row>
        <row r="21">
          <cell r="E21">
            <v>1210</v>
          </cell>
          <cell r="F21" t="str">
            <v>Excavación estructural en  Roca</v>
          </cell>
          <cell r="G21" t="str">
            <v>m3</v>
          </cell>
          <cell r="H21">
            <v>1.1000000000000001</v>
          </cell>
          <cell r="K21">
            <v>15.833333333333334</v>
          </cell>
          <cell r="L21">
            <v>114.65874514741371</v>
          </cell>
        </row>
        <row r="22">
          <cell r="E22">
            <v>1211</v>
          </cell>
          <cell r="F22" t="str">
            <v>Excavación Abierta  en  Roca</v>
          </cell>
          <cell r="G22" t="str">
            <v>m3</v>
          </cell>
          <cell r="H22">
            <v>1.1000000000000001</v>
          </cell>
          <cell r="K22">
            <v>2</v>
          </cell>
          <cell r="L22">
            <v>11.014677728142949</v>
          </cell>
        </row>
        <row r="23">
          <cell r="E23">
            <v>1215</v>
          </cell>
          <cell r="F23" t="str">
            <v>Excavación estructural material común</v>
          </cell>
          <cell r="G23" t="str">
            <v>m3</v>
          </cell>
          <cell r="H23">
            <v>1.1000000000000001</v>
          </cell>
          <cell r="K23">
            <v>0.6</v>
          </cell>
          <cell r="L23">
            <v>6</v>
          </cell>
        </row>
        <row r="24">
          <cell r="E24">
            <v>1216</v>
          </cell>
          <cell r="F24" t="str">
            <v>Excavación abierta material común</v>
          </cell>
          <cell r="G24" t="str">
            <v>m3</v>
          </cell>
          <cell r="H24">
            <v>1.1000000000000001</v>
          </cell>
          <cell r="K24">
            <v>0.6</v>
          </cell>
          <cell r="L24">
            <v>2.20293554562859</v>
          </cell>
        </row>
        <row r="25">
          <cell r="E25">
            <v>1220</v>
          </cell>
          <cell r="F25" t="str">
            <v>Excavación zanja comun</v>
          </cell>
          <cell r="G25" t="str">
            <v>m3</v>
          </cell>
          <cell r="H25">
            <v>1.1000000000000001</v>
          </cell>
          <cell r="K25">
            <v>0.6</v>
          </cell>
          <cell r="L25">
            <v>4.9486714405623751</v>
          </cell>
        </row>
        <row r="26">
          <cell r="E26">
            <v>1230</v>
          </cell>
          <cell r="F26" t="str">
            <v>Relleno Zanja</v>
          </cell>
          <cell r="G26" t="str">
            <v>m3</v>
          </cell>
          <cell r="H26">
            <v>1.1000000000000001</v>
          </cell>
          <cell r="K26">
            <v>0.47881040892193311</v>
          </cell>
          <cell r="L26">
            <v>10.241319116566991</v>
          </cell>
        </row>
        <row r="27">
          <cell r="E27">
            <v>1235</v>
          </cell>
          <cell r="F27" t="str">
            <v>Relleno estructural</v>
          </cell>
          <cell r="G27" t="str">
            <v>m3</v>
          </cell>
          <cell r="H27">
            <v>1.1000000000000001</v>
          </cell>
          <cell r="K27">
            <v>0.6</v>
          </cell>
          <cell r="L27">
            <v>12</v>
          </cell>
        </row>
        <row r="28">
          <cell r="E28">
            <v>1236</v>
          </cell>
          <cell r="F28" t="str">
            <v>Relleno Común</v>
          </cell>
          <cell r="G28" t="str">
            <v>m3</v>
          </cell>
          <cell r="H28">
            <v>1.1000000000000001</v>
          </cell>
          <cell r="K28">
            <v>0.6</v>
          </cell>
          <cell r="L28">
            <v>2.7536694320357373</v>
          </cell>
        </row>
        <row r="29">
          <cell r="E29">
            <v>1240</v>
          </cell>
          <cell r="F29" t="str">
            <v>Demoliciones</v>
          </cell>
          <cell r="G29" t="str">
            <v>m3</v>
          </cell>
          <cell r="H29">
            <v>1.1000000000000001</v>
          </cell>
          <cell r="K29">
            <v>10</v>
          </cell>
          <cell r="L29">
            <v>103.19287063267234</v>
          </cell>
        </row>
        <row r="30">
          <cell r="E30">
            <v>1300</v>
          </cell>
          <cell r="F30" t="str">
            <v>HORMIGONES</v>
          </cell>
        </row>
        <row r="31">
          <cell r="E31">
            <v>1310</v>
          </cell>
          <cell r="F31" t="str">
            <v>Hormigón H25 Pilares, muros y vigas</v>
          </cell>
          <cell r="G31" t="str">
            <v>m3</v>
          </cell>
          <cell r="H31">
            <v>1.1499999999999999</v>
          </cell>
          <cell r="K31">
            <v>22.305172413793102</v>
          </cell>
          <cell r="L31">
            <v>263.71511383905153</v>
          </cell>
        </row>
        <row r="32">
          <cell r="E32">
            <v>1315</v>
          </cell>
          <cell r="F32" t="str">
            <v>Hormigón H25 Fundaciones</v>
          </cell>
          <cell r="G32" t="str">
            <v>m3</v>
          </cell>
          <cell r="H32">
            <v>1.1499999999999999</v>
          </cell>
          <cell r="K32">
            <v>15.1875</v>
          </cell>
          <cell r="L32">
            <v>160.52224320637919</v>
          </cell>
        </row>
        <row r="33">
          <cell r="E33">
            <v>1320</v>
          </cell>
          <cell r="F33" t="str">
            <v>Hormigón H25 Losas elevadas</v>
          </cell>
          <cell r="G33" t="str">
            <v>m3</v>
          </cell>
          <cell r="H33">
            <v>1.1499999999999999</v>
          </cell>
          <cell r="K33">
            <v>23.138424821002388</v>
          </cell>
          <cell r="L33">
            <v>240.78336480956878</v>
          </cell>
        </row>
        <row r="34">
          <cell r="E34">
            <v>1325</v>
          </cell>
          <cell r="F34" t="str">
            <v>Hormigón H20 Radieres</v>
          </cell>
          <cell r="G34" t="str">
            <v>m3</v>
          </cell>
          <cell r="H34">
            <v>1.2</v>
          </cell>
          <cell r="K34">
            <v>8.1412639405204459</v>
          </cell>
          <cell r="L34">
            <v>137.59049417689644</v>
          </cell>
        </row>
        <row r="35">
          <cell r="E35">
            <v>1330</v>
          </cell>
          <cell r="F35" t="str">
            <v>Emplantillado H5</v>
          </cell>
          <cell r="G35" t="str">
            <v>m3</v>
          </cell>
          <cell r="H35">
            <v>1.2</v>
          </cell>
          <cell r="K35">
            <v>5.583333333333333</v>
          </cell>
          <cell r="L35">
            <v>91.726996117930966</v>
          </cell>
        </row>
        <row r="36">
          <cell r="E36">
            <v>1340</v>
          </cell>
          <cell r="F36" t="str">
            <v>Camara inspección Alcantarillado</v>
          </cell>
          <cell r="G36" t="str">
            <v>c/u</v>
          </cell>
          <cell r="H36">
            <v>1</v>
          </cell>
          <cell r="K36">
            <v>182.5</v>
          </cell>
          <cell r="L36">
            <v>1603.0485022557968</v>
          </cell>
        </row>
        <row r="37">
          <cell r="E37">
            <v>1350</v>
          </cell>
          <cell r="F37" t="str">
            <v>Acero Refuerza A44-28H</v>
          </cell>
          <cell r="G37" t="str">
            <v>Kg</v>
          </cell>
          <cell r="H37">
            <v>1.1499999999999999</v>
          </cell>
          <cell r="K37">
            <v>6.3793103448275865E-2</v>
          </cell>
          <cell r="L37">
            <v>1.0319287063267235</v>
          </cell>
        </row>
        <row r="38">
          <cell r="E38">
            <v>1360</v>
          </cell>
          <cell r="F38" t="str">
            <v>Pernos de Anclaje</v>
          </cell>
          <cell r="G38" t="str">
            <v>Kg</v>
          </cell>
          <cell r="H38">
            <v>1.1499999999999999</v>
          </cell>
          <cell r="K38">
            <v>0.5</v>
          </cell>
          <cell r="L38">
            <v>6.8795247088448228</v>
          </cell>
        </row>
        <row r="39">
          <cell r="E39">
            <v>1370</v>
          </cell>
          <cell r="F39" t="str">
            <v>Albañilería en bloques</v>
          </cell>
          <cell r="G39" t="str">
            <v>m2</v>
          </cell>
          <cell r="H39">
            <v>1.2</v>
          </cell>
          <cell r="K39">
            <v>2.5034482758620689</v>
          </cell>
          <cell r="L39">
            <v>30.535917007659219</v>
          </cell>
        </row>
        <row r="40">
          <cell r="E40">
            <v>1380</v>
          </cell>
          <cell r="F40" t="str">
            <v>Demoliciones</v>
          </cell>
          <cell r="G40" t="str">
            <v>m3</v>
          </cell>
          <cell r="H40">
            <v>1.1000000000000001</v>
          </cell>
          <cell r="K40">
            <v>10</v>
          </cell>
          <cell r="L40">
            <v>103.19287063267234</v>
          </cell>
        </row>
        <row r="41">
          <cell r="E41">
            <v>1390</v>
          </cell>
          <cell r="F41" t="str">
            <v>Peralte Canaleta</v>
          </cell>
          <cell r="G41" t="str">
            <v>km</v>
          </cell>
          <cell r="H41">
            <v>1.1000000000000001</v>
          </cell>
          <cell r="K41">
            <v>750</v>
          </cell>
          <cell r="L41">
            <v>8520</v>
          </cell>
        </row>
        <row r="42">
          <cell r="E42">
            <v>1391</v>
          </cell>
          <cell r="F42" t="str">
            <v>Sala de Control Chancado</v>
          </cell>
          <cell r="G42" t="str">
            <v>gl</v>
          </cell>
          <cell r="H42">
            <v>1</v>
          </cell>
          <cell r="K42">
            <v>10000</v>
          </cell>
          <cell r="L42">
            <v>86567.352586297347</v>
          </cell>
        </row>
        <row r="43">
          <cell r="E43">
            <v>1392</v>
          </cell>
          <cell r="F43" t="str">
            <v>Sala Lubricación</v>
          </cell>
          <cell r="G43" t="str">
            <v>gl</v>
          </cell>
          <cell r="H43">
            <v>1</v>
          </cell>
          <cell r="K43">
            <v>57134.410449875671</v>
          </cell>
          <cell r="L43">
            <v>494597.46542246192</v>
          </cell>
        </row>
        <row r="44">
          <cell r="E44">
            <v>1393</v>
          </cell>
          <cell r="F44" t="str">
            <v>Almacenamiento y manejo de bolas</v>
          </cell>
          <cell r="G44" t="str">
            <v>gl</v>
          </cell>
          <cell r="H44">
            <v>1</v>
          </cell>
          <cell r="K44">
            <v>92818.358029096271</v>
          </cell>
          <cell r="L44">
            <v>803503.95259859611</v>
          </cell>
        </row>
        <row r="45">
          <cell r="E45">
            <v>1394</v>
          </cell>
          <cell r="F45" t="str">
            <v>Cajón Distribuidor de Pulpa</v>
          </cell>
          <cell r="G45" t="str">
            <v>gl</v>
          </cell>
          <cell r="H45">
            <v>1</v>
          </cell>
          <cell r="I45">
            <v>58051.7574984046</v>
          </cell>
          <cell r="J45">
            <v>40.502055135872411</v>
          </cell>
          <cell r="K45">
            <v>18500</v>
          </cell>
          <cell r="L45">
            <v>200361.7037994439</v>
          </cell>
        </row>
        <row r="46">
          <cell r="E46">
            <v>1400</v>
          </cell>
          <cell r="F46" t="str">
            <v>ESTRUCTURAS</v>
          </cell>
        </row>
        <row r="47">
          <cell r="E47">
            <v>1410</v>
          </cell>
          <cell r="F47" t="str">
            <v>Estructura Metalica Liviana</v>
          </cell>
          <cell r="G47" t="str">
            <v>Ton</v>
          </cell>
          <cell r="H47">
            <v>1.1499999999999999</v>
          </cell>
          <cell r="J47">
            <v>2178.5161578008606</v>
          </cell>
          <cell r="K47">
            <v>90</v>
          </cell>
          <cell r="L47">
            <v>802.61121603189588</v>
          </cell>
        </row>
        <row r="48">
          <cell r="E48">
            <v>1415</v>
          </cell>
          <cell r="F48" t="str">
            <v>Estructura Metalica Mediana</v>
          </cell>
          <cell r="G48" t="str">
            <v>Ton</v>
          </cell>
          <cell r="H48">
            <v>1.1499999999999999</v>
          </cell>
          <cell r="J48">
            <v>1834.5399223586194</v>
          </cell>
          <cell r="K48">
            <v>90</v>
          </cell>
          <cell r="L48">
            <v>802.61121603189588</v>
          </cell>
        </row>
        <row r="49">
          <cell r="E49">
            <v>1420</v>
          </cell>
          <cell r="F49" t="str">
            <v>Estructura Metalica Pesada</v>
          </cell>
          <cell r="G49" t="str">
            <v>Ton</v>
          </cell>
          <cell r="H49">
            <v>1.1499999999999999</v>
          </cell>
          <cell r="J49">
            <v>1605.2224320637918</v>
          </cell>
          <cell r="K49">
            <v>90</v>
          </cell>
          <cell r="L49">
            <v>802.61121603189588</v>
          </cell>
        </row>
        <row r="50">
          <cell r="E50">
            <v>1430</v>
          </cell>
          <cell r="F50" t="str">
            <v>Soporte Cañerias</v>
          </cell>
          <cell r="G50" t="str">
            <v>kg</v>
          </cell>
          <cell r="H50">
            <v>1.1499999999999999</v>
          </cell>
          <cell r="J50">
            <v>2.1785161578008605</v>
          </cell>
          <cell r="K50">
            <v>0.26239999999999997</v>
          </cell>
          <cell r="L50">
            <v>0.80261121603189589</v>
          </cell>
        </row>
        <row r="51">
          <cell r="E51">
            <v>1440</v>
          </cell>
          <cell r="F51" t="str">
            <v>Parrilla de piso</v>
          </cell>
          <cell r="G51" t="str">
            <v>Kg</v>
          </cell>
          <cell r="H51">
            <v>1.1499999999999999</v>
          </cell>
          <cell r="J51">
            <v>3.4397623544224114</v>
          </cell>
          <cell r="K51">
            <v>0.17899999999999999</v>
          </cell>
          <cell r="L51">
            <v>0.80261121603189589</v>
          </cell>
        </row>
        <row r="52">
          <cell r="E52">
            <v>1450</v>
          </cell>
          <cell r="F52" t="str">
            <v>Barandas</v>
          </cell>
          <cell r="G52" t="str">
            <v>Kg</v>
          </cell>
          <cell r="H52">
            <v>1.1499999999999999</v>
          </cell>
          <cell r="J52">
            <v>2.9811273738327562</v>
          </cell>
          <cell r="K52">
            <v>6.5000000000000002E-2</v>
          </cell>
          <cell r="L52">
            <v>0.80261121603189589</v>
          </cell>
        </row>
        <row r="53">
          <cell r="E53">
            <v>1460</v>
          </cell>
          <cell r="F53" t="str">
            <v>Modificación Estructuras</v>
          </cell>
          <cell r="G53" t="str">
            <v>Kg</v>
          </cell>
          <cell r="H53">
            <v>1.1499999999999999</v>
          </cell>
          <cell r="J53">
            <v>0.4357032315601721</v>
          </cell>
          <cell r="K53">
            <v>9.0999999999999998E-2</v>
          </cell>
          <cell r="L53">
            <v>1.1236557024446543</v>
          </cell>
        </row>
        <row r="54">
          <cell r="E54">
            <v>1470</v>
          </cell>
          <cell r="F54" t="str">
            <v>Tolva de alimentación Chancado Primario</v>
          </cell>
          <cell r="G54" t="str">
            <v>gl</v>
          </cell>
          <cell r="H54">
            <v>1</v>
          </cell>
          <cell r="J54">
            <v>1294004.3395022338</v>
          </cell>
          <cell r="K54">
            <v>31570</v>
          </cell>
          <cell r="L54">
            <v>283129.13256741158</v>
          </cell>
        </row>
        <row r="55">
          <cell r="E55">
            <v>1471</v>
          </cell>
          <cell r="F55" t="str">
            <v>Tolva de descarga Chancado Primario</v>
          </cell>
          <cell r="G55" t="str">
            <v>gl</v>
          </cell>
          <cell r="H55">
            <v>1</v>
          </cell>
          <cell r="J55">
            <v>13605.329929802172</v>
          </cell>
          <cell r="K55">
            <v>202</v>
          </cell>
          <cell r="L55">
            <v>1549.9569169027384</v>
          </cell>
        </row>
        <row r="56">
          <cell r="E56">
            <v>1500</v>
          </cell>
          <cell r="F56" t="str">
            <v>ARQUITECTURA</v>
          </cell>
        </row>
        <row r="57">
          <cell r="E57">
            <v>1505</v>
          </cell>
          <cell r="F57" t="str">
            <v>Plancha de cubierta</v>
          </cell>
          <cell r="G57" t="str">
            <v>m2</v>
          </cell>
          <cell r="H57">
            <v>1.1499999999999999</v>
          </cell>
          <cell r="K57">
            <v>1.4</v>
          </cell>
          <cell r="L57">
            <v>31.759999999999998</v>
          </cell>
        </row>
        <row r="58">
          <cell r="E58">
            <v>1510</v>
          </cell>
          <cell r="F58" t="str">
            <v>Porton 6,5x5,4 m</v>
          </cell>
          <cell r="G58" t="str">
            <v>c/u</v>
          </cell>
          <cell r="H58">
            <v>1</v>
          </cell>
          <cell r="K58">
            <v>51.580151999999991</v>
          </cell>
          <cell r="L58">
            <v>4364.4743999999992</v>
          </cell>
        </row>
        <row r="59">
          <cell r="E59">
            <v>2000</v>
          </cell>
          <cell r="F59" t="str">
            <v>MECANICA</v>
          </cell>
        </row>
        <row r="60">
          <cell r="E60">
            <v>2000</v>
          </cell>
          <cell r="F60" t="str">
            <v>EQUIPOS</v>
          </cell>
        </row>
        <row r="61">
          <cell r="E61">
            <v>2005</v>
          </cell>
          <cell r="F61" t="str">
            <v>Molino SAG 36'x16 3/4' 16000HP c/sist. motriz</v>
          </cell>
          <cell r="G61" t="str">
            <v>c/u</v>
          </cell>
          <cell r="H61">
            <v>1</v>
          </cell>
          <cell r="I61">
            <v>12708252.719846843</v>
          </cell>
          <cell r="J61">
            <v>0</v>
          </cell>
          <cell r="K61">
            <v>58079</v>
          </cell>
          <cell r="L61">
            <v>403636.60654574545</v>
          </cell>
          <cell r="M61" t="str">
            <v>I</v>
          </cell>
        </row>
        <row r="62">
          <cell r="E62">
            <v>2006</v>
          </cell>
          <cell r="F62" t="str">
            <v>Molino SAG 36'x16 3/4' 17000HP c/sist. motriz</v>
          </cell>
          <cell r="G62" t="str">
            <v>c/u</v>
          </cell>
          <cell r="H62">
            <v>1</v>
          </cell>
          <cell r="I62">
            <v>11114950.948308872</v>
          </cell>
          <cell r="J62">
            <v>0</v>
          </cell>
          <cell r="K62">
            <v>58079</v>
          </cell>
          <cell r="L62">
            <v>403636.60654574545</v>
          </cell>
          <cell r="M62" t="str">
            <v>I</v>
          </cell>
        </row>
        <row r="63">
          <cell r="E63">
            <v>2007</v>
          </cell>
          <cell r="F63" t="str">
            <v>Molino SAG 40'x22 27000HP c/sist. motriz</v>
          </cell>
          <cell r="G63" t="str">
            <v>c/u</v>
          </cell>
          <cell r="H63">
            <v>1</v>
          </cell>
          <cell r="I63">
            <v>13319399.988381274</v>
          </cell>
          <cell r="J63">
            <v>0</v>
          </cell>
          <cell r="K63">
            <v>76659.862468550898</v>
          </cell>
          <cell r="L63">
            <v>552505.76663672097</v>
          </cell>
          <cell r="M63" t="str">
            <v>I</v>
          </cell>
        </row>
        <row r="64">
          <cell r="E64">
            <v>2010</v>
          </cell>
          <cell r="F64" t="str">
            <v>Molino de Bolas 20'x30', 7000HP c/ motor</v>
          </cell>
          <cell r="G64" t="str">
            <v>c/u</v>
          </cell>
          <cell r="H64">
            <v>1</v>
          </cell>
          <cell r="I64">
            <v>4393894.8321633702</v>
          </cell>
          <cell r="J64">
            <v>0</v>
          </cell>
          <cell r="K64">
            <v>21118.5</v>
          </cell>
          <cell r="L64">
            <v>173832.69028367958</v>
          </cell>
          <cell r="M64" t="str">
            <v>I</v>
          </cell>
        </row>
        <row r="65">
          <cell r="E65">
            <v>2012</v>
          </cell>
          <cell r="F65" t="str">
            <v>Molino de Bolas 10.000 HP</v>
          </cell>
          <cell r="G65" t="str">
            <v>c/u</v>
          </cell>
          <cell r="H65">
            <v>1</v>
          </cell>
          <cell r="I65">
            <v>5860280</v>
          </cell>
          <cell r="J65">
            <v>0</v>
          </cell>
          <cell r="K65">
            <v>24620.464851810826</v>
          </cell>
          <cell r="L65">
            <v>202658.41045647417</v>
          </cell>
          <cell r="M65" t="str">
            <v>I</v>
          </cell>
        </row>
        <row r="66">
          <cell r="E66">
            <v>2013</v>
          </cell>
          <cell r="F66" t="str">
            <v>Molino Unitario 25x40.5, 18.000 HP</v>
          </cell>
          <cell r="G66" t="str">
            <v>c/u</v>
          </cell>
          <cell r="H66">
            <v>1</v>
          </cell>
          <cell r="I66">
            <v>7551665.803034611</v>
          </cell>
          <cell r="J66">
            <v>0</v>
          </cell>
          <cell r="K66">
            <v>27466.605895957524</v>
          </cell>
          <cell r="L66">
            <v>226085.84870402116</v>
          </cell>
          <cell r="M66" t="str">
            <v>I</v>
          </cell>
        </row>
        <row r="67">
          <cell r="E67">
            <v>2014</v>
          </cell>
          <cell r="F67" t="str">
            <v>Molino de Bolas  25x39 15.500 HP</v>
          </cell>
          <cell r="G67" t="str">
            <v>c/u</v>
          </cell>
          <cell r="H67">
            <v>1</v>
          </cell>
          <cell r="I67">
            <v>7224074.6910275239</v>
          </cell>
          <cell r="J67">
            <v>0</v>
          </cell>
          <cell r="K67">
            <v>25109.641486172237</v>
          </cell>
          <cell r="L67">
            <v>206684.96965220117</v>
          </cell>
          <cell r="M67" t="str">
            <v>I</v>
          </cell>
        </row>
        <row r="68">
          <cell r="E68">
            <v>2015</v>
          </cell>
          <cell r="F68" t="str">
            <v>Molino vertical (torre) VTM-1250</v>
          </cell>
          <cell r="G68" t="str">
            <v>c/u</v>
          </cell>
          <cell r="H68">
            <v>1</v>
          </cell>
          <cell r="I68">
            <v>1486981.4932992982</v>
          </cell>
          <cell r="J68">
            <v>0</v>
          </cell>
          <cell r="K68">
            <v>7511.9078511461321</v>
          </cell>
          <cell r="L68">
            <v>61832.760419907965</v>
          </cell>
          <cell r="M68" t="str">
            <v>I</v>
          </cell>
        </row>
        <row r="69">
          <cell r="E69">
            <v>2016</v>
          </cell>
          <cell r="F69" t="str">
            <v>Molino vertical (torre) VTM-1000</v>
          </cell>
          <cell r="G69" t="str">
            <v>c/u</v>
          </cell>
          <cell r="H69">
            <v>1</v>
          </cell>
          <cell r="I69">
            <v>1577130.0216975114</v>
          </cell>
          <cell r="J69">
            <v>0</v>
          </cell>
          <cell r="K69">
            <v>7511.9078511461321</v>
          </cell>
          <cell r="L69">
            <v>61832.760419907965</v>
          </cell>
          <cell r="M69" t="str">
            <v>I</v>
          </cell>
        </row>
        <row r="70">
          <cell r="E70">
            <v>2018</v>
          </cell>
          <cell r="F70" t="str">
            <v>Molino de Remolienda 90 HP</v>
          </cell>
          <cell r="G70" t="str">
            <v>c/u</v>
          </cell>
          <cell r="H70">
            <v>1</v>
          </cell>
          <cell r="I70">
            <v>253070.65611320903</v>
          </cell>
          <cell r="J70">
            <v>0</v>
          </cell>
          <cell r="K70">
            <v>1339.5662238678083</v>
          </cell>
          <cell r="L70">
            <v>11026.370268157818</v>
          </cell>
          <cell r="M70" t="str">
            <v>I</v>
          </cell>
        </row>
        <row r="71">
          <cell r="E71">
            <v>2020</v>
          </cell>
          <cell r="F71" t="str">
            <v>Chancador Cono 7' , 400 HP</v>
          </cell>
          <cell r="G71" t="str">
            <v>c/u</v>
          </cell>
          <cell r="H71">
            <v>1</v>
          </cell>
          <cell r="I71">
            <v>888668.06339616049</v>
          </cell>
          <cell r="J71">
            <v>0</v>
          </cell>
          <cell r="K71">
            <v>5624</v>
          </cell>
          <cell r="L71">
            <v>43120.202733842198</v>
          </cell>
          <cell r="M71" t="str">
            <v>I</v>
          </cell>
        </row>
        <row r="72">
          <cell r="E72">
            <v>2020.1</v>
          </cell>
          <cell r="F72" t="str">
            <v>Chancador Cono 7' , 300 HP</v>
          </cell>
          <cell r="G72" t="str">
            <v>c/u</v>
          </cell>
          <cell r="H72">
            <v>1</v>
          </cell>
          <cell r="I72">
            <v>878475.29143672483</v>
          </cell>
          <cell r="J72">
            <v>0</v>
          </cell>
          <cell r="K72">
            <v>5624</v>
          </cell>
          <cell r="L72">
            <v>43120.202733842198</v>
          </cell>
          <cell r="M72" t="str">
            <v>I</v>
          </cell>
        </row>
        <row r="73">
          <cell r="E73">
            <v>2021</v>
          </cell>
          <cell r="F73" t="str">
            <v>Chancador Cono 7' , 500 HP</v>
          </cell>
          <cell r="G73" t="str">
            <v>c/u</v>
          </cell>
          <cell r="H73">
            <v>1</v>
          </cell>
          <cell r="I73">
            <v>897879</v>
          </cell>
          <cell r="J73">
            <v>0</v>
          </cell>
          <cell r="K73">
            <v>5624</v>
          </cell>
          <cell r="L73">
            <v>86240.405467684395</v>
          </cell>
          <cell r="M73" t="str">
            <v>I</v>
          </cell>
        </row>
        <row r="74">
          <cell r="E74">
            <v>2025</v>
          </cell>
          <cell r="F74" t="str">
            <v>Chancador H-8000, 750 HP</v>
          </cell>
          <cell r="G74" t="str">
            <v>c/u</v>
          </cell>
          <cell r="H74">
            <v>1</v>
          </cell>
          <cell r="I74">
            <v>1300000</v>
          </cell>
          <cell r="J74">
            <v>0</v>
          </cell>
          <cell r="K74">
            <v>8200.6084288821457</v>
          </cell>
          <cell r="L74">
            <v>62875.515290585572</v>
          </cell>
          <cell r="M74" t="str">
            <v>I</v>
          </cell>
        </row>
        <row r="75">
          <cell r="E75">
            <v>2025.1</v>
          </cell>
          <cell r="F75" t="str">
            <v>Chancador H-8000, 800 HP</v>
          </cell>
          <cell r="G75" t="str">
            <v>c/u</v>
          </cell>
          <cell r="H75">
            <v>1</v>
          </cell>
          <cell r="I75">
            <v>1351327.4115176124</v>
          </cell>
          <cell r="J75">
            <v>0</v>
          </cell>
          <cell r="K75">
            <v>8524.3899700544789</v>
          </cell>
          <cell r="L75">
            <v>65358.005634971567</v>
          </cell>
          <cell r="M75" t="str">
            <v>I</v>
          </cell>
        </row>
        <row r="76">
          <cell r="E76">
            <v>2026</v>
          </cell>
          <cell r="F76" t="str">
            <v>Chancador MP-800, 800 HP</v>
          </cell>
          <cell r="G76" t="str">
            <v>c/u</v>
          </cell>
          <cell r="H76">
            <v>1</v>
          </cell>
          <cell r="I76">
            <v>1272896</v>
          </cell>
          <cell r="J76">
            <v>0</v>
          </cell>
          <cell r="K76">
            <v>8200.6084288821457</v>
          </cell>
          <cell r="L76">
            <v>62875.515290585572</v>
          </cell>
          <cell r="M76" t="str">
            <v>I</v>
          </cell>
        </row>
        <row r="77">
          <cell r="E77">
            <v>2027</v>
          </cell>
          <cell r="F77" t="str">
            <v>Chancador Giratorio 60x110, 1000 HP</v>
          </cell>
          <cell r="G77" t="str">
            <v>c/u</v>
          </cell>
          <cell r="H77">
            <v>1</v>
          </cell>
          <cell r="I77">
            <v>2187964.1574969818</v>
          </cell>
          <cell r="J77">
            <v>0</v>
          </cell>
          <cell r="K77">
            <v>15647.747747747748</v>
          </cell>
          <cell r="L77">
            <v>109014.23830637593</v>
          </cell>
          <cell r="M77" t="str">
            <v>I</v>
          </cell>
        </row>
        <row r="78">
          <cell r="E78">
            <v>2030</v>
          </cell>
          <cell r="F78" t="str">
            <v>Harnero Vibratorio 10'x20'</v>
          </cell>
          <cell r="G78" t="str">
            <v>c/u</v>
          </cell>
          <cell r="H78">
            <v>1</v>
          </cell>
          <cell r="I78">
            <v>202622.70708359926</v>
          </cell>
          <cell r="J78">
            <v>0</v>
          </cell>
          <cell r="K78">
            <v>1506</v>
          </cell>
          <cell r="L78">
            <v>8221.2590513849536</v>
          </cell>
          <cell r="M78" t="str">
            <v>I</v>
          </cell>
        </row>
        <row r="79">
          <cell r="E79">
            <v>2030.1</v>
          </cell>
          <cell r="F79" t="str">
            <v>Harnero Vibratorio 8'x20'</v>
          </cell>
          <cell r="G79" t="str">
            <v>c/u</v>
          </cell>
          <cell r="H79">
            <v>1</v>
          </cell>
          <cell r="I79">
            <v>177231.98659594034</v>
          </cell>
          <cell r="J79">
            <v>0</v>
          </cell>
          <cell r="K79">
            <v>1506</v>
          </cell>
          <cell r="L79">
            <v>8221.2590513849536</v>
          </cell>
          <cell r="M79" t="str">
            <v>I</v>
          </cell>
        </row>
        <row r="80">
          <cell r="E80">
            <v>2031</v>
          </cell>
          <cell r="F80" t="str">
            <v>Harnero Banano de doble malla 17'x27'</v>
          </cell>
          <cell r="G80" t="str">
            <v>c/u</v>
          </cell>
          <cell r="H80">
            <v>1</v>
          </cell>
          <cell r="I80">
            <v>383579.65800369723</v>
          </cell>
          <cell r="J80">
            <v>0</v>
          </cell>
          <cell r="K80">
            <v>2850.9685477414391</v>
          </cell>
          <cell r="L80">
            <v>15563.446864763029</v>
          </cell>
          <cell r="M80" t="str">
            <v>I</v>
          </cell>
        </row>
        <row r="81">
          <cell r="E81">
            <v>2031.1</v>
          </cell>
          <cell r="F81" t="str">
            <v>Harnero Banano de doble malla 10'x21'</v>
          </cell>
          <cell r="G81" t="str">
            <v>c/u</v>
          </cell>
          <cell r="H81">
            <v>1</v>
          </cell>
          <cell r="I81">
            <v>233016.11314613913</v>
          </cell>
          <cell r="J81">
            <v>0</v>
          </cell>
          <cell r="K81">
            <v>1731.8999999999999</v>
          </cell>
          <cell r="L81">
            <v>9454.4479090926961</v>
          </cell>
          <cell r="M81" t="str">
            <v>I</v>
          </cell>
        </row>
        <row r="82">
          <cell r="E82">
            <v>2035</v>
          </cell>
          <cell r="F82" t="str">
            <v>Sistema Electromotriz Molino SAG</v>
          </cell>
          <cell r="G82" t="str">
            <v>c/u</v>
          </cell>
          <cell r="H82">
            <v>1</v>
          </cell>
          <cell r="I82">
            <v>7579726.2463305686</v>
          </cell>
          <cell r="J82">
            <v>0</v>
          </cell>
          <cell r="K82">
            <v>21405</v>
          </cell>
          <cell r="L82">
            <v>148653.64131518206</v>
          </cell>
          <cell r="M82" t="str">
            <v>I</v>
          </cell>
        </row>
        <row r="83">
          <cell r="E83">
            <v>2037</v>
          </cell>
          <cell r="F83" t="str">
            <v>Bomba de Desplazamiento Positivo 220 HP</v>
          </cell>
          <cell r="G83" t="str">
            <v>c/u</v>
          </cell>
          <cell r="H83">
            <v>1</v>
          </cell>
          <cell r="I83">
            <v>758089.99086978321</v>
          </cell>
          <cell r="K83">
            <v>4738.0624429361451</v>
          </cell>
          <cell r="L83">
            <v>37904.499543489161</v>
          </cell>
          <cell r="M83" t="str">
            <v>I</v>
          </cell>
        </row>
        <row r="84">
          <cell r="E84">
            <v>2040</v>
          </cell>
          <cell r="F84" t="str">
            <v>Bomba Horizontal 20"x18", 1500HP</v>
          </cell>
          <cell r="G84" t="str">
            <v>c/u</v>
          </cell>
          <cell r="H84">
            <v>1</v>
          </cell>
          <cell r="I84">
            <v>187739.6745373325</v>
          </cell>
          <cell r="K84">
            <v>273</v>
          </cell>
          <cell r="L84">
            <v>1498.4223973087817</v>
          </cell>
          <cell r="M84" t="str">
            <v>I</v>
          </cell>
        </row>
        <row r="85">
          <cell r="E85">
            <v>2040.1</v>
          </cell>
          <cell r="F85" t="str">
            <v>Bomba Horizontal 26"x22", 1500 HP</v>
          </cell>
          <cell r="G85" t="str">
            <v>c/u</v>
          </cell>
          <cell r="H85">
            <v>1</v>
          </cell>
          <cell r="I85">
            <v>187739.6745373325</v>
          </cell>
          <cell r="K85">
            <v>273</v>
          </cell>
          <cell r="L85">
            <v>1498.4223973087817</v>
          </cell>
          <cell r="M85" t="str">
            <v>I</v>
          </cell>
        </row>
        <row r="86">
          <cell r="E86">
            <v>2041</v>
          </cell>
          <cell r="F86" t="str">
            <v>Bomba Horizontal 20"x18", 1400HP</v>
          </cell>
          <cell r="G86" t="str">
            <v>c/u</v>
          </cell>
          <cell r="H86">
            <v>1</v>
          </cell>
          <cell r="I86">
            <v>180126.71409811394</v>
          </cell>
          <cell r="K86">
            <v>261.92968039372312</v>
          </cell>
          <cell r="L86">
            <v>1437.6604381754053</v>
          </cell>
          <cell r="M86" t="str">
            <v>I</v>
          </cell>
        </row>
        <row r="87">
          <cell r="E87">
            <v>2045</v>
          </cell>
          <cell r="F87" t="str">
            <v>Bomba Horizontal 20"x18", 1700HP</v>
          </cell>
          <cell r="G87" t="str">
            <v>c/u</v>
          </cell>
          <cell r="H87">
            <v>1</v>
          </cell>
          <cell r="I87">
            <v>202381.42896898472</v>
          </cell>
          <cell r="K87">
            <v>294.29117870099537</v>
          </cell>
          <cell r="L87">
            <v>1615.2838589596067</v>
          </cell>
          <cell r="M87" t="str">
            <v>I</v>
          </cell>
        </row>
        <row r="88">
          <cell r="E88">
            <v>2046</v>
          </cell>
          <cell r="F88" t="str">
            <v>Bomba Horizontal  2000 HP</v>
          </cell>
          <cell r="G88" t="str">
            <v>c/u</v>
          </cell>
          <cell r="H88">
            <v>1</v>
          </cell>
          <cell r="I88">
            <v>223110.13685865761</v>
          </cell>
          <cell r="K88">
            <v>324.43364734981259</v>
          </cell>
          <cell r="L88">
            <v>1780.7276323426304</v>
          </cell>
          <cell r="M88" t="str">
            <v>I</v>
          </cell>
        </row>
        <row r="89">
          <cell r="E89">
            <v>2046.1</v>
          </cell>
          <cell r="F89" t="str">
            <v>Bomba Horizontal  2500 HP</v>
          </cell>
          <cell r="G89" t="str">
            <v>c/u</v>
          </cell>
          <cell r="H89">
            <v>1</v>
          </cell>
          <cell r="I89">
            <v>255073.4818041533</v>
          </cell>
          <cell r="K89">
            <v>370.91286487069488</v>
          </cell>
          <cell r="L89">
            <v>2035.8393559421793</v>
          </cell>
          <cell r="M89" t="str">
            <v>I</v>
          </cell>
        </row>
        <row r="90">
          <cell r="E90">
            <v>2047</v>
          </cell>
          <cell r="F90" t="str">
            <v>Bomba Horizontal , 1750HP</v>
          </cell>
          <cell r="G90" t="str">
            <v>c/u</v>
          </cell>
          <cell r="H90">
            <v>1</v>
          </cell>
          <cell r="I90">
            <v>205932.14086034166</v>
          </cell>
          <cell r="K90">
            <v>299.45441523439888</v>
          </cell>
          <cell r="L90">
            <v>1643.6234533341665</v>
          </cell>
          <cell r="M90" t="str">
            <v>I</v>
          </cell>
        </row>
        <row r="91">
          <cell r="E91">
            <v>2048</v>
          </cell>
          <cell r="F91" t="str">
            <v>Bomba Turbina vertival 250 HP para agua</v>
          </cell>
          <cell r="G91" t="str">
            <v>c/u</v>
          </cell>
          <cell r="H91">
            <v>1</v>
          </cell>
          <cell r="I91">
            <v>55073.388640714751</v>
          </cell>
          <cell r="K91">
            <v>224.67151787560144</v>
          </cell>
          <cell r="L91">
            <v>1444.9683449477029</v>
          </cell>
          <cell r="M91" t="str">
            <v>I</v>
          </cell>
        </row>
        <row r="92">
          <cell r="E92">
            <v>2049</v>
          </cell>
          <cell r="F92" t="str">
            <v>Bomba Turbina vertival 100 HP para agua</v>
          </cell>
          <cell r="G92" t="str">
            <v>c/u</v>
          </cell>
          <cell r="H92">
            <v>1</v>
          </cell>
          <cell r="I92">
            <v>34420.867900446719</v>
          </cell>
          <cell r="K92">
            <v>148.22792258110491</v>
          </cell>
          <cell r="L92">
            <v>953.3235809874551</v>
          </cell>
          <cell r="M92" t="str">
            <v>I</v>
          </cell>
        </row>
        <row r="93">
          <cell r="E93">
            <v>2049.1</v>
          </cell>
          <cell r="F93" t="str">
            <v>Bomba Turbina vertival 60 HP para agua</v>
          </cell>
          <cell r="G93" t="str">
            <v>c/u</v>
          </cell>
          <cell r="H93">
            <v>1</v>
          </cell>
          <cell r="I93">
            <v>20652.520740268032</v>
          </cell>
          <cell r="K93">
            <v>67.067367721305786</v>
          </cell>
          <cell r="L93">
            <v>431.34182851745595</v>
          </cell>
          <cell r="M93" t="str">
            <v>I</v>
          </cell>
        </row>
        <row r="94">
          <cell r="E94">
            <v>2050</v>
          </cell>
          <cell r="F94" t="str">
            <v>Bomba Horizontal Centrifuga 12"x10", 200HP</v>
          </cell>
          <cell r="G94" t="str">
            <v>c/u</v>
          </cell>
          <cell r="H94">
            <v>1</v>
          </cell>
          <cell r="I94">
            <v>70493.937460114874</v>
          </cell>
          <cell r="J94">
            <v>0</v>
          </cell>
          <cell r="K94">
            <v>267</v>
          </cell>
          <cell r="L94">
            <v>1717.202748924562</v>
          </cell>
          <cell r="M94" t="str">
            <v>I</v>
          </cell>
        </row>
        <row r="95">
          <cell r="E95">
            <v>2055</v>
          </cell>
          <cell r="F95" t="str">
            <v>Bomba Horizontal Centrifuga 12"x10", 250HP</v>
          </cell>
          <cell r="G95" t="str">
            <v>c/u</v>
          </cell>
          <cell r="H95">
            <v>1</v>
          </cell>
          <cell r="I95">
            <v>80593.084326898825</v>
          </cell>
          <cell r="J95">
            <v>0</v>
          </cell>
          <cell r="K95">
            <v>305.25112216149034</v>
          </cell>
          <cell r="L95">
            <v>1963.213730666736</v>
          </cell>
          <cell r="M95" t="str">
            <v>I</v>
          </cell>
        </row>
        <row r="96">
          <cell r="E96">
            <v>2056</v>
          </cell>
          <cell r="F96" t="str">
            <v>Bomba Horizontal Centrifuga , 150HP</v>
          </cell>
          <cell r="G96" t="str">
            <v>c/u</v>
          </cell>
          <cell r="H96">
            <v>1</v>
          </cell>
          <cell r="I96">
            <v>59318.276892103859</v>
          </cell>
          <cell r="J96">
            <v>0</v>
          </cell>
          <cell r="K96">
            <v>224.67151787560144</v>
          </cell>
          <cell r="L96">
            <v>1444.9683449477029</v>
          </cell>
          <cell r="M96" t="str">
            <v>I</v>
          </cell>
        </row>
        <row r="97">
          <cell r="E97">
            <v>2060</v>
          </cell>
          <cell r="F97" t="str">
            <v>Bomba Horizontal Centrifuga 20"x18", 600HP</v>
          </cell>
          <cell r="G97" t="str">
            <v>c/u</v>
          </cell>
          <cell r="H97">
            <v>1</v>
          </cell>
          <cell r="I97">
            <v>148698.14932992982</v>
          </cell>
          <cell r="K97">
            <v>401</v>
          </cell>
          <cell r="L97">
            <v>2179.1146764505297</v>
          </cell>
          <cell r="M97" t="str">
            <v>I</v>
          </cell>
        </row>
        <row r="98">
          <cell r="E98">
            <v>2060.1</v>
          </cell>
          <cell r="F98" t="str">
            <v>Bomba Horizontal Centrifuga  800 HP</v>
          </cell>
          <cell r="G98" t="str">
            <v>c/u</v>
          </cell>
          <cell r="H98">
            <v>1</v>
          </cell>
          <cell r="I98">
            <v>176713.12432701912</v>
          </cell>
          <cell r="K98">
            <v>402</v>
          </cell>
          <cell r="L98">
            <v>2179.1146764505297</v>
          </cell>
          <cell r="M98" t="str">
            <v>I</v>
          </cell>
        </row>
        <row r="99">
          <cell r="E99">
            <v>2061</v>
          </cell>
          <cell r="F99" t="str">
            <v>Bomba Horizontal Centrifuga  20"x18",400HP</v>
          </cell>
          <cell r="G99" t="str">
            <v>c/u</v>
          </cell>
          <cell r="H99">
            <v>1</v>
          </cell>
          <cell r="I99">
            <v>116587.18274344786</v>
          </cell>
          <cell r="K99">
            <v>267.33333333333331</v>
          </cell>
          <cell r="L99">
            <v>1452.7431176336863</v>
          </cell>
          <cell r="M99" t="str">
            <v>I</v>
          </cell>
        </row>
        <row r="100">
          <cell r="E100">
            <v>2062</v>
          </cell>
          <cell r="F100" t="str">
            <v>Bomba Horizontal Centrifuga  14"x12",400HP</v>
          </cell>
          <cell r="G100" t="str">
            <v>c/u</v>
          </cell>
          <cell r="H100">
            <v>1</v>
          </cell>
          <cell r="I100">
            <v>73906.345638073311</v>
          </cell>
          <cell r="K100">
            <v>267.33333333333331</v>
          </cell>
          <cell r="L100">
            <v>1452.7431176336863</v>
          </cell>
          <cell r="M100" t="str">
            <v>I</v>
          </cell>
        </row>
        <row r="101">
          <cell r="E101">
            <v>2063</v>
          </cell>
          <cell r="F101" t="str">
            <v>Bomba Horizontal Centrifuga  20"x18",350HP</v>
          </cell>
          <cell r="G101" t="str">
            <v>c/u</v>
          </cell>
          <cell r="H101">
            <v>1</v>
          </cell>
          <cell r="I101">
            <v>107610.74542500083</v>
          </cell>
          <cell r="K101">
            <v>233.91666666666669</v>
          </cell>
          <cell r="L101">
            <v>1271.1502279294759</v>
          </cell>
          <cell r="M101" t="str">
            <v>I</v>
          </cell>
        </row>
        <row r="102">
          <cell r="E102">
            <v>2065</v>
          </cell>
          <cell r="F102" t="str">
            <v>Bomba  Horizontal Centrifuga  8"x6", 75 HP</v>
          </cell>
          <cell r="G102" t="str">
            <v>c/u</v>
          </cell>
          <cell r="H102">
            <v>1</v>
          </cell>
          <cell r="I102">
            <v>41855.775366943206</v>
          </cell>
          <cell r="K102">
            <v>148.22792258110491</v>
          </cell>
          <cell r="L102">
            <v>953.3235809874551</v>
          </cell>
          <cell r="M102" t="str">
            <v>I</v>
          </cell>
        </row>
        <row r="103">
          <cell r="E103">
            <v>2065.1</v>
          </cell>
          <cell r="F103" t="str">
            <v>Bomba  Horizontal Centrifuga  8"x6", 50 HP</v>
          </cell>
          <cell r="G103" t="str">
            <v>c/u</v>
          </cell>
          <cell r="H103">
            <v>1</v>
          </cell>
          <cell r="I103">
            <v>32817.132920377917</v>
          </cell>
          <cell r="K103">
            <v>0</v>
          </cell>
          <cell r="L103">
            <v>0</v>
          </cell>
          <cell r="M103" t="str">
            <v>I</v>
          </cell>
        </row>
        <row r="104">
          <cell r="E104">
            <v>2065.1999999999998</v>
          </cell>
          <cell r="F104" t="str">
            <v>Bomba  Horizontal Centrifuga  8"x6", 40 HP</v>
          </cell>
          <cell r="G104" t="str">
            <v>c/u</v>
          </cell>
          <cell r="H104">
            <v>1</v>
          </cell>
          <cell r="I104">
            <v>28704.806808557303</v>
          </cell>
          <cell r="K104">
            <v>0</v>
          </cell>
          <cell r="L104">
            <v>0</v>
          </cell>
          <cell r="M104" t="str">
            <v>I</v>
          </cell>
        </row>
        <row r="105">
          <cell r="E105">
            <v>2065.3000000000002</v>
          </cell>
          <cell r="F105" t="str">
            <v>Bomba  Horizontal Centrifuga  8"x6", 30 HP</v>
          </cell>
          <cell r="G105" t="str">
            <v>c/u</v>
          </cell>
          <cell r="H105">
            <v>1</v>
          </cell>
          <cell r="I105">
            <v>24154.129273424976</v>
          </cell>
          <cell r="K105">
            <v>0</v>
          </cell>
          <cell r="L105">
            <v>0</v>
          </cell>
          <cell r="M105" t="str">
            <v>I</v>
          </cell>
        </row>
        <row r="106">
          <cell r="E106">
            <v>2066</v>
          </cell>
          <cell r="F106" t="str">
            <v>Bomba  Horizontal Centrifuga , 20 HP</v>
          </cell>
          <cell r="G106" t="str">
            <v>c/u</v>
          </cell>
          <cell r="H106">
            <v>1</v>
          </cell>
          <cell r="I106">
            <v>18938.1098305495</v>
          </cell>
          <cell r="K106">
            <v>67.067367721305786</v>
          </cell>
          <cell r="L106">
            <v>431.34182851745595</v>
          </cell>
          <cell r="M106" t="str">
            <v>I</v>
          </cell>
        </row>
        <row r="107">
          <cell r="E107">
            <v>2066.4</v>
          </cell>
          <cell r="F107" t="str">
            <v>Bomba  Horizontal Centrifuga , 15 HP</v>
          </cell>
          <cell r="G107" t="str">
            <v>c/u</v>
          </cell>
          <cell r="H107">
            <v>1</v>
          </cell>
          <cell r="I107">
            <v>15935.782327057696</v>
          </cell>
          <cell r="K107">
            <v>0</v>
          </cell>
          <cell r="L107">
            <v>0</v>
          </cell>
          <cell r="M107" t="str">
            <v>I</v>
          </cell>
        </row>
        <row r="108">
          <cell r="E108">
            <v>2066.1</v>
          </cell>
          <cell r="F108" t="str">
            <v>Bomba  Horizontal Centrifuga , 7.5 HP</v>
          </cell>
          <cell r="G108" t="str">
            <v>c/u</v>
          </cell>
          <cell r="H108">
            <v>1</v>
          </cell>
          <cell r="I108">
            <v>10513.695422453757</v>
          </cell>
          <cell r="K108">
            <v>0</v>
          </cell>
          <cell r="L108">
            <v>0</v>
          </cell>
          <cell r="M108" t="str">
            <v>I</v>
          </cell>
        </row>
        <row r="109">
          <cell r="E109">
            <v>2066.3000000000002</v>
          </cell>
          <cell r="F109" t="str">
            <v>Bomba  Horizontal Centrifuga , 3 HP</v>
          </cell>
          <cell r="G109" t="str">
            <v>c/u</v>
          </cell>
          <cell r="H109">
            <v>1</v>
          </cell>
          <cell r="I109">
            <v>6067.2429586844546</v>
          </cell>
          <cell r="K109">
            <v>0</v>
          </cell>
          <cell r="L109">
            <v>0</v>
          </cell>
          <cell r="M109" t="str">
            <v>I</v>
          </cell>
        </row>
        <row r="110">
          <cell r="E110">
            <v>2066.1999999999998</v>
          </cell>
          <cell r="F110" t="str">
            <v>Bomba  Horizontal Centrifuga , 25 HP</v>
          </cell>
          <cell r="G110" t="str">
            <v>c/u</v>
          </cell>
          <cell r="H110">
            <v>1</v>
          </cell>
          <cell r="I110">
            <v>21651.23324866212</v>
          </cell>
          <cell r="K110">
            <v>0</v>
          </cell>
          <cell r="L110">
            <v>0</v>
          </cell>
          <cell r="M110" t="str">
            <v>I</v>
          </cell>
        </row>
        <row r="111">
          <cell r="E111">
            <v>2067</v>
          </cell>
          <cell r="F111" t="str">
            <v>Bomba  Horizontal Centrifuga  10"x8", 450 HP p/agua</v>
          </cell>
          <cell r="G111" t="str">
            <v>c/u</v>
          </cell>
          <cell r="H111">
            <v>1</v>
          </cell>
          <cell r="I111">
            <v>62232.929164007663</v>
          </cell>
          <cell r="J111">
            <v>0</v>
          </cell>
          <cell r="K111">
            <v>305.25112216149034</v>
          </cell>
          <cell r="L111">
            <v>1963.213730666736</v>
          </cell>
          <cell r="M111" t="str">
            <v>I</v>
          </cell>
        </row>
        <row r="112">
          <cell r="E112">
            <v>2067.1</v>
          </cell>
          <cell r="F112" t="str">
            <v xml:space="preserve">Bomba  Horizontal Centrifuga  agua, 50 HP </v>
          </cell>
          <cell r="G112" t="str">
            <v>c/u</v>
          </cell>
          <cell r="H112">
            <v>1</v>
          </cell>
          <cell r="I112">
            <v>16522.016592214426</v>
          </cell>
          <cell r="J112">
            <v>0</v>
          </cell>
          <cell r="K112">
            <v>180</v>
          </cell>
          <cell r="L112">
            <v>0.68795247088448219</v>
          </cell>
          <cell r="M112" t="str">
            <v>I</v>
          </cell>
        </row>
        <row r="113">
          <cell r="E113">
            <v>2068</v>
          </cell>
          <cell r="F113" t="str">
            <v>Reubicaciín Bomba 400 ST-L</v>
          </cell>
          <cell r="G113" t="str">
            <v>c/u</v>
          </cell>
          <cell r="H113">
            <v>1</v>
          </cell>
          <cell r="J113">
            <v>0</v>
          </cell>
          <cell r="K113">
            <v>457.87668324223552</v>
          </cell>
          <cell r="L113">
            <v>2944.8205960001042</v>
          </cell>
          <cell r="M113" t="str">
            <v>I</v>
          </cell>
        </row>
        <row r="114">
          <cell r="E114">
            <v>2069</v>
          </cell>
          <cell r="F114" t="str">
            <v>Bomba 400 ST-L</v>
          </cell>
          <cell r="G114" t="str">
            <v>c/u</v>
          </cell>
          <cell r="H114">
            <v>1</v>
          </cell>
          <cell r="I114">
            <v>116587.18274344786</v>
          </cell>
          <cell r="K114">
            <v>305.25112216149034</v>
          </cell>
          <cell r="L114">
            <v>1963.213730666736</v>
          </cell>
          <cell r="M114" t="str">
            <v>I</v>
          </cell>
        </row>
        <row r="115">
          <cell r="E115">
            <v>2070</v>
          </cell>
          <cell r="F115" t="str">
            <v xml:space="preserve">Bomba vertical de piso 6" </v>
          </cell>
          <cell r="G115" t="str">
            <v>c/u</v>
          </cell>
          <cell r="H115">
            <v>1</v>
          </cell>
          <cell r="I115">
            <v>11014.677728142949</v>
          </cell>
          <cell r="K115">
            <v>103.25</v>
          </cell>
          <cell r="L115">
            <v>704.25235809463845</v>
          </cell>
          <cell r="M115" t="str">
            <v>I</v>
          </cell>
        </row>
        <row r="116">
          <cell r="E116">
            <v>2071</v>
          </cell>
          <cell r="F116" t="str">
            <v>Reubicación Bomba vertical de piso 6"</v>
          </cell>
          <cell r="G116" t="str">
            <v>c/u</v>
          </cell>
          <cell r="H116">
            <v>1</v>
          </cell>
          <cell r="I116">
            <v>0</v>
          </cell>
          <cell r="K116">
            <v>154.875</v>
          </cell>
          <cell r="L116">
            <v>1056.3785371419578</v>
          </cell>
        </row>
        <row r="117">
          <cell r="E117">
            <v>2075</v>
          </cell>
          <cell r="F117" t="str">
            <v>Bomba Centrifuga Vertical  8", 75 HP</v>
          </cell>
          <cell r="G117" t="str">
            <v>c/u</v>
          </cell>
          <cell r="H117">
            <v>1</v>
          </cell>
          <cell r="I117">
            <v>20148.271081724706</v>
          </cell>
          <cell r="K117">
            <v>150.55348867035588</v>
          </cell>
          <cell r="L117">
            <v>1026.9021735154729</v>
          </cell>
          <cell r="M117" t="str">
            <v>I</v>
          </cell>
        </row>
        <row r="118">
          <cell r="E118">
            <v>2080</v>
          </cell>
          <cell r="F118" t="str">
            <v>Bomba 40 HP (Recirculación molinos torre)</v>
          </cell>
          <cell r="G118" t="str">
            <v>c/u</v>
          </cell>
          <cell r="H118">
            <v>1</v>
          </cell>
          <cell r="I118">
            <v>11014.677728142949</v>
          </cell>
          <cell r="K118">
            <v>103.25</v>
          </cell>
          <cell r="L118">
            <v>704.25235809463845</v>
          </cell>
          <cell r="M118" t="str">
            <v>I</v>
          </cell>
        </row>
        <row r="119">
          <cell r="E119">
            <v>2081</v>
          </cell>
          <cell r="F119" t="str">
            <v xml:space="preserve">Bomba de Piso de 30 HP </v>
          </cell>
          <cell r="G119" t="str">
            <v>c/u</v>
          </cell>
          <cell r="H119">
            <v>1</v>
          </cell>
          <cell r="I119">
            <v>9731.9048026107903</v>
          </cell>
          <cell r="K119">
            <v>0</v>
          </cell>
          <cell r="L119">
            <v>704.25235809463845</v>
          </cell>
          <cell r="M119" t="str">
            <v>I</v>
          </cell>
        </row>
        <row r="120">
          <cell r="E120">
            <v>2085</v>
          </cell>
          <cell r="F120" t="str">
            <v>Maquina Enlainadora Molino 36'</v>
          </cell>
          <cell r="G120" t="str">
            <v>c/u</v>
          </cell>
          <cell r="H120">
            <v>1</v>
          </cell>
          <cell r="I120">
            <v>180410.50797702619</v>
          </cell>
          <cell r="K120">
            <v>446</v>
          </cell>
          <cell r="L120">
            <v>2503.3145715297451</v>
          </cell>
          <cell r="M120" t="str">
            <v>I</v>
          </cell>
        </row>
        <row r="121">
          <cell r="E121">
            <v>2086</v>
          </cell>
          <cell r="F121" t="str">
            <v>Maquina Enlainadora Molino 40'</v>
          </cell>
          <cell r="G121" t="str">
            <v>c/u</v>
          </cell>
          <cell r="H121">
            <v>1</v>
          </cell>
          <cell r="I121">
            <v>192183.59969721985</v>
          </cell>
          <cell r="K121">
            <v>446</v>
          </cell>
          <cell r="L121">
            <v>2503.3145715297451</v>
          </cell>
          <cell r="M121" t="str">
            <v>I</v>
          </cell>
        </row>
        <row r="122">
          <cell r="E122">
            <v>2090</v>
          </cell>
          <cell r="F122" t="str">
            <v>Maquina Enlainadora Molino 20'</v>
          </cell>
          <cell r="G122" t="str">
            <v>c/u</v>
          </cell>
          <cell r="H122">
            <v>1</v>
          </cell>
          <cell r="I122">
            <v>119839.6936821953</v>
          </cell>
          <cell r="K122">
            <v>302</v>
          </cell>
          <cell r="L122">
            <v>286.38085457979224</v>
          </cell>
          <cell r="M122" t="str">
            <v>I</v>
          </cell>
        </row>
        <row r="123">
          <cell r="E123">
            <v>2091</v>
          </cell>
          <cell r="F123" t="str">
            <v>Maquina Enlainadora Molino 25'</v>
          </cell>
          <cell r="G123" t="str">
            <v>c/u</v>
          </cell>
          <cell r="H123">
            <v>1</v>
          </cell>
          <cell r="I123">
            <v>137008.24335572802</v>
          </cell>
          <cell r="K123">
            <v>302</v>
          </cell>
          <cell r="L123">
            <v>286.38085457979224</v>
          </cell>
          <cell r="M123" t="str">
            <v>I</v>
          </cell>
        </row>
        <row r="124">
          <cell r="E124">
            <v>2093</v>
          </cell>
          <cell r="F124" t="str">
            <v>Puente grúa 115 ton  110 HP</v>
          </cell>
          <cell r="G124" t="str">
            <v>c/u</v>
          </cell>
          <cell r="H124">
            <v>1</v>
          </cell>
          <cell r="I124">
            <v>377937.46249644371</v>
          </cell>
          <cell r="J124">
            <v>0</v>
          </cell>
          <cell r="K124">
            <v>11678.26027839036</v>
          </cell>
          <cell r="L124">
            <v>117598.40107090028</v>
          </cell>
          <cell r="M124" t="str">
            <v>I</v>
          </cell>
        </row>
        <row r="125">
          <cell r="E125">
            <v>2094</v>
          </cell>
          <cell r="F125" t="str">
            <v xml:space="preserve">Puente grúa 55 /15 ton </v>
          </cell>
          <cell r="G125" t="str">
            <v>c/u</v>
          </cell>
          <cell r="H125">
            <v>1</v>
          </cell>
          <cell r="I125">
            <v>242783.32354818127</v>
          </cell>
          <cell r="J125">
            <v>0</v>
          </cell>
          <cell r="K125">
            <v>7502</v>
          </cell>
          <cell r="L125">
            <v>75544.060827825</v>
          </cell>
          <cell r="M125" t="str">
            <v>I</v>
          </cell>
        </row>
        <row r="126">
          <cell r="E126">
            <v>2095</v>
          </cell>
          <cell r="F126" t="str">
            <v>Puente grúa 15 / 5 ton  2x10 HP</v>
          </cell>
          <cell r="G126" t="str">
            <v>c/u</v>
          </cell>
          <cell r="H126">
            <v>1</v>
          </cell>
          <cell r="I126">
            <v>95096.687448403813</v>
          </cell>
          <cell r="J126">
            <v>0</v>
          </cell>
          <cell r="K126">
            <v>1865.2842395322716</v>
          </cell>
          <cell r="L126">
            <v>15501.176308588556</v>
          </cell>
          <cell r="M126" t="str">
            <v>I</v>
          </cell>
        </row>
        <row r="127">
          <cell r="E127">
            <v>2096</v>
          </cell>
          <cell r="F127" t="str">
            <v xml:space="preserve">Puente grúa 30 / 5 ton </v>
          </cell>
          <cell r="G127" t="str">
            <v>c/u</v>
          </cell>
          <cell r="H127">
            <v>1</v>
          </cell>
          <cell r="I127">
            <v>202019.10274409704</v>
          </cell>
          <cell r="J127">
            <v>0</v>
          </cell>
          <cell r="K127">
            <v>5214.7344645132271</v>
          </cell>
          <cell r="L127">
            <v>52511.625911509283</v>
          </cell>
          <cell r="M127" t="str">
            <v>I</v>
          </cell>
        </row>
        <row r="128">
          <cell r="E128">
            <v>2100</v>
          </cell>
          <cell r="F128" t="str">
            <v>Puente grúa 12,5 / 5 ton</v>
          </cell>
          <cell r="G128" t="str">
            <v>c/u</v>
          </cell>
          <cell r="H128">
            <v>1</v>
          </cell>
          <cell r="I128">
            <v>85242.590938098292</v>
          </cell>
          <cell r="J128">
            <v>0</v>
          </cell>
          <cell r="K128">
            <v>1672</v>
          </cell>
          <cell r="L128">
            <v>13894.915444339524</v>
          </cell>
          <cell r="M128" t="str">
            <v>I</v>
          </cell>
        </row>
        <row r="129">
          <cell r="E129">
            <v>2105</v>
          </cell>
          <cell r="F129" t="str">
            <v>Puente Grúa 8 Ton</v>
          </cell>
          <cell r="G129" t="str">
            <v>c/u</v>
          </cell>
          <cell r="H129">
            <v>1</v>
          </cell>
          <cell r="I129">
            <v>31278.380344607536</v>
          </cell>
          <cell r="K129">
            <v>901</v>
          </cell>
          <cell r="L129">
            <v>10575.716760439618</v>
          </cell>
          <cell r="M129" t="str">
            <v>I</v>
          </cell>
        </row>
        <row r="130">
          <cell r="E130">
            <v>2106</v>
          </cell>
          <cell r="F130" t="str">
            <v>Puente Grúa 3 Ton</v>
          </cell>
          <cell r="G130" t="str">
            <v>c/u</v>
          </cell>
          <cell r="H130">
            <v>1</v>
          </cell>
          <cell r="I130">
            <v>17364.52936398067</v>
          </cell>
          <cell r="K130">
            <v>337.875</v>
          </cell>
          <cell r="L130">
            <v>3965.893785164857</v>
          </cell>
          <cell r="M130" t="str">
            <v>I</v>
          </cell>
        </row>
        <row r="131">
          <cell r="E131">
            <v>2110</v>
          </cell>
          <cell r="F131" t="str">
            <v>Puente grúa sopladores existente reubicado</v>
          </cell>
          <cell r="G131" t="str">
            <v>c/u</v>
          </cell>
          <cell r="H131">
            <v>1</v>
          </cell>
          <cell r="I131">
            <v>0</v>
          </cell>
          <cell r="K131">
            <v>909.03164963645372</v>
          </cell>
          <cell r="L131">
            <v>4962.4068244150667</v>
          </cell>
        </row>
        <row r="132">
          <cell r="E132">
            <v>2111</v>
          </cell>
          <cell r="F132" t="str">
            <v>Picador de roca</v>
          </cell>
          <cell r="G132" t="str">
            <v>c/u</v>
          </cell>
          <cell r="H132">
            <v>1</v>
          </cell>
          <cell r="I132">
            <v>148643.07594128911</v>
          </cell>
          <cell r="K132">
            <v>1360.3034843526464</v>
          </cell>
          <cell r="L132">
            <v>9447.0481776571196</v>
          </cell>
        </row>
        <row r="133">
          <cell r="E133">
            <v>2112</v>
          </cell>
          <cell r="F133" t="str">
            <v>Técle Eléctrico 7,5 ton</v>
          </cell>
          <cell r="G133" t="str">
            <v>c/u</v>
          </cell>
          <cell r="H133">
            <v>1</v>
          </cell>
          <cell r="I133">
            <v>9194.5022335673275</v>
          </cell>
          <cell r="K133">
            <v>360</v>
          </cell>
          <cell r="L133">
            <v>1963.7534486150455</v>
          </cell>
        </row>
        <row r="134">
          <cell r="E134">
            <v>2115</v>
          </cell>
          <cell r="F134" t="str">
            <v>Ventilador existente reubicado</v>
          </cell>
          <cell r="G134" t="str">
            <v>c/u</v>
          </cell>
          <cell r="H134">
            <v>1</v>
          </cell>
          <cell r="I134">
            <v>0</v>
          </cell>
          <cell r="K134">
            <v>1008.6028367870587</v>
          </cell>
          <cell r="L134">
            <v>6879.5247088448223</v>
          </cell>
        </row>
        <row r="135">
          <cell r="E135">
            <v>2120</v>
          </cell>
          <cell r="F135" t="str">
            <v>Extractor  25 Hp existente reubicado</v>
          </cell>
          <cell r="G135" t="str">
            <v>c/u</v>
          </cell>
          <cell r="H135">
            <v>1</v>
          </cell>
          <cell r="I135">
            <v>0</v>
          </cell>
          <cell r="K135">
            <v>614.74814709798545</v>
          </cell>
          <cell r="L135">
            <v>3439.7623544224111</v>
          </cell>
        </row>
        <row r="136">
          <cell r="E136">
            <v>2125</v>
          </cell>
          <cell r="F136" t="str">
            <v>Motor bomba alim. molienda sec. 700 HP</v>
          </cell>
          <cell r="G136" t="str">
            <v>c/u</v>
          </cell>
          <cell r="H136">
            <v>1</v>
          </cell>
          <cell r="I136">
            <v>77102.744097000643</v>
          </cell>
          <cell r="J136">
            <v>0</v>
          </cell>
          <cell r="K136">
            <v>305.25112216149034</v>
          </cell>
          <cell r="L136">
            <v>1963.213730666736</v>
          </cell>
          <cell r="M136" t="str">
            <v>I</v>
          </cell>
        </row>
        <row r="137">
          <cell r="E137">
            <v>2127</v>
          </cell>
          <cell r="F137" t="str">
            <v>Motor bomba 1700 HP</v>
          </cell>
          <cell r="G137" t="str">
            <v>c/u</v>
          </cell>
          <cell r="H137">
            <v>1</v>
          </cell>
          <cell r="I137">
            <v>131304.72780795905</v>
          </cell>
          <cell r="J137">
            <v>0</v>
          </cell>
          <cell r="K137">
            <v>519.83773052310494</v>
          </cell>
          <cell r="L137">
            <v>3343.3212728426274</v>
          </cell>
          <cell r="M137" t="str">
            <v>I</v>
          </cell>
        </row>
        <row r="138">
          <cell r="E138">
            <v>2130</v>
          </cell>
          <cell r="F138" t="str">
            <v>Motor bomba conc. primario 300 HP</v>
          </cell>
          <cell r="G138" t="str">
            <v>c/u</v>
          </cell>
          <cell r="H138">
            <v>1</v>
          </cell>
          <cell r="I138">
            <v>33044.033184428852</v>
          </cell>
          <cell r="J138">
            <v>0</v>
          </cell>
          <cell r="K138">
            <v>148.22792258110491</v>
          </cell>
          <cell r="L138">
            <v>953.3235809874551</v>
          </cell>
          <cell r="M138" t="str">
            <v>I</v>
          </cell>
        </row>
        <row r="139">
          <cell r="E139">
            <v>2135</v>
          </cell>
          <cell r="F139" t="str">
            <v>Motor bomba alim. Flotación Limpieza 300 HP</v>
          </cell>
          <cell r="G139" t="str">
            <v>c/u</v>
          </cell>
          <cell r="H139">
            <v>1</v>
          </cell>
          <cell r="I139">
            <v>33044.033184428852</v>
          </cell>
          <cell r="J139">
            <v>0</v>
          </cell>
          <cell r="K139">
            <v>148.22792258110491</v>
          </cell>
          <cell r="L139">
            <v>953.3235809874551</v>
          </cell>
          <cell r="M139" t="str">
            <v>I</v>
          </cell>
        </row>
        <row r="140">
          <cell r="E140">
            <v>2140</v>
          </cell>
          <cell r="F140" t="str">
            <v>Motor bomba colas Flotación Limpieza 300 HP</v>
          </cell>
          <cell r="G140" t="str">
            <v>c/u</v>
          </cell>
          <cell r="H140">
            <v>1</v>
          </cell>
          <cell r="I140">
            <v>33044.033184428852</v>
          </cell>
          <cell r="J140">
            <v>0</v>
          </cell>
          <cell r="K140">
            <v>148.22792258110491</v>
          </cell>
          <cell r="L140">
            <v>953.3235809874551</v>
          </cell>
          <cell r="M140" t="str">
            <v>I</v>
          </cell>
        </row>
        <row r="141">
          <cell r="E141">
            <v>2145</v>
          </cell>
          <cell r="F141" t="str">
            <v>Desmontaje equyipos</v>
          </cell>
          <cell r="G141" t="str">
            <v>Ton</v>
          </cell>
          <cell r="H141">
            <v>1</v>
          </cell>
          <cell r="I141">
            <v>0</v>
          </cell>
          <cell r="J141">
            <v>0</v>
          </cell>
          <cell r="K141">
            <v>43.333333333333336</v>
          </cell>
          <cell r="L141">
            <v>250.68988039030529</v>
          </cell>
          <cell r="M141" t="str">
            <v>I</v>
          </cell>
        </row>
        <row r="142">
          <cell r="F142" t="str">
            <v xml:space="preserve">EQUIPOS </v>
          </cell>
        </row>
        <row r="143">
          <cell r="E143">
            <v>2305</v>
          </cell>
          <cell r="F143" t="str">
            <v>Celdas de flotación OK-100</v>
          </cell>
          <cell r="G143" t="str">
            <v>c/u</v>
          </cell>
          <cell r="H143">
            <v>1</v>
          </cell>
          <cell r="I143">
            <v>137027.40985960435</v>
          </cell>
          <cell r="J143">
            <v>0</v>
          </cell>
          <cell r="K143">
            <v>1430.125</v>
          </cell>
          <cell r="L143">
            <v>8002.1227560272082</v>
          </cell>
          <cell r="M143" t="str">
            <v>I</v>
          </cell>
        </row>
        <row r="144">
          <cell r="E144">
            <v>2306</v>
          </cell>
          <cell r="F144" t="str">
            <v>Reubicación Celdas de flotación 500 pies3</v>
          </cell>
          <cell r="G144" t="str">
            <v>c/u</v>
          </cell>
          <cell r="H144">
            <v>1</v>
          </cell>
          <cell r="I144">
            <v>0</v>
          </cell>
          <cell r="J144">
            <v>0</v>
          </cell>
          <cell r="K144">
            <v>0</v>
          </cell>
          <cell r="L144">
            <v>1949.1986675060327</v>
          </cell>
          <cell r="M144" t="str">
            <v>I</v>
          </cell>
        </row>
        <row r="145">
          <cell r="E145">
            <v>2307</v>
          </cell>
          <cell r="F145" t="str">
            <v>Celdas de flotación 500 pies3</v>
          </cell>
          <cell r="G145" t="str">
            <v>c/u</v>
          </cell>
          <cell r="H145">
            <v>1</v>
          </cell>
          <cell r="I145">
            <v>45507.141033822598</v>
          </cell>
          <cell r="J145">
            <v>0</v>
          </cell>
          <cell r="K145">
            <v>348.35728335552511</v>
          </cell>
          <cell r="L145">
            <v>1949.1986675060327</v>
          </cell>
          <cell r="M145" t="str">
            <v>I</v>
          </cell>
        </row>
        <row r="146">
          <cell r="E146">
            <v>2308</v>
          </cell>
          <cell r="F146" t="str">
            <v>Celdas de flotación 300 pies3</v>
          </cell>
          <cell r="G146" t="str">
            <v>c/u</v>
          </cell>
          <cell r="H146">
            <v>1</v>
          </cell>
          <cell r="I146">
            <v>33494.253445656432</v>
          </cell>
          <cell r="J146">
            <v>0</v>
          </cell>
          <cell r="K146">
            <v>256.3985975229304</v>
          </cell>
          <cell r="L146">
            <v>1434.6529512117488</v>
          </cell>
          <cell r="M146" t="str">
            <v>I</v>
          </cell>
        </row>
        <row r="147">
          <cell r="E147">
            <v>2309</v>
          </cell>
          <cell r="F147" t="str">
            <v>Celdas de flotación 5650 pies3</v>
          </cell>
          <cell r="G147" t="str">
            <v>c/u</v>
          </cell>
          <cell r="H147">
            <v>1</v>
          </cell>
          <cell r="I147">
            <v>264210.17613273778</v>
          </cell>
          <cell r="J147">
            <v>0</v>
          </cell>
          <cell r="K147">
            <v>2308.6303571428571</v>
          </cell>
          <cell r="L147">
            <v>12917.712449015347</v>
          </cell>
          <cell r="M147" t="str">
            <v>I</v>
          </cell>
        </row>
        <row r="148">
          <cell r="E148">
            <v>2310</v>
          </cell>
          <cell r="F148" t="str">
            <v>Celda Columna</v>
          </cell>
          <cell r="G148" t="str">
            <v>c/u</v>
          </cell>
          <cell r="H148">
            <v>1</v>
          </cell>
          <cell r="I148">
            <v>171828.97255903002</v>
          </cell>
          <cell r="J148">
            <v>0</v>
          </cell>
          <cell r="K148">
            <v>4804</v>
          </cell>
          <cell r="L148">
            <v>29935.900914778093</v>
          </cell>
          <cell r="M148" t="str">
            <v>I</v>
          </cell>
        </row>
        <row r="149">
          <cell r="E149">
            <v>2311</v>
          </cell>
          <cell r="F149" t="str">
            <v>Celda Columna Rectangular A=20 m2</v>
          </cell>
          <cell r="G149" t="str">
            <v>c/u</v>
          </cell>
          <cell r="H149">
            <v>1</v>
          </cell>
          <cell r="I149">
            <v>379047.0031908105</v>
          </cell>
          <cell r="J149">
            <v>0</v>
          </cell>
          <cell r="K149">
            <v>8006.666666666667</v>
          </cell>
          <cell r="L149">
            <v>49893.168191296827</v>
          </cell>
          <cell r="M149" t="str">
            <v>I</v>
          </cell>
        </row>
        <row r="150">
          <cell r="E150">
            <v>2311.1</v>
          </cell>
          <cell r="F150" t="str">
            <v>Celda Columna Rectangular A=14 m2</v>
          </cell>
          <cell r="G150" t="str">
            <v>c/u</v>
          </cell>
          <cell r="H150">
            <v>1</v>
          </cell>
          <cell r="I150">
            <v>306021.46605625458</v>
          </cell>
          <cell r="J150">
            <v>0</v>
          </cell>
          <cell r="K150">
            <v>5604.666666666667</v>
          </cell>
          <cell r="L150">
            <v>34925.217733907783</v>
          </cell>
          <cell r="M150" t="str">
            <v>I</v>
          </cell>
        </row>
        <row r="151">
          <cell r="E151">
            <v>2311.1999999999998</v>
          </cell>
          <cell r="F151" t="str">
            <v>Celda Columna Circular D=2.1 m</v>
          </cell>
          <cell r="G151" t="str">
            <v>c/u</v>
          </cell>
          <cell r="H151">
            <v>1</v>
          </cell>
          <cell r="I151">
            <v>70714.231014677731</v>
          </cell>
          <cell r="J151">
            <v>0</v>
          </cell>
          <cell r="K151">
            <v>840.69999999999993</v>
          </cell>
          <cell r="L151">
            <v>5238.7826600861663</v>
          </cell>
          <cell r="M151" t="str">
            <v>I</v>
          </cell>
        </row>
        <row r="152">
          <cell r="E152">
            <v>2312</v>
          </cell>
          <cell r="F152" t="str">
            <v>Hi-Cap Componente importada</v>
          </cell>
          <cell r="G152" t="str">
            <v>gl</v>
          </cell>
          <cell r="H152">
            <v>1</v>
          </cell>
          <cell r="I152">
            <v>572432.80153158912</v>
          </cell>
          <cell r="J152">
            <v>0</v>
          </cell>
          <cell r="K152">
            <v>47799.306258413824</v>
          </cell>
          <cell r="L152">
            <v>612316.25715177716</v>
          </cell>
          <cell r="M152" t="str">
            <v>I</v>
          </cell>
        </row>
        <row r="153">
          <cell r="E153">
            <v>2313</v>
          </cell>
          <cell r="F153" t="str">
            <v>Hi-Cap Componente Nacional</v>
          </cell>
          <cell r="G153" t="str">
            <v>gl</v>
          </cell>
          <cell r="H153">
            <v>1</v>
          </cell>
          <cell r="I153">
            <v>548497.90682833444</v>
          </cell>
          <cell r="J153">
            <v>0</v>
          </cell>
          <cell r="K153">
            <v>45800.693741586168</v>
          </cell>
          <cell r="L153">
            <v>586713.73210288724</v>
          </cell>
        </row>
        <row r="154">
          <cell r="E154">
            <v>2313.1</v>
          </cell>
          <cell r="F154" t="str">
            <v>Espesador Convencional de 100´</v>
          </cell>
          <cell r="G154" t="str">
            <v>c/u</v>
          </cell>
          <cell r="H154">
            <v>1</v>
          </cell>
          <cell r="I154">
            <v>247546.19545135181</v>
          </cell>
          <cell r="J154">
            <v>0</v>
          </cell>
          <cell r="K154">
            <v>0</v>
          </cell>
          <cell r="L154">
            <v>304661.42690600752</v>
          </cell>
          <cell r="M154" t="str">
            <v>I</v>
          </cell>
        </row>
        <row r="155">
          <cell r="E155">
            <v>2313.1999999999998</v>
          </cell>
          <cell r="F155" t="str">
            <v>Espesador Convencional de 50´</v>
          </cell>
          <cell r="G155" t="str">
            <v>c/u</v>
          </cell>
          <cell r="H155">
            <v>1</v>
          </cell>
          <cell r="I155">
            <v>114792.98015581681</v>
          </cell>
          <cell r="J155">
            <v>0</v>
          </cell>
          <cell r="K155">
            <v>0</v>
          </cell>
          <cell r="L155">
            <v>196148.9213115095</v>
          </cell>
          <cell r="M155" t="str">
            <v>I</v>
          </cell>
        </row>
        <row r="156">
          <cell r="E156">
            <v>2313.3000000000002</v>
          </cell>
          <cell r="F156" t="str">
            <v>Espesador Convencional de 16´</v>
          </cell>
          <cell r="G156" t="str">
            <v>c/u</v>
          </cell>
          <cell r="H156">
            <v>1</v>
          </cell>
          <cell r="I156">
            <v>57943.579139265355</v>
          </cell>
          <cell r="J156">
            <v>0</v>
          </cell>
          <cell r="K156">
            <v>0</v>
          </cell>
          <cell r="L156">
            <v>99009.282010691546</v>
          </cell>
          <cell r="M156" t="str">
            <v>I</v>
          </cell>
        </row>
        <row r="157">
          <cell r="E157">
            <v>2313.4</v>
          </cell>
          <cell r="F157" t="str">
            <v>Espesador Hi-Cap de 15´</v>
          </cell>
          <cell r="G157" t="str">
            <v>c/u</v>
          </cell>
          <cell r="H157">
            <v>1</v>
          </cell>
          <cell r="I157">
            <v>60675.693883217726</v>
          </cell>
          <cell r="J157">
            <v>0</v>
          </cell>
          <cell r="K157">
            <v>0</v>
          </cell>
          <cell r="L157">
            <v>95741.91499321381</v>
          </cell>
          <cell r="M157" t="str">
            <v>I</v>
          </cell>
        </row>
        <row r="158">
          <cell r="E158">
            <v>2313.5</v>
          </cell>
          <cell r="F158" t="str">
            <v>Espesador Hi-Cap de 7´</v>
          </cell>
          <cell r="G158" t="str">
            <v>c/u</v>
          </cell>
          <cell r="H158">
            <v>1</v>
          </cell>
          <cell r="I158">
            <v>38407.745937876054</v>
          </cell>
          <cell r="J158">
            <v>0</v>
          </cell>
          <cell r="K158">
            <v>0</v>
          </cell>
          <cell r="L158">
            <v>60604.682226504628</v>
          </cell>
          <cell r="M158" t="str">
            <v>I</v>
          </cell>
        </row>
        <row r="159">
          <cell r="E159">
            <v>2313.6</v>
          </cell>
          <cell r="F159" t="str">
            <v>Espesador Hi-Cap de 250´</v>
          </cell>
          <cell r="G159" t="str">
            <v>c/u</v>
          </cell>
          <cell r="H159">
            <v>1</v>
          </cell>
          <cell r="I159">
            <v>696665.99632702733</v>
          </cell>
          <cell r="J159">
            <v>0</v>
          </cell>
          <cell r="K159">
            <v>0</v>
          </cell>
          <cell r="L159">
            <v>579070.09101155004</v>
          </cell>
          <cell r="M159" t="str">
            <v>I</v>
          </cell>
        </row>
        <row r="160">
          <cell r="E160">
            <v>2313.6999999999998</v>
          </cell>
          <cell r="F160" t="str">
            <v>Espesador Hi-Cap de 150´</v>
          </cell>
          <cell r="G160" t="str">
            <v>c/u</v>
          </cell>
          <cell r="H160">
            <v>1</v>
          </cell>
          <cell r="I160">
            <v>512761.44617842027</v>
          </cell>
          <cell r="J160">
            <v>0</v>
          </cell>
          <cell r="K160">
            <v>0</v>
          </cell>
          <cell r="L160">
            <v>426208.28183261881</v>
          </cell>
          <cell r="M160" t="str">
            <v>I</v>
          </cell>
        </row>
        <row r="161">
          <cell r="E161">
            <v>2314</v>
          </cell>
          <cell r="F161" t="str">
            <v>Planta de Filtro Larox Comp. Nacional</v>
          </cell>
          <cell r="G161" t="str">
            <v>gl</v>
          </cell>
          <cell r="H161">
            <v>1</v>
          </cell>
          <cell r="I161">
            <v>3543086.5958214263</v>
          </cell>
          <cell r="J161">
            <v>885771.64895535656</v>
          </cell>
          <cell r="K161">
            <v>28634.859341229199</v>
          </cell>
          <cell r="L161">
            <v>458157.74945966719</v>
          </cell>
        </row>
        <row r="162">
          <cell r="E162">
            <v>2314.1</v>
          </cell>
          <cell r="F162" t="str">
            <v>Planta de Filtro Larox Comp. Importada</v>
          </cell>
          <cell r="G162" t="str">
            <v>gl</v>
          </cell>
          <cell r="H162">
            <v>1</v>
          </cell>
          <cell r="I162">
            <v>2130142.8928165152</v>
          </cell>
          <cell r="J162">
            <v>532535.72320412879</v>
          </cell>
          <cell r="K162">
            <v>17215.594500133477</v>
          </cell>
          <cell r="L162">
            <v>275449.51200213563</v>
          </cell>
          <cell r="M162" t="str">
            <v>I</v>
          </cell>
        </row>
        <row r="163">
          <cell r="E163">
            <v>2314.1999999999998</v>
          </cell>
          <cell r="F163" t="str">
            <v>Filtro de Disco de 2 Hp</v>
          </cell>
          <cell r="G163" t="str">
            <v>c/u</v>
          </cell>
          <cell r="H163">
            <v>1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 t="str">
            <v>I</v>
          </cell>
        </row>
        <row r="164">
          <cell r="E164">
            <v>2315</v>
          </cell>
          <cell r="F164" t="str">
            <v xml:space="preserve">Batería de Hidrociclones 8 x D-26 </v>
          </cell>
          <cell r="G164" t="str">
            <v>c/u</v>
          </cell>
          <cell r="H164">
            <v>1</v>
          </cell>
          <cell r="I164">
            <v>321100.83676325501</v>
          </cell>
          <cell r="K164">
            <v>497.94028659183692</v>
          </cell>
          <cell r="L164">
            <v>2632.2067495007723</v>
          </cell>
        </row>
        <row r="165">
          <cell r="E165">
            <v>2315.1</v>
          </cell>
          <cell r="F165" t="str">
            <v xml:space="preserve">Batería de Hidrociclones 10 x D-26 </v>
          </cell>
          <cell r="G165" t="str">
            <v>c/u</v>
          </cell>
          <cell r="H165">
            <v>1</v>
          </cell>
          <cell r="I165">
            <v>367102.58707482077</v>
          </cell>
          <cell r="K165">
            <v>569.27652154146949</v>
          </cell>
          <cell r="L165">
            <v>3009.3036106597747</v>
          </cell>
        </row>
        <row r="166">
          <cell r="E166">
            <v>2316</v>
          </cell>
          <cell r="F166" t="str">
            <v xml:space="preserve">Batería de Hidrociclones 14 x D-26 </v>
          </cell>
          <cell r="G166" t="str">
            <v>c/u</v>
          </cell>
          <cell r="H166">
            <v>1</v>
          </cell>
          <cell r="I166">
            <v>449225.36116271763</v>
          </cell>
          <cell r="K166">
            <v>5750.9108225553609</v>
          </cell>
          <cell r="L166">
            <v>73087.879885119401</v>
          </cell>
        </row>
        <row r="167">
          <cell r="E167">
            <v>2320</v>
          </cell>
          <cell r="F167" t="str">
            <v>Batería de Hidrociclones 5 x D-380-BP</v>
          </cell>
          <cell r="G167" t="str">
            <v>c/u</v>
          </cell>
          <cell r="H167">
            <v>1</v>
          </cell>
          <cell r="I167">
            <v>90297.602712443433</v>
          </cell>
          <cell r="J167">
            <v>0</v>
          </cell>
          <cell r="K167">
            <v>564.354564822047</v>
          </cell>
          <cell r="L167">
            <v>3434.9458270906694</v>
          </cell>
        </row>
        <row r="168">
          <cell r="E168">
            <v>2325</v>
          </cell>
          <cell r="F168" t="str">
            <v>Batería de Hidrociclones 6 x D-400-Eral Fondo plano</v>
          </cell>
          <cell r="G168" t="str">
            <v>c/u</v>
          </cell>
          <cell r="H168">
            <v>1</v>
          </cell>
          <cell r="I168">
            <v>111743.76586136379</v>
          </cell>
          <cell r="J168">
            <v>0</v>
          </cell>
          <cell r="K168">
            <v>629.59430339154187</v>
          </cell>
          <cell r="L168">
            <v>3832.0277003106276</v>
          </cell>
        </row>
        <row r="169">
          <cell r="E169">
            <v>2326</v>
          </cell>
          <cell r="F169" t="str">
            <v>Batería de Hidrociclones D15-LB 12 ciclones</v>
          </cell>
          <cell r="G169" t="str">
            <v>c/u</v>
          </cell>
          <cell r="H169">
            <v>1</v>
          </cell>
          <cell r="I169">
            <v>116176.85777181937</v>
          </cell>
          <cell r="J169">
            <v>0</v>
          </cell>
          <cell r="K169">
            <v>1070.6666666666665</v>
          </cell>
          <cell r="L169">
            <v>4887.4620160528802</v>
          </cell>
        </row>
        <row r="170">
          <cell r="E170">
            <v>2330</v>
          </cell>
          <cell r="F170" t="str">
            <v>Batería de Hidrociclones D15-LB 9 ciclones</v>
          </cell>
          <cell r="G170" t="str">
            <v>c/u</v>
          </cell>
          <cell r="H170">
            <v>1</v>
          </cell>
          <cell r="I170">
            <v>97758.917519148046</v>
          </cell>
          <cell r="J170">
            <v>0</v>
          </cell>
          <cell r="K170">
            <v>803</v>
          </cell>
          <cell r="L170">
            <v>4887.4620160528802</v>
          </cell>
        </row>
        <row r="171">
          <cell r="E171">
            <v>2331</v>
          </cell>
          <cell r="F171" t="str">
            <v>Modificación bateria hidrociclones relaves</v>
          </cell>
          <cell r="G171" t="str">
            <v>gl</v>
          </cell>
          <cell r="H171">
            <v>1</v>
          </cell>
          <cell r="I171">
            <v>133644.75643480153</v>
          </cell>
          <cell r="K171">
            <v>1113.706303623346</v>
          </cell>
          <cell r="L171">
            <v>13364.475643480153</v>
          </cell>
        </row>
        <row r="172">
          <cell r="E172">
            <v>2332</v>
          </cell>
          <cell r="F172" t="str">
            <v>Ciclones D20-L</v>
          </cell>
          <cell r="G172" t="str">
            <v>c/u</v>
          </cell>
          <cell r="H172">
            <v>1</v>
          </cell>
          <cell r="I172">
            <v>23864.400765794515</v>
          </cell>
          <cell r="K172">
            <v>198.87000638162098</v>
          </cell>
          <cell r="L172">
            <v>2386.4400765794517</v>
          </cell>
        </row>
        <row r="173">
          <cell r="E173">
            <v>2333</v>
          </cell>
          <cell r="F173" t="str">
            <v>Agitador de 30 Hp</v>
          </cell>
          <cell r="G173" t="str">
            <v>c/u</v>
          </cell>
          <cell r="H173">
            <v>1</v>
          </cell>
          <cell r="I173">
            <v>33044.033184428852</v>
          </cell>
          <cell r="J173">
            <v>0</v>
          </cell>
          <cell r="K173">
            <v>0</v>
          </cell>
          <cell r="L173">
            <v>29935.900914778093</v>
          </cell>
          <cell r="M173" t="str">
            <v>I</v>
          </cell>
        </row>
        <row r="174">
          <cell r="E174">
            <v>2333.1</v>
          </cell>
          <cell r="F174" t="str">
            <v>Agitador de 75 Hp</v>
          </cell>
          <cell r="G174" t="str">
            <v>c/u</v>
          </cell>
          <cell r="H174">
            <v>1</v>
          </cell>
          <cell r="I174">
            <v>57260.752997085969</v>
          </cell>
          <cell r="J174">
            <v>0</v>
          </cell>
          <cell r="K174">
            <v>0</v>
          </cell>
          <cell r="L174">
            <v>51874.788360704661</v>
          </cell>
          <cell r="M174" t="str">
            <v>I</v>
          </cell>
        </row>
        <row r="175">
          <cell r="E175">
            <v>2333.1999999999998</v>
          </cell>
          <cell r="G175" t="str">
            <v>c/u</v>
          </cell>
          <cell r="H175">
            <v>1</v>
          </cell>
          <cell r="I175">
            <v>0</v>
          </cell>
          <cell r="J175">
            <v>0</v>
          </cell>
          <cell r="K175">
            <v>0</v>
          </cell>
          <cell r="L175">
            <v>29935.900914778093</v>
          </cell>
          <cell r="M175" t="str">
            <v>I</v>
          </cell>
        </row>
        <row r="176">
          <cell r="E176">
            <v>2333.3000000000002</v>
          </cell>
          <cell r="G176" t="str">
            <v>c/u</v>
          </cell>
          <cell r="H176">
            <v>1</v>
          </cell>
          <cell r="I176">
            <v>0</v>
          </cell>
          <cell r="J176">
            <v>0</v>
          </cell>
          <cell r="K176">
            <v>0</v>
          </cell>
          <cell r="L176">
            <v>29935.900914778093</v>
          </cell>
          <cell r="M176" t="str">
            <v>I</v>
          </cell>
        </row>
        <row r="177">
          <cell r="E177">
            <v>2333.4</v>
          </cell>
          <cell r="G177" t="str">
            <v>c/u</v>
          </cell>
          <cell r="H177">
            <v>1</v>
          </cell>
          <cell r="I177">
            <v>0</v>
          </cell>
          <cell r="J177">
            <v>0</v>
          </cell>
          <cell r="K177">
            <v>0</v>
          </cell>
          <cell r="L177">
            <v>29935.900914778093</v>
          </cell>
          <cell r="M177" t="str">
            <v>I</v>
          </cell>
        </row>
        <row r="178">
          <cell r="E178">
            <v>2334</v>
          </cell>
          <cell r="F178" t="str">
            <v>Reactor</v>
          </cell>
          <cell r="G178" t="str">
            <v>c/u</v>
          </cell>
          <cell r="H178">
            <v>1</v>
          </cell>
          <cell r="I178">
            <v>0</v>
          </cell>
          <cell r="J178">
            <v>0</v>
          </cell>
          <cell r="K178">
            <v>0</v>
          </cell>
          <cell r="L178">
            <v>29935.900914778093</v>
          </cell>
          <cell r="M178" t="str">
            <v>I</v>
          </cell>
        </row>
        <row r="179">
          <cell r="E179">
            <v>2334.1</v>
          </cell>
          <cell r="F179" t="str">
            <v>Reubicación Reactor</v>
          </cell>
          <cell r="G179" t="str">
            <v>c/u</v>
          </cell>
          <cell r="H179">
            <v>1</v>
          </cell>
          <cell r="I179">
            <v>0</v>
          </cell>
          <cell r="J179">
            <v>0</v>
          </cell>
          <cell r="K179">
            <v>0</v>
          </cell>
          <cell r="L179">
            <v>1949.1986675060327</v>
          </cell>
          <cell r="M179" t="str">
            <v>I</v>
          </cell>
        </row>
        <row r="180">
          <cell r="E180">
            <v>2334.1999999999998</v>
          </cell>
          <cell r="F180" t="str">
            <v>Torre de Enfriamiento</v>
          </cell>
          <cell r="G180" t="str">
            <v>c/u</v>
          </cell>
          <cell r="H180">
            <v>1</v>
          </cell>
          <cell r="I180">
            <v>0</v>
          </cell>
          <cell r="J180">
            <v>0</v>
          </cell>
          <cell r="K180">
            <v>0</v>
          </cell>
          <cell r="L180">
            <v>29935.900914778093</v>
          </cell>
          <cell r="M180" t="str">
            <v>I</v>
          </cell>
        </row>
        <row r="181">
          <cell r="E181">
            <v>2334.3000000000002</v>
          </cell>
          <cell r="F181" t="str">
            <v>Reubicación Torre de Enfriamiento</v>
          </cell>
          <cell r="G181" t="str">
            <v>c/u</v>
          </cell>
          <cell r="H181">
            <v>1</v>
          </cell>
          <cell r="I181">
            <v>0</v>
          </cell>
          <cell r="J181">
            <v>0</v>
          </cell>
          <cell r="K181">
            <v>0</v>
          </cell>
          <cell r="L181">
            <v>29935.900914778093</v>
          </cell>
          <cell r="M181" t="str">
            <v>I</v>
          </cell>
        </row>
        <row r="182">
          <cell r="E182">
            <v>2335</v>
          </cell>
          <cell r="F182" t="str">
            <v>Soplador existente reubicado</v>
          </cell>
          <cell r="G182" t="str">
            <v>c/u</v>
          </cell>
          <cell r="H182">
            <v>1</v>
          </cell>
          <cell r="I182">
            <v>0</v>
          </cell>
          <cell r="K182">
            <v>2320.1772438250664</v>
          </cell>
          <cell r="L182">
            <v>12665.855356317543</v>
          </cell>
        </row>
        <row r="183">
          <cell r="E183">
            <v>2336</v>
          </cell>
          <cell r="F183" t="str">
            <v>Compresores de 1120 cfm, 250 Hp</v>
          </cell>
          <cell r="G183" t="str">
            <v>c/u</v>
          </cell>
          <cell r="H183">
            <v>1</v>
          </cell>
          <cell r="I183">
            <v>82516.321529745037</v>
          </cell>
          <cell r="K183">
            <v>0</v>
          </cell>
          <cell r="L183">
            <v>0</v>
          </cell>
        </row>
        <row r="184">
          <cell r="E184">
            <v>2336.1</v>
          </cell>
          <cell r="F184" t="str">
            <v>Reubicación Compresores de 820 cfm ,200 Hp</v>
          </cell>
          <cell r="G184" t="str">
            <v>c/u</v>
          </cell>
          <cell r="H184">
            <v>1</v>
          </cell>
          <cell r="I184">
            <v>0</v>
          </cell>
          <cell r="K184">
            <v>0</v>
          </cell>
          <cell r="L184">
            <v>0</v>
          </cell>
        </row>
        <row r="185">
          <cell r="E185">
            <v>2340</v>
          </cell>
          <cell r="F185" t="str">
            <v xml:space="preserve">Soplador </v>
          </cell>
          <cell r="G185" t="str">
            <v>c/u</v>
          </cell>
          <cell r="H185">
            <v>1</v>
          </cell>
          <cell r="I185">
            <v>49566.049776643275</v>
          </cell>
          <cell r="K185">
            <v>2396.0274576651982</v>
          </cell>
          <cell r="L185">
            <v>12665.855356317543</v>
          </cell>
        </row>
        <row r="186">
          <cell r="E186">
            <v>2345</v>
          </cell>
          <cell r="F186" t="str">
            <v>Desmontaje celdas</v>
          </cell>
          <cell r="G186" t="str">
            <v>Ton</v>
          </cell>
          <cell r="H186">
            <v>1</v>
          </cell>
          <cell r="I186">
            <v>0</v>
          </cell>
          <cell r="K186">
            <v>43.333333333333336</v>
          </cell>
          <cell r="L186">
            <v>291.37309634351067</v>
          </cell>
        </row>
        <row r="187">
          <cell r="F187" t="str">
            <v>CORREAS</v>
          </cell>
        </row>
        <row r="188">
          <cell r="E188">
            <v>2405</v>
          </cell>
          <cell r="F188" t="str">
            <v>Empalme cinta 42"</v>
          </cell>
          <cell r="G188" t="str">
            <v>c/u</v>
          </cell>
          <cell r="H188">
            <v>1</v>
          </cell>
          <cell r="L188">
            <v>2081.9207513639703</v>
          </cell>
        </row>
        <row r="189">
          <cell r="E189">
            <v>2410</v>
          </cell>
          <cell r="F189" t="str">
            <v>Montaje cinta 42"</v>
          </cell>
          <cell r="G189" t="str">
            <v>m</v>
          </cell>
          <cell r="H189">
            <v>1.1000000000000001</v>
          </cell>
          <cell r="K189">
            <v>0.46464646464646464</v>
          </cell>
          <cell r="L189">
            <v>5.119137048431055</v>
          </cell>
        </row>
        <row r="190">
          <cell r="E190">
            <v>2410.1</v>
          </cell>
          <cell r="F190" t="str">
            <v>Cambio cinta correa A5</v>
          </cell>
          <cell r="G190" t="str">
            <v>gl</v>
          </cell>
          <cell r="H190">
            <v>1.1000000000000001</v>
          </cell>
          <cell r="J190">
            <v>1484.171737936565</v>
          </cell>
          <cell r="K190">
            <v>10</v>
          </cell>
          <cell r="L190">
            <v>135.73715484389021</v>
          </cell>
        </row>
        <row r="191">
          <cell r="E191">
            <v>2410.1999999999998</v>
          </cell>
          <cell r="F191" t="str">
            <v>Cambio cinta correa A11</v>
          </cell>
          <cell r="G191" t="str">
            <v>gl</v>
          </cell>
          <cell r="H191">
            <v>1.1000000000000001</v>
          </cell>
          <cell r="J191">
            <v>9654.9515216648851</v>
          </cell>
          <cell r="K191">
            <v>102.2222222222223</v>
          </cell>
          <cell r="L191">
            <v>1126.210150654832</v>
          </cell>
        </row>
        <row r="192">
          <cell r="E192">
            <v>2412</v>
          </cell>
          <cell r="F192" t="str">
            <v>Alimentador descarga tolva</v>
          </cell>
          <cell r="G192" t="str">
            <v>c/u</v>
          </cell>
          <cell r="H192">
            <v>1.1000000000000001</v>
          </cell>
          <cell r="I192">
            <v>135430.82681557117</v>
          </cell>
          <cell r="J192">
            <v>0</v>
          </cell>
          <cell r="K192">
            <v>1430</v>
          </cell>
          <cell r="L192">
            <v>12492.239978753541</v>
          </cell>
        </row>
        <row r="193">
          <cell r="E193">
            <v>2415</v>
          </cell>
          <cell r="F193" t="str">
            <v>Montaje cinta 30"</v>
          </cell>
          <cell r="G193" t="str">
            <v>m</v>
          </cell>
          <cell r="H193">
            <v>1.1000000000000001</v>
          </cell>
          <cell r="J193">
            <v>277.47416325674112</v>
          </cell>
          <cell r="K193">
            <v>0.46464646464646464</v>
          </cell>
          <cell r="L193">
            <v>5.119137048431055</v>
          </cell>
        </row>
        <row r="194">
          <cell r="E194">
            <v>2420</v>
          </cell>
          <cell r="F194" t="str">
            <v>Modificación sistema motriz 2250 HP</v>
          </cell>
          <cell r="G194" t="str">
            <v>gl</v>
          </cell>
          <cell r="H194">
            <v>1</v>
          </cell>
          <cell r="I194">
            <v>330465.0121993252</v>
          </cell>
          <cell r="K194">
            <v>1868.5964094232761</v>
          </cell>
          <cell r="L194">
            <v>33046.501219932521</v>
          </cell>
          <cell r="M194" t="str">
            <v>I</v>
          </cell>
        </row>
        <row r="195">
          <cell r="E195">
            <v>2425</v>
          </cell>
          <cell r="F195" t="str">
            <v>Modificación sistema motriz 1400 HP</v>
          </cell>
          <cell r="G195" t="str">
            <v>gl</v>
          </cell>
          <cell r="H195">
            <v>1</v>
          </cell>
          <cell r="I195">
            <v>248595.23279629648</v>
          </cell>
          <cell r="K195">
            <v>1405.668201639204</v>
          </cell>
          <cell r="L195">
            <v>24859.523279629648</v>
          </cell>
          <cell r="M195" t="str">
            <v>I</v>
          </cell>
        </row>
        <row r="196">
          <cell r="E196">
            <v>2430</v>
          </cell>
          <cell r="F196" t="str">
            <v>Modificación sistema motriz 350 HP</v>
          </cell>
          <cell r="G196" t="str">
            <v>gl</v>
          </cell>
          <cell r="H196">
            <v>1</v>
          </cell>
          <cell r="I196">
            <v>108207.35997177353</v>
          </cell>
          <cell r="K196">
            <v>630</v>
          </cell>
          <cell r="L196">
            <v>10820.735997177355</v>
          </cell>
          <cell r="M196" t="str">
            <v>I</v>
          </cell>
        </row>
        <row r="197">
          <cell r="E197">
            <v>2435</v>
          </cell>
          <cell r="F197" t="str">
            <v>Modificación sistema motriz 300 HP</v>
          </cell>
          <cell r="G197" t="str">
            <v>gl</v>
          </cell>
          <cell r="H197">
            <v>1</v>
          </cell>
          <cell r="I197">
            <v>98648.100577081728</v>
          </cell>
          <cell r="K197">
            <v>630</v>
          </cell>
          <cell r="L197">
            <v>9864.8100577081732</v>
          </cell>
          <cell r="M197" t="str">
            <v>I</v>
          </cell>
        </row>
        <row r="198">
          <cell r="E198">
            <v>2440</v>
          </cell>
          <cell r="F198" t="str">
            <v>Modificación sistema motriz 250 HP</v>
          </cell>
          <cell r="G198" t="str">
            <v>gl</v>
          </cell>
          <cell r="H198">
            <v>1</v>
          </cell>
          <cell r="I198">
            <v>88426</v>
          </cell>
          <cell r="K198">
            <v>500</v>
          </cell>
          <cell r="L198">
            <v>8842.6</v>
          </cell>
          <cell r="M198" t="str">
            <v>I</v>
          </cell>
        </row>
        <row r="199">
          <cell r="E199">
            <v>2445</v>
          </cell>
          <cell r="F199" t="str">
            <v>Modificación sistema motriz 200 HP</v>
          </cell>
          <cell r="G199" t="str">
            <v>gl</v>
          </cell>
          <cell r="H199">
            <v>1</v>
          </cell>
          <cell r="I199">
            <v>77345.307800406648</v>
          </cell>
          <cell r="K199">
            <v>450</v>
          </cell>
          <cell r="L199">
            <v>7734.5307800406654</v>
          </cell>
          <cell r="M199" t="str">
            <v>I</v>
          </cell>
        </row>
        <row r="200">
          <cell r="E200">
            <v>2445.1</v>
          </cell>
          <cell r="F200" t="str">
            <v>Modificación sistema motriz correa A6 (motor y reductor)</v>
          </cell>
          <cell r="G200" t="str">
            <v>gl</v>
          </cell>
          <cell r="H200">
            <v>1</v>
          </cell>
          <cell r="I200">
            <v>77345.307800406648</v>
          </cell>
          <cell r="K200">
            <v>450</v>
          </cell>
          <cell r="L200">
            <v>7734.5307800406654</v>
          </cell>
          <cell r="M200" t="str">
            <v>I</v>
          </cell>
        </row>
        <row r="201">
          <cell r="E201">
            <v>2450</v>
          </cell>
          <cell r="F201" t="str">
            <v>Modificación sistema motriz 150 HP</v>
          </cell>
          <cell r="G201" t="str">
            <v>gl</v>
          </cell>
          <cell r="H201">
            <v>1</v>
          </cell>
          <cell r="I201">
            <v>65083.474547089725</v>
          </cell>
          <cell r="K201">
            <v>250</v>
          </cell>
          <cell r="L201">
            <v>6508.3474547089727</v>
          </cell>
          <cell r="M201" t="str">
            <v>I</v>
          </cell>
        </row>
        <row r="202">
          <cell r="E202">
            <v>2455</v>
          </cell>
          <cell r="F202" t="str">
            <v>Modificación sistema motriz 100 HP</v>
          </cell>
          <cell r="G202" t="str">
            <v>gl</v>
          </cell>
          <cell r="H202">
            <v>1</v>
          </cell>
          <cell r="I202">
            <v>51028.872751900512</v>
          </cell>
          <cell r="K202">
            <v>250</v>
          </cell>
          <cell r="L202">
            <v>5102.8872751900517</v>
          </cell>
          <cell r="M202" t="str">
            <v>I</v>
          </cell>
        </row>
        <row r="203">
          <cell r="E203">
            <v>2460</v>
          </cell>
          <cell r="F203" t="str">
            <v>Modificación sistema motriz 50 HP</v>
          </cell>
          <cell r="G203" t="str">
            <v>gl</v>
          </cell>
          <cell r="H203">
            <v>1</v>
          </cell>
          <cell r="I203">
            <v>33666.50063697806</v>
          </cell>
          <cell r="K203">
            <v>200</v>
          </cell>
          <cell r="L203">
            <v>3366.6500636978062</v>
          </cell>
          <cell r="M203" t="str">
            <v>I</v>
          </cell>
        </row>
        <row r="204">
          <cell r="E204">
            <v>2460.1</v>
          </cell>
          <cell r="F204" t="str">
            <v>Modificación sistema  motriz correa 8F (motor y reductor)</v>
          </cell>
          <cell r="G204" t="str">
            <v>gl</v>
          </cell>
          <cell r="H204">
            <v>1</v>
          </cell>
          <cell r="I204">
            <v>33666.50063697806</v>
          </cell>
          <cell r="K204">
            <v>200</v>
          </cell>
          <cell r="L204">
            <v>3366.6500636978062</v>
          </cell>
          <cell r="M204" t="str">
            <v>I</v>
          </cell>
        </row>
        <row r="205">
          <cell r="E205">
            <v>2465</v>
          </cell>
          <cell r="F205" t="str">
            <v>Modificación sistema motriz 75 HP</v>
          </cell>
          <cell r="G205" t="str">
            <v>gl</v>
          </cell>
          <cell r="H205">
            <v>1</v>
          </cell>
          <cell r="I205">
            <v>42939.079762735601</v>
          </cell>
          <cell r="K205">
            <v>230</v>
          </cell>
          <cell r="L205">
            <v>4293.9079762735601</v>
          </cell>
          <cell r="M205" t="str">
            <v>I</v>
          </cell>
        </row>
        <row r="206">
          <cell r="E206">
            <v>2465.1</v>
          </cell>
          <cell r="F206" t="str">
            <v>Modificación sistema motriz corra A15 (motor y reductor)</v>
          </cell>
          <cell r="G206" t="str">
            <v>gl</v>
          </cell>
          <cell r="H206">
            <v>1</v>
          </cell>
          <cell r="I206">
            <v>45902.415571742895</v>
          </cell>
          <cell r="K206">
            <v>230</v>
          </cell>
          <cell r="L206">
            <v>4590.2415571742895</v>
          </cell>
          <cell r="M206" t="str">
            <v>I</v>
          </cell>
        </row>
        <row r="207">
          <cell r="E207">
            <v>2470</v>
          </cell>
          <cell r="F207" t="str">
            <v>Modificación sistema motriz 60 HP</v>
          </cell>
          <cell r="G207" t="str">
            <v>gl</v>
          </cell>
          <cell r="H207">
            <v>1</v>
          </cell>
          <cell r="I207">
            <v>37558.369042080354</v>
          </cell>
          <cell r="K207">
            <v>200</v>
          </cell>
          <cell r="L207">
            <v>3755.8369042080358</v>
          </cell>
          <cell r="M207" t="str">
            <v>I</v>
          </cell>
        </row>
        <row r="208">
          <cell r="E208">
            <v>2475</v>
          </cell>
          <cell r="F208" t="str">
            <v>Modificación sistema motriz 40 HP</v>
          </cell>
          <cell r="G208" t="str">
            <v>gl</v>
          </cell>
          <cell r="H208">
            <v>1</v>
          </cell>
          <cell r="I208">
            <v>29447.739967087211</v>
          </cell>
          <cell r="K208">
            <v>200</v>
          </cell>
          <cell r="L208">
            <v>2944.7739967087214</v>
          </cell>
          <cell r="M208" t="str">
            <v>I</v>
          </cell>
        </row>
        <row r="209">
          <cell r="E209">
            <v>2480</v>
          </cell>
          <cell r="F209" t="str">
            <v>Modificación sistema motriz 30 HP</v>
          </cell>
          <cell r="G209" t="str">
            <v>gl</v>
          </cell>
          <cell r="H209">
            <v>1</v>
          </cell>
          <cell r="I209">
            <v>24779.282533376398</v>
          </cell>
          <cell r="K209">
            <v>200</v>
          </cell>
          <cell r="L209">
            <v>2477.9282533376399</v>
          </cell>
          <cell r="M209" t="str">
            <v>I</v>
          </cell>
        </row>
        <row r="210">
          <cell r="E210">
            <v>2485</v>
          </cell>
          <cell r="F210" t="str">
            <v>Modificación sistema motriz 25 HP</v>
          </cell>
          <cell r="G210" t="str">
            <v>gl</v>
          </cell>
          <cell r="H210">
            <v>1</v>
          </cell>
          <cell r="I210">
            <v>22211.606959266617</v>
          </cell>
          <cell r="K210">
            <v>150</v>
          </cell>
          <cell r="L210">
            <v>2221.1606959266619</v>
          </cell>
          <cell r="M210" t="str">
            <v>I</v>
          </cell>
        </row>
        <row r="211">
          <cell r="E211">
            <v>2490</v>
          </cell>
          <cell r="F211" t="str">
            <v>Modificación sistema motriz 20 HP</v>
          </cell>
          <cell r="G211" t="str">
            <v>gl</v>
          </cell>
          <cell r="H211">
            <v>1</v>
          </cell>
          <cell r="I211">
            <v>19428.262920477351</v>
          </cell>
          <cell r="K211">
            <v>150</v>
          </cell>
          <cell r="L211">
            <v>1942.8262920477353</v>
          </cell>
          <cell r="M211" t="str">
            <v>I</v>
          </cell>
        </row>
        <row r="212">
          <cell r="E212">
            <v>2490.1</v>
          </cell>
          <cell r="F212" t="str">
            <v>Modificación sistema motriz correa auxiliar 7 (motor y reductor)</v>
          </cell>
          <cell r="G212" t="str">
            <v>gl</v>
          </cell>
          <cell r="H212">
            <v>1</v>
          </cell>
          <cell r="I212">
            <v>19428.262920477351</v>
          </cell>
          <cell r="K212">
            <v>150</v>
          </cell>
          <cell r="L212">
            <v>1942.8262920477353</v>
          </cell>
          <cell r="M212" t="str">
            <v>I</v>
          </cell>
        </row>
        <row r="213">
          <cell r="E213">
            <v>2495</v>
          </cell>
          <cell r="F213" t="str">
            <v>Modificación sistema motriz 5</v>
          </cell>
          <cell r="G213" t="str">
            <v>gl</v>
          </cell>
          <cell r="H213">
            <v>1</v>
          </cell>
          <cell r="I213">
            <v>258343.23306164937</v>
          </cell>
          <cell r="K213">
            <v>1350</v>
          </cell>
          <cell r="L213">
            <v>25834.323306164937</v>
          </cell>
          <cell r="M213" t="str">
            <v>I</v>
          </cell>
        </row>
        <row r="214">
          <cell r="E214">
            <v>2500</v>
          </cell>
          <cell r="F214" t="str">
            <v>Modificación sistema motriz 125 HP (reductor)</v>
          </cell>
          <cell r="G214" t="str">
            <v>gl</v>
          </cell>
          <cell r="H214">
            <v>1</v>
          </cell>
          <cell r="I214">
            <v>24422.771920495499</v>
          </cell>
          <cell r="K214">
            <v>300</v>
          </cell>
          <cell r="L214">
            <v>2442.2771920495502</v>
          </cell>
          <cell r="M214" t="str">
            <v>I</v>
          </cell>
        </row>
        <row r="215">
          <cell r="E215">
            <v>2505</v>
          </cell>
          <cell r="F215" t="str">
            <v>Modificación sistema motriz 100 HP (reductor)</v>
          </cell>
          <cell r="G215" t="str">
            <v>gl</v>
          </cell>
          <cell r="H215">
            <v>1</v>
          </cell>
          <cell r="I215">
            <v>21362.346046749295</v>
          </cell>
          <cell r="K215">
            <v>200</v>
          </cell>
          <cell r="L215">
            <v>2136.2346046749294</v>
          </cell>
          <cell r="M215" t="str">
            <v>I</v>
          </cell>
        </row>
        <row r="216">
          <cell r="E216">
            <v>2507</v>
          </cell>
          <cell r="F216" t="str">
            <v>Modificación sistema motriz 5B (solo reductor)</v>
          </cell>
          <cell r="G216" t="str">
            <v>gl</v>
          </cell>
          <cell r="H216">
            <v>1</v>
          </cell>
          <cell r="I216">
            <v>16490.699673468425</v>
          </cell>
          <cell r="K216">
            <v>150</v>
          </cell>
          <cell r="L216">
            <v>1649.0699673468425</v>
          </cell>
          <cell r="M216" t="str">
            <v>I</v>
          </cell>
        </row>
        <row r="217">
          <cell r="E217">
            <v>2510</v>
          </cell>
          <cell r="F217" t="str">
            <v>Modificación sistema motriz 40 HP (reductor)</v>
          </cell>
          <cell r="G217" t="str">
            <v>gl</v>
          </cell>
          <cell r="H217">
            <v>1</v>
          </cell>
          <cell r="I217">
            <v>12327.781852641016</v>
          </cell>
          <cell r="K217">
            <v>150</v>
          </cell>
          <cell r="L217">
            <v>1232.7781852641017</v>
          </cell>
          <cell r="M217" t="str">
            <v>I</v>
          </cell>
        </row>
        <row r="218">
          <cell r="E218">
            <v>2510.1</v>
          </cell>
          <cell r="F218" t="str">
            <v>Modificación sistema motriz correa 7G (solo reductor)</v>
          </cell>
          <cell r="G218" t="str">
            <v>gl</v>
          </cell>
          <cell r="H218">
            <v>1</v>
          </cell>
          <cell r="I218">
            <v>12327.781852641016</v>
          </cell>
          <cell r="K218">
            <v>150</v>
          </cell>
          <cell r="L218">
            <v>1232.7781852641017</v>
          </cell>
          <cell r="M218" t="str">
            <v>I</v>
          </cell>
        </row>
        <row r="219">
          <cell r="E219">
            <v>2515</v>
          </cell>
          <cell r="F219" t="str">
            <v>Modificación sistema motriz 20 HP (reductor)</v>
          </cell>
          <cell r="G219" t="str">
            <v>gl</v>
          </cell>
          <cell r="H219">
            <v>1</v>
          </cell>
          <cell r="I219">
            <v>8133.3028384211721</v>
          </cell>
          <cell r="K219">
            <v>100</v>
          </cell>
          <cell r="L219">
            <v>813.3302838421173</v>
          </cell>
          <cell r="M219" t="str">
            <v>I</v>
          </cell>
        </row>
        <row r="220">
          <cell r="E220">
            <v>2520</v>
          </cell>
          <cell r="F220" t="str">
            <v>Modificación sistema motriz 15 HP (reductor)</v>
          </cell>
          <cell r="G220" t="str">
            <v>gl</v>
          </cell>
          <cell r="H220">
            <v>1</v>
          </cell>
          <cell r="I220">
            <v>6843.9007267791112</v>
          </cell>
          <cell r="K220">
            <v>100</v>
          </cell>
          <cell r="L220">
            <v>684.39007267791112</v>
          </cell>
          <cell r="M220" t="str">
            <v>I</v>
          </cell>
        </row>
        <row r="221">
          <cell r="E221">
            <v>2520.1</v>
          </cell>
          <cell r="F221" t="str">
            <v>Modificación sistema motriz correa A14 (solo reductor)</v>
          </cell>
          <cell r="G221" t="str">
            <v>gl</v>
          </cell>
          <cell r="H221">
            <v>1</v>
          </cell>
          <cell r="I221">
            <v>7316.2158348116809</v>
          </cell>
          <cell r="K221">
            <v>100</v>
          </cell>
          <cell r="L221">
            <v>731.62158348116816</v>
          </cell>
          <cell r="M221" t="str">
            <v>I</v>
          </cell>
        </row>
        <row r="222">
          <cell r="E222">
            <v>2525</v>
          </cell>
          <cell r="F222" t="str">
            <v>Modificación sistema motriz 10 HP (reductor)</v>
          </cell>
          <cell r="G222" t="str">
            <v>gl</v>
          </cell>
          <cell r="H222">
            <v>1</v>
          </cell>
          <cell r="I222">
            <v>5365.9787180041876</v>
          </cell>
          <cell r="K222">
            <v>100</v>
          </cell>
          <cell r="L222">
            <v>536.59787180041883</v>
          </cell>
          <cell r="M222" t="str">
            <v>I</v>
          </cell>
        </row>
        <row r="223">
          <cell r="E223">
            <v>2530</v>
          </cell>
          <cell r="F223" t="str">
            <v xml:space="preserve">Modificación correa </v>
          </cell>
          <cell r="G223" t="str">
            <v>Ton</v>
          </cell>
          <cell r="H223">
            <v>1.1499999999999999</v>
          </cell>
          <cell r="J223">
            <v>500</v>
          </cell>
          <cell r="K223">
            <v>120</v>
          </cell>
          <cell r="L223">
            <v>711.15022820270701</v>
          </cell>
        </row>
        <row r="224">
          <cell r="E224">
            <v>2535</v>
          </cell>
          <cell r="F224" t="str">
            <v>Modificación correa aux.</v>
          </cell>
          <cell r="G224" t="str">
            <v>gl</v>
          </cell>
          <cell r="H224">
            <v>1</v>
          </cell>
          <cell r="I224">
            <v>12817.873308072785</v>
          </cell>
          <cell r="K224">
            <v>150</v>
          </cell>
          <cell r="L224">
            <v>1922.6809962109178</v>
          </cell>
        </row>
        <row r="225">
          <cell r="E225">
            <v>2540</v>
          </cell>
          <cell r="F225" t="str">
            <v xml:space="preserve">Correa </v>
          </cell>
          <cell r="G225" t="str">
            <v>m</v>
          </cell>
          <cell r="H225">
            <v>1</v>
          </cell>
          <cell r="I225">
            <v>3563.7294536698855</v>
          </cell>
          <cell r="J225">
            <v>0</v>
          </cell>
          <cell r="K225">
            <v>87.021276595744681</v>
          </cell>
          <cell r="L225">
            <v>491.31163329199751</v>
          </cell>
          <cell r="M225" t="str">
            <v>I</v>
          </cell>
        </row>
        <row r="226">
          <cell r="E226">
            <v>2545</v>
          </cell>
          <cell r="F226" t="str">
            <v xml:space="preserve">Correa </v>
          </cell>
          <cell r="G226" t="str">
            <v>m</v>
          </cell>
          <cell r="H226">
            <v>1</v>
          </cell>
          <cell r="I226">
            <v>2523.0481815404814</v>
          </cell>
          <cell r="J226">
            <v>0</v>
          </cell>
          <cell r="K226">
            <v>50</v>
          </cell>
          <cell r="L226">
            <v>341.374351377594</v>
          </cell>
          <cell r="M226" t="str">
            <v>I</v>
          </cell>
        </row>
        <row r="227">
          <cell r="E227">
            <v>2550</v>
          </cell>
          <cell r="F227" t="str">
            <v xml:space="preserve">Correa </v>
          </cell>
          <cell r="G227" t="str">
            <v>m</v>
          </cell>
          <cell r="H227">
            <v>1</v>
          </cell>
          <cell r="I227">
            <v>2586.1412510758369</v>
          </cell>
          <cell r="J227">
            <v>0</v>
          </cell>
          <cell r="K227">
            <v>43.535108958837775</v>
          </cell>
          <cell r="L227">
            <v>341.374351377594</v>
          </cell>
          <cell r="M227" t="str">
            <v>I</v>
          </cell>
        </row>
        <row r="228">
          <cell r="E228">
            <v>2555</v>
          </cell>
          <cell r="F228" t="str">
            <v xml:space="preserve">Correa </v>
          </cell>
          <cell r="G228" t="str">
            <v>m</v>
          </cell>
          <cell r="H228">
            <v>1</v>
          </cell>
          <cell r="I228">
            <v>1948.5747838190184</v>
          </cell>
          <cell r="J228">
            <v>0</v>
          </cell>
          <cell r="K228">
            <v>16.365962891874599</v>
          </cell>
          <cell r="L228">
            <v>104.39339097565789</v>
          </cell>
          <cell r="M228" t="str">
            <v>I</v>
          </cell>
        </row>
        <row r="229">
          <cell r="E229">
            <v>2560</v>
          </cell>
          <cell r="F229" t="str">
            <v xml:space="preserve">Correa </v>
          </cell>
          <cell r="G229" t="str">
            <v>m</v>
          </cell>
          <cell r="H229">
            <v>1</v>
          </cell>
          <cell r="I229">
            <v>3563.7294536698855</v>
          </cell>
          <cell r="J229">
            <v>0</v>
          </cell>
          <cell r="K229">
            <v>87.021276595744681</v>
          </cell>
          <cell r="L229">
            <v>491.31163329199751</v>
          </cell>
          <cell r="M229" t="str">
            <v>I</v>
          </cell>
        </row>
        <row r="230">
          <cell r="E230">
            <v>2562</v>
          </cell>
          <cell r="F230" t="str">
            <v xml:space="preserve">Correa </v>
          </cell>
          <cell r="G230" t="str">
            <v>m</v>
          </cell>
          <cell r="H230">
            <v>1</v>
          </cell>
          <cell r="I230">
            <v>1948.5747838190184</v>
          </cell>
          <cell r="J230">
            <v>0</v>
          </cell>
          <cell r="K230">
            <v>16.397435897435898</v>
          </cell>
          <cell r="L230">
            <v>101.74142321765817</v>
          </cell>
          <cell r="M230" t="str">
            <v>I</v>
          </cell>
        </row>
        <row r="231">
          <cell r="E231">
            <v>2565</v>
          </cell>
          <cell r="F231" t="str">
            <v>Corrrea 10 F, existente modificada</v>
          </cell>
          <cell r="G231" t="str">
            <v>m</v>
          </cell>
          <cell r="H231">
            <v>1</v>
          </cell>
          <cell r="I231">
            <v>1108.5610576317104</v>
          </cell>
          <cell r="J231">
            <v>0</v>
          </cell>
          <cell r="K231">
            <v>43.535108958837775</v>
          </cell>
          <cell r="L231">
            <v>152.57045388802607</v>
          </cell>
        </row>
        <row r="232">
          <cell r="E232">
            <v>2570</v>
          </cell>
          <cell r="F232" t="str">
            <v>Ampliación correa</v>
          </cell>
          <cell r="G232" t="str">
            <v>m</v>
          </cell>
          <cell r="H232">
            <v>1</v>
          </cell>
          <cell r="I232">
            <v>775.84237532275108</v>
          </cell>
          <cell r="J232">
            <v>0</v>
          </cell>
          <cell r="K232">
            <v>43.535108958837775</v>
          </cell>
          <cell r="L232">
            <v>341.374351377594</v>
          </cell>
        </row>
        <row r="233">
          <cell r="E233">
            <v>2571</v>
          </cell>
          <cell r="F233" t="str">
            <v xml:space="preserve">Correa </v>
          </cell>
          <cell r="G233" t="str">
            <v>m</v>
          </cell>
          <cell r="H233">
            <v>1</v>
          </cell>
          <cell r="I233">
            <v>4141.2054299061165</v>
          </cell>
          <cell r="J233">
            <v>0</v>
          </cell>
          <cell r="K233">
            <v>361.5</v>
          </cell>
          <cell r="L233">
            <v>3384.9549962393908</v>
          </cell>
          <cell r="M233" t="str">
            <v>I</v>
          </cell>
        </row>
        <row r="234">
          <cell r="E234">
            <v>2571.1</v>
          </cell>
          <cell r="F234" t="str">
            <v xml:space="preserve">Correa </v>
          </cell>
          <cell r="G234" t="str">
            <v>m</v>
          </cell>
          <cell r="H234">
            <v>1</v>
          </cell>
          <cell r="I234">
            <v>16740.274432107781</v>
          </cell>
          <cell r="J234">
            <v>0</v>
          </cell>
          <cell r="K234">
            <v>421.75</v>
          </cell>
          <cell r="L234">
            <v>3712.9660036396472</v>
          </cell>
          <cell r="M234" t="str">
            <v>I</v>
          </cell>
        </row>
        <row r="235">
          <cell r="E235">
            <v>2571.1999999999998</v>
          </cell>
          <cell r="F235" t="str">
            <v xml:space="preserve">Correa </v>
          </cell>
          <cell r="G235" t="str">
            <v>m</v>
          </cell>
          <cell r="H235">
            <v>1</v>
          </cell>
          <cell r="I235">
            <v>15261.404365629969</v>
          </cell>
          <cell r="J235">
            <v>0</v>
          </cell>
          <cell r="K235">
            <v>361.5</v>
          </cell>
          <cell r="L235">
            <v>3384.9549962393908</v>
          </cell>
          <cell r="M235" t="str">
            <v>I</v>
          </cell>
        </row>
        <row r="236">
          <cell r="E236">
            <v>2572</v>
          </cell>
          <cell r="F236" t="str">
            <v xml:space="preserve">Correa </v>
          </cell>
          <cell r="G236" t="str">
            <v>m</v>
          </cell>
          <cell r="H236">
            <v>1</v>
          </cell>
          <cell r="I236">
            <v>1689.104939912829</v>
          </cell>
          <cell r="J236">
            <v>0</v>
          </cell>
          <cell r="K236">
            <v>122.91428571428571</v>
          </cell>
          <cell r="L236">
            <v>1031.511607864524</v>
          </cell>
          <cell r="M236" t="str">
            <v>I</v>
          </cell>
        </row>
        <row r="237">
          <cell r="E237">
            <v>2573</v>
          </cell>
          <cell r="F237" t="str">
            <v xml:space="preserve">Correa </v>
          </cell>
          <cell r="G237" t="str">
            <v>m</v>
          </cell>
          <cell r="H237">
            <v>1</v>
          </cell>
          <cell r="I237">
            <v>10068.771894976364</v>
          </cell>
          <cell r="J237">
            <v>0</v>
          </cell>
          <cell r="K237">
            <v>180.75</v>
          </cell>
          <cell r="L237">
            <v>2233.2374475740548</v>
          </cell>
          <cell r="M237" t="str">
            <v>I</v>
          </cell>
        </row>
        <row r="238">
          <cell r="E238">
            <v>2574</v>
          </cell>
          <cell r="F238" t="str">
            <v xml:space="preserve">Correa </v>
          </cell>
          <cell r="G238" t="str">
            <v>m</v>
          </cell>
          <cell r="H238">
            <v>1</v>
          </cell>
          <cell r="I238">
            <v>2227.7327317465893</v>
          </cell>
          <cell r="J238">
            <v>0</v>
          </cell>
          <cell r="K238">
            <v>102.42857142857143</v>
          </cell>
          <cell r="L238">
            <v>924.6244469325261</v>
          </cell>
          <cell r="M238" t="str">
            <v>I</v>
          </cell>
        </row>
        <row r="239">
          <cell r="E239">
            <v>2575</v>
          </cell>
          <cell r="F239" t="str">
            <v xml:space="preserve">Correa </v>
          </cell>
          <cell r="G239" t="str">
            <v>m</v>
          </cell>
          <cell r="H239">
            <v>1</v>
          </cell>
          <cell r="I239">
            <v>2091.2627008997811</v>
          </cell>
          <cell r="J239">
            <v>0</v>
          </cell>
          <cell r="K239">
            <v>92.185714285714297</v>
          </cell>
          <cell r="L239">
            <v>867.98231702331384</v>
          </cell>
          <cell r="M239" t="str">
            <v>I</v>
          </cell>
        </row>
        <row r="240">
          <cell r="E240">
            <v>2576</v>
          </cell>
          <cell r="F240" t="str">
            <v xml:space="preserve">Correa </v>
          </cell>
          <cell r="G240" t="str">
            <v>m</v>
          </cell>
          <cell r="H240">
            <v>1</v>
          </cell>
          <cell r="I240">
            <v>3484.6850553246809</v>
          </cell>
          <cell r="J240">
            <v>0</v>
          </cell>
          <cell r="K240">
            <v>271.125</v>
          </cell>
          <cell r="L240">
            <v>2848.3257563509542</v>
          </cell>
          <cell r="M240" t="str">
            <v>I</v>
          </cell>
        </row>
        <row r="241">
          <cell r="E241">
            <v>2577</v>
          </cell>
          <cell r="F241" t="str">
            <v xml:space="preserve">Correa </v>
          </cell>
          <cell r="G241" t="str">
            <v>m</v>
          </cell>
          <cell r="H241">
            <v>1</v>
          </cell>
          <cell r="I241">
            <v>3712.0859824233953</v>
          </cell>
          <cell r="J241">
            <v>0</v>
          </cell>
          <cell r="K241">
            <v>301.25</v>
          </cell>
          <cell r="L241">
            <v>3034.1996322938126</v>
          </cell>
          <cell r="M241" t="str">
            <v>I</v>
          </cell>
        </row>
        <row r="242">
          <cell r="E242">
            <v>2578</v>
          </cell>
          <cell r="F242" t="str">
            <v xml:space="preserve">Correa </v>
          </cell>
          <cell r="G242" t="str">
            <v>m</v>
          </cell>
          <cell r="H242">
            <v>1</v>
          </cell>
          <cell r="I242">
            <v>2996.9317390862825</v>
          </cell>
          <cell r="J242">
            <v>0</v>
          </cell>
          <cell r="K242">
            <v>210.875</v>
          </cell>
          <cell r="L242">
            <v>2449.6440071166667</v>
          </cell>
          <cell r="M242" t="str">
            <v>I</v>
          </cell>
        </row>
        <row r="243">
          <cell r="E243">
            <v>2579</v>
          </cell>
          <cell r="F243" t="str">
            <v xml:space="preserve">Correa </v>
          </cell>
          <cell r="G243" t="str">
            <v>m</v>
          </cell>
          <cell r="H243">
            <v>1</v>
          </cell>
          <cell r="I243">
            <v>11965.745019122589</v>
          </cell>
          <cell r="J243">
            <v>0</v>
          </cell>
          <cell r="K243">
            <v>241</v>
          </cell>
          <cell r="L243">
            <v>2653.9830421781558</v>
          </cell>
          <cell r="M243" t="str">
            <v>I</v>
          </cell>
        </row>
        <row r="244">
          <cell r="E244">
            <v>2580</v>
          </cell>
          <cell r="F244" t="str">
            <v xml:space="preserve">Correa </v>
          </cell>
          <cell r="G244" t="str">
            <v>m</v>
          </cell>
          <cell r="H244">
            <v>1</v>
          </cell>
          <cell r="I244">
            <v>2885.1007875813557</v>
          </cell>
          <cell r="J244">
            <v>0</v>
          </cell>
          <cell r="K244">
            <v>180.75</v>
          </cell>
          <cell r="L244">
            <v>2233.2374475740548</v>
          </cell>
          <cell r="M244" t="str">
            <v>I</v>
          </cell>
        </row>
        <row r="245">
          <cell r="E245">
            <v>2581</v>
          </cell>
          <cell r="F245" t="str">
            <v xml:space="preserve">Correa </v>
          </cell>
          <cell r="G245" t="str">
            <v>m</v>
          </cell>
          <cell r="H245">
            <v>1</v>
          </cell>
          <cell r="I245">
            <v>1324.3472577828568</v>
          </cell>
          <cell r="J245">
            <v>0</v>
          </cell>
          <cell r="K245">
            <v>38.57</v>
          </cell>
          <cell r="L245">
            <v>389.0073110114364</v>
          </cell>
          <cell r="M245" t="str">
            <v>I</v>
          </cell>
        </row>
        <row r="246">
          <cell r="E246">
            <v>2582</v>
          </cell>
          <cell r="F246" t="str">
            <v xml:space="preserve">Correa </v>
          </cell>
          <cell r="G246" t="str">
            <v>m</v>
          </cell>
          <cell r="H246">
            <v>1</v>
          </cell>
          <cell r="I246">
            <v>1105.0908671844959</v>
          </cell>
          <cell r="J246">
            <v>0</v>
          </cell>
          <cell r="K246">
            <v>14.203725042590733</v>
          </cell>
          <cell r="L246">
            <v>143.25519536333991</v>
          </cell>
          <cell r="M246" t="str">
            <v>I</v>
          </cell>
        </row>
        <row r="248">
          <cell r="E248">
            <v>2590</v>
          </cell>
          <cell r="F248" t="str">
            <v>Tripper</v>
          </cell>
          <cell r="G248" t="str">
            <v>m</v>
          </cell>
          <cell r="H248">
            <v>1</v>
          </cell>
          <cell r="I248">
            <v>2533.6574098692431</v>
          </cell>
          <cell r="J248">
            <v>0</v>
          </cell>
          <cell r="K248">
            <v>184.37142857142857</v>
          </cell>
          <cell r="L248">
            <v>1547.2674117967858</v>
          </cell>
          <cell r="M248" t="str">
            <v>I</v>
          </cell>
        </row>
        <row r="249">
          <cell r="E249">
            <v>2591</v>
          </cell>
          <cell r="F249" t="str">
            <v>Alimentador de placas 120"</v>
          </cell>
          <cell r="G249" t="str">
            <v>c/u</v>
          </cell>
          <cell r="H249">
            <v>1</v>
          </cell>
          <cell r="I249">
            <v>710366.85705169127</v>
          </cell>
          <cell r="J249">
            <v>0</v>
          </cell>
          <cell r="K249">
            <v>5628.5</v>
          </cell>
          <cell r="L249">
            <v>45161.55722117301</v>
          </cell>
          <cell r="M249" t="str">
            <v>I</v>
          </cell>
        </row>
        <row r="250">
          <cell r="E250">
            <v>2592</v>
          </cell>
          <cell r="F250" t="str">
            <v>Alimentador de placas 96"</v>
          </cell>
          <cell r="G250" t="str">
            <v>c/u</v>
          </cell>
          <cell r="H250">
            <v>1</v>
          </cell>
          <cell r="I250">
            <v>621350.54406928422</v>
          </cell>
          <cell r="J250">
            <v>0</v>
          </cell>
          <cell r="K250">
            <v>4923.1907465517925</v>
          </cell>
          <cell r="L250">
            <v>39502.347092679804</v>
          </cell>
          <cell r="M250" t="str">
            <v>I</v>
          </cell>
        </row>
        <row r="251">
          <cell r="E251">
            <v>2593</v>
          </cell>
          <cell r="F251" t="str">
            <v>Alimentador de correa 72"</v>
          </cell>
          <cell r="G251" t="str">
            <v>c/u</v>
          </cell>
          <cell r="H251">
            <v>1</v>
          </cell>
          <cell r="I251">
            <v>396935.94128908747</v>
          </cell>
          <cell r="J251">
            <v>0</v>
          </cell>
          <cell r="K251">
            <v>3615</v>
          </cell>
          <cell r="L251">
            <v>33849.549962393903</v>
          </cell>
          <cell r="M251" t="str">
            <v>I</v>
          </cell>
        </row>
        <row r="252">
          <cell r="E252">
            <v>2594</v>
          </cell>
          <cell r="F252" t="str">
            <v>Alimentador de correa 84"</v>
          </cell>
          <cell r="G252" t="str">
            <v>c/u</v>
          </cell>
          <cell r="H252">
            <v>1</v>
          </cell>
          <cell r="I252">
            <v>435400.07393494277</v>
          </cell>
          <cell r="J252">
            <v>0</v>
          </cell>
          <cell r="K252">
            <v>4217.5</v>
          </cell>
          <cell r="L252">
            <v>37129.660036396468</v>
          </cell>
          <cell r="M252" t="str">
            <v>I</v>
          </cell>
        </row>
        <row r="254">
          <cell r="E254">
            <v>2600</v>
          </cell>
          <cell r="F254" t="str">
            <v>CALDERERIA</v>
          </cell>
        </row>
        <row r="255">
          <cell r="E255">
            <v>2605</v>
          </cell>
          <cell r="F255" t="str">
            <v>Calderería</v>
          </cell>
          <cell r="G255" t="str">
            <v>Ton</v>
          </cell>
          <cell r="H255">
            <v>1.1499999999999999</v>
          </cell>
          <cell r="J255">
            <v>2313.0823229100192</v>
          </cell>
          <cell r="K255">
            <v>74</v>
          </cell>
          <cell r="L255">
            <v>543.27147990766969</v>
          </cell>
        </row>
        <row r="256">
          <cell r="E256">
            <v>2606</v>
          </cell>
          <cell r="F256" t="str">
            <v>Plancha desgaste</v>
          </cell>
          <cell r="G256" t="str">
            <v>Ton</v>
          </cell>
          <cell r="H256">
            <v>1.1499999999999999</v>
          </cell>
          <cell r="J256">
            <v>5231.9719208679007</v>
          </cell>
          <cell r="K256">
            <v>121</v>
          </cell>
          <cell r="L256">
            <v>806.78250118035885</v>
          </cell>
        </row>
        <row r="257">
          <cell r="E257">
            <v>2610</v>
          </cell>
          <cell r="F257" t="str">
            <v>Cajon Distribuidor Molino de Bolas</v>
          </cell>
          <cell r="G257" t="str">
            <v>Kg</v>
          </cell>
          <cell r="H257">
            <v>1.1499999999999999</v>
          </cell>
          <cell r="J257">
            <v>4.7502987325130439</v>
          </cell>
          <cell r="K257">
            <v>3615</v>
          </cell>
          <cell r="L257">
            <v>33849.549962393903</v>
          </cell>
        </row>
        <row r="258">
          <cell r="E258">
            <v>2615</v>
          </cell>
          <cell r="F258" t="str">
            <v>Modificación calderería</v>
          </cell>
          <cell r="G258" t="str">
            <v>Kg</v>
          </cell>
          <cell r="H258">
            <v>1.1499999999999999</v>
          </cell>
          <cell r="K258">
            <v>6.7666666666666694E-2</v>
          </cell>
          <cell r="L258">
            <v>0.4333641931591648</v>
          </cell>
        </row>
        <row r="259">
          <cell r="E259">
            <v>2620</v>
          </cell>
          <cell r="F259" t="str">
            <v>Reacondicionamiento Celdas</v>
          </cell>
          <cell r="G259" t="str">
            <v>kg</v>
          </cell>
          <cell r="H259">
            <v>1.1499999999999999</v>
          </cell>
          <cell r="K259">
            <v>6.7666666666666694E-2</v>
          </cell>
          <cell r="L259">
            <v>0.49512397964536775</v>
          </cell>
        </row>
        <row r="260">
          <cell r="E260">
            <v>2621</v>
          </cell>
          <cell r="F260" t="str">
            <v>Cajón</v>
          </cell>
          <cell r="G260" t="str">
            <v>c/u</v>
          </cell>
          <cell r="H260">
            <v>1</v>
          </cell>
        </row>
        <row r="261">
          <cell r="E261">
            <v>2622</v>
          </cell>
          <cell r="F261" t="str">
            <v>Estanque</v>
          </cell>
          <cell r="G261" t="str">
            <v>c/u</v>
          </cell>
          <cell r="H261">
            <v>1</v>
          </cell>
        </row>
        <row r="262">
          <cell r="E262">
            <v>2625</v>
          </cell>
          <cell r="F262" t="str">
            <v>Reubicación sistema almac. y manejo de bolas</v>
          </cell>
          <cell r="G262" t="str">
            <v>gl</v>
          </cell>
          <cell r="H262">
            <v>1</v>
          </cell>
          <cell r="K262">
            <v>15126</v>
          </cell>
          <cell r="L262">
            <v>153648.34933117917</v>
          </cell>
        </row>
        <row r="263">
          <cell r="E263">
            <v>3000</v>
          </cell>
          <cell r="F263" t="str">
            <v>PIPING</v>
          </cell>
        </row>
        <row r="264">
          <cell r="E264">
            <v>3010</v>
          </cell>
          <cell r="F264" t="str">
            <v>Modificación Piping menor</v>
          </cell>
          <cell r="G264" t="str">
            <v>gl</v>
          </cell>
          <cell r="H264">
            <v>1</v>
          </cell>
          <cell r="J264">
            <v>27272.727272727272</v>
          </cell>
          <cell r="L264">
            <v>2727.2727272727275</v>
          </cell>
        </row>
        <row r="265">
          <cell r="E265">
            <v>3100</v>
          </cell>
          <cell r="F265" t="str">
            <v>TUBERIAS</v>
          </cell>
        </row>
        <row r="266">
          <cell r="E266">
            <v>3102</v>
          </cell>
          <cell r="F266" t="str">
            <v xml:space="preserve">Cañeria de Ac. 1,5" y menores ASTM A53 GrB STD </v>
          </cell>
          <cell r="G266" t="str">
            <v>m</v>
          </cell>
          <cell r="H266">
            <v>1.1499999999999999</v>
          </cell>
          <cell r="J266">
            <v>5.3018203756164093</v>
          </cell>
          <cell r="K266">
            <v>2.65</v>
          </cell>
          <cell r="L266">
            <v>19.372741580107018</v>
          </cell>
        </row>
        <row r="267">
          <cell r="E267">
            <v>3110</v>
          </cell>
          <cell r="F267" t="str">
            <v xml:space="preserve">Cañería de Ac. 2" ASTM A53 GrB STD </v>
          </cell>
          <cell r="G267" t="str">
            <v>m</v>
          </cell>
          <cell r="H267">
            <v>1.1499999999999999</v>
          </cell>
          <cell r="J267">
            <v>7.0904967999160631</v>
          </cell>
          <cell r="K267">
            <v>3.5195121951219512</v>
          </cell>
          <cell r="L267">
            <v>25.135490111216029</v>
          </cell>
        </row>
        <row r="268">
          <cell r="E268">
            <v>3112</v>
          </cell>
          <cell r="F268" t="str">
            <v xml:space="preserve">Cañería de Ac. 3" ASTM A53 GrB STD </v>
          </cell>
          <cell r="G268" t="str">
            <v>m</v>
          </cell>
          <cell r="H268">
            <v>1.1499999999999999</v>
          </cell>
          <cell r="J268">
            <v>6.053981743783444</v>
          </cell>
          <cell r="K268">
            <v>5.2803532008830025</v>
          </cell>
          <cell r="L268">
            <v>30.721664174798025</v>
          </cell>
        </row>
        <row r="269">
          <cell r="E269">
            <v>3113</v>
          </cell>
          <cell r="F269" t="str">
            <v xml:space="preserve">Cañería de Ac. 4" ASTM A53 GrB STD </v>
          </cell>
          <cell r="G269" t="str">
            <v>m</v>
          </cell>
          <cell r="H269">
            <v>1.1499999999999999</v>
          </cell>
          <cell r="J269">
            <v>9.8361072112316545</v>
          </cell>
          <cell r="K269">
            <v>6</v>
          </cell>
          <cell r="L269">
            <v>41.27714825306893</v>
          </cell>
        </row>
        <row r="270">
          <cell r="E270">
            <v>3114</v>
          </cell>
          <cell r="F270" t="str">
            <v xml:space="preserve">Cañería de Ac. 6" ASTM A53 GrB STD </v>
          </cell>
          <cell r="G270" t="str">
            <v>m</v>
          </cell>
          <cell r="H270">
            <v>1.1499999999999999</v>
          </cell>
          <cell r="J270">
            <v>16.312737715379708</v>
          </cell>
          <cell r="K270">
            <v>10.56</v>
          </cell>
          <cell r="L270">
            <v>60.539817437834436</v>
          </cell>
        </row>
        <row r="271">
          <cell r="E271">
            <v>3115</v>
          </cell>
          <cell r="F271" t="str">
            <v xml:space="preserve">Cañería de Ac. 10" ASTM A53 GrB STD </v>
          </cell>
          <cell r="G271" t="str">
            <v>m</v>
          </cell>
          <cell r="H271">
            <v>1.1499999999999999</v>
          </cell>
          <cell r="J271">
            <v>34.23361837906829</v>
          </cell>
          <cell r="K271">
            <v>14.65625</v>
          </cell>
          <cell r="L271">
            <v>87.140646312034406</v>
          </cell>
        </row>
        <row r="272">
          <cell r="E272">
            <v>3115.1</v>
          </cell>
          <cell r="F272" t="str">
            <v xml:space="preserve">Cañería de Ac. 12" ASTM A53 GrB STD </v>
          </cell>
          <cell r="G272" t="str">
            <v>m</v>
          </cell>
          <cell r="H272">
            <v>1.1499999999999999</v>
          </cell>
          <cell r="J272">
            <v>41.866790044671347</v>
          </cell>
          <cell r="K272">
            <v>17.600985221674875</v>
          </cell>
          <cell r="L272">
            <v>103.19287063267234</v>
          </cell>
        </row>
        <row r="273">
          <cell r="E273">
            <v>3115.2</v>
          </cell>
          <cell r="F273" t="str">
            <v xml:space="preserve">Cañería de Ac. 14" ASTM A53 GrB STD </v>
          </cell>
          <cell r="G273" t="str">
            <v>m</v>
          </cell>
          <cell r="H273">
            <v>1.1499999999999999</v>
          </cell>
          <cell r="J273">
            <v>46.030338225909389</v>
          </cell>
          <cell r="K273">
            <v>20.529862174578867</v>
          </cell>
          <cell r="L273">
            <v>121.53826985625854</v>
          </cell>
        </row>
        <row r="274">
          <cell r="E274">
            <v>3115.3</v>
          </cell>
          <cell r="F274" t="str">
            <v xml:space="preserve">Cañería de Ac. 16" ASTM A53 GrB STD </v>
          </cell>
          <cell r="G274" t="str">
            <v>m</v>
          </cell>
          <cell r="H274">
            <v>1.1499999999999999</v>
          </cell>
          <cell r="J274">
            <v>51.813044033184433</v>
          </cell>
          <cell r="K274">
            <v>23.47</v>
          </cell>
          <cell r="L274">
            <v>140.80093904102404</v>
          </cell>
        </row>
        <row r="275">
          <cell r="E275">
            <v>3115.4</v>
          </cell>
          <cell r="F275" t="str">
            <v xml:space="preserve">Cañería de Ac. 18" ASTM A53 GrB STD </v>
          </cell>
          <cell r="G275" t="str">
            <v>m</v>
          </cell>
          <cell r="H275">
            <v>1.1499999999999999</v>
          </cell>
          <cell r="J275">
            <v>55.607148007074052</v>
          </cell>
          <cell r="K275">
            <v>25.188633250155256</v>
          </cell>
          <cell r="L275">
            <v>151.11134276871843</v>
          </cell>
        </row>
        <row r="276">
          <cell r="E276">
            <v>3115.5</v>
          </cell>
          <cell r="F276" t="str">
            <v xml:space="preserve">Cañería de Ac. 20" ASTM A53 GrB STD </v>
          </cell>
          <cell r="G276" t="str">
            <v>m</v>
          </cell>
          <cell r="H276">
            <v>1.1499999999999999</v>
          </cell>
          <cell r="J276">
            <v>59.235916980270638</v>
          </cell>
          <cell r="K276">
            <v>26.832373921835874</v>
          </cell>
          <cell r="L276">
            <v>160.97245184892952</v>
          </cell>
        </row>
        <row r="277">
          <cell r="E277">
            <v>3115.6</v>
          </cell>
          <cell r="F277" t="str">
            <v xml:space="preserve">Cañería de Ac. 24" ASTM A53 GrB STD </v>
          </cell>
          <cell r="G277" t="str">
            <v>m</v>
          </cell>
          <cell r="H277">
            <v>1.1499999999999999</v>
          </cell>
          <cell r="J277">
            <v>102.77795788130187</v>
          </cell>
          <cell r="K277">
            <v>35.25</v>
          </cell>
          <cell r="L277">
            <v>206.20458044801174</v>
          </cell>
        </row>
        <row r="278">
          <cell r="E278">
            <v>3115.7</v>
          </cell>
          <cell r="F278" t="str">
            <v xml:space="preserve">Cañería de Ac. 26" ASTM A53 GrB STD </v>
          </cell>
          <cell r="G278" t="str">
            <v>m</v>
          </cell>
          <cell r="H278">
            <v>1.1499999999999999</v>
          </cell>
          <cell r="J278">
            <v>114.91613273771539</v>
          </cell>
          <cell r="K278">
            <v>38.14</v>
          </cell>
          <cell r="L278">
            <v>224.48118442450948</v>
          </cell>
        </row>
        <row r="279">
          <cell r="E279">
            <v>3115.71</v>
          </cell>
          <cell r="F279" t="str">
            <v>Cañería de Ac. 26" e=17.5 ; ASTM A53 GrB STD  en tunel</v>
          </cell>
          <cell r="G279" t="str">
            <v>m</v>
          </cell>
          <cell r="H279">
            <v>1.1499999999999999</v>
          </cell>
          <cell r="J279">
            <v>182.82000000000002</v>
          </cell>
          <cell r="K279">
            <v>13.6</v>
          </cell>
          <cell r="L279">
            <v>110</v>
          </cell>
        </row>
        <row r="280">
          <cell r="E280">
            <v>3115.72</v>
          </cell>
          <cell r="F280" t="str">
            <v>Cañería de Ac. 26" e=17.5 ; ASTM A53 GrB STD  en zanja</v>
          </cell>
          <cell r="G280" t="str">
            <v>m</v>
          </cell>
          <cell r="H280">
            <v>1.1499999999999999</v>
          </cell>
          <cell r="J280">
            <v>182.82000000000002</v>
          </cell>
          <cell r="K280">
            <v>13.6</v>
          </cell>
          <cell r="L280">
            <v>134</v>
          </cell>
        </row>
        <row r="281">
          <cell r="E281">
            <v>3115.73</v>
          </cell>
          <cell r="F281" t="str">
            <v>Cañería de Ac. 26" e=19.6 ; ASTM A53 GrB STD  en zanja</v>
          </cell>
          <cell r="G281" t="str">
            <v>m</v>
          </cell>
          <cell r="H281">
            <v>1.1499999999999999</v>
          </cell>
          <cell r="J281">
            <v>198.792</v>
          </cell>
          <cell r="K281">
            <v>13.6</v>
          </cell>
          <cell r="L281">
            <v>134</v>
          </cell>
        </row>
        <row r="282">
          <cell r="E282">
            <v>3115.74</v>
          </cell>
          <cell r="F282" t="str">
            <v>Cañería de Ac. 26" e=11.9 ; ASTM A53 GrB STD  en zanja</v>
          </cell>
          <cell r="G282" t="str">
            <v>m</v>
          </cell>
          <cell r="H282">
            <v>1.1499999999999999</v>
          </cell>
          <cell r="J282">
            <v>117.48</v>
          </cell>
          <cell r="K282">
            <v>13.6</v>
          </cell>
          <cell r="L282">
            <v>134</v>
          </cell>
        </row>
        <row r="283">
          <cell r="E283">
            <v>3115.75</v>
          </cell>
          <cell r="F283" t="str">
            <v>Cañería de Ac. 6" e=6.4 ; ASTM A53 GrB STD  en zanja</v>
          </cell>
          <cell r="G283" t="str">
            <v>m</v>
          </cell>
          <cell r="H283">
            <v>1.1499999999999999</v>
          </cell>
          <cell r="J283">
            <v>16.5</v>
          </cell>
          <cell r="K283">
            <v>0.76119402985074625</v>
          </cell>
          <cell r="L283">
            <v>7.5</v>
          </cell>
        </row>
        <row r="284">
          <cell r="E284">
            <v>3115.8</v>
          </cell>
          <cell r="F284" t="str">
            <v>Cañería de Ac. 24" ASTM A53 GrB XS</v>
          </cell>
          <cell r="G284" t="str">
            <v>m</v>
          </cell>
          <cell r="H284">
            <v>1.1499999999999999</v>
          </cell>
          <cell r="J284">
            <v>136.30835548796773</v>
          </cell>
          <cell r="K284">
            <v>46.75</v>
          </cell>
          <cell r="L284">
            <v>273.47699676438435</v>
          </cell>
        </row>
        <row r="285">
          <cell r="E285">
            <v>3115.9</v>
          </cell>
          <cell r="F285" t="str">
            <v>Cañería de Ac. 10" ASTM A53 GrB XS</v>
          </cell>
          <cell r="G285" t="str">
            <v>m</v>
          </cell>
          <cell r="H285">
            <v>1.1499999999999999</v>
          </cell>
          <cell r="J285">
            <v>46.269318373035915</v>
          </cell>
          <cell r="K285">
            <v>19.809027777777779</v>
          </cell>
          <cell r="L285">
            <v>117.77715877994702</v>
          </cell>
        </row>
        <row r="286">
          <cell r="F286" t="str">
            <v xml:space="preserve">Cañería de Ac. 5" ASTM A53 GrB STD </v>
          </cell>
          <cell r="G286" t="str">
            <v>m</v>
          </cell>
          <cell r="H286">
            <v>1.1499999999999999</v>
          </cell>
        </row>
        <row r="287">
          <cell r="E287">
            <v>3116</v>
          </cell>
          <cell r="F287" t="str">
            <v xml:space="preserve">Cañería de Ac. 8" ASTM A53 GrB STD </v>
          </cell>
          <cell r="G287" t="str">
            <v>m</v>
          </cell>
          <cell r="H287">
            <v>1.1499999999999999</v>
          </cell>
          <cell r="J287">
            <v>23.5934396936822</v>
          </cell>
          <cell r="K287">
            <v>12.549521304080663</v>
          </cell>
          <cell r="L287">
            <v>68.795247088448221</v>
          </cell>
        </row>
        <row r="288">
          <cell r="E288">
            <v>3128</v>
          </cell>
          <cell r="F288" t="str">
            <v xml:space="preserve">Cañería de Ac. 30" ASTM A53 GrB STD </v>
          </cell>
          <cell r="G288" t="str">
            <v>m</v>
          </cell>
          <cell r="H288">
            <v>1.1499999999999999</v>
          </cell>
          <cell r="J288">
            <v>132.93614550095725</v>
          </cell>
          <cell r="K288">
            <v>44</v>
          </cell>
          <cell r="L288">
            <v>257.75285909138597</v>
          </cell>
        </row>
        <row r="289">
          <cell r="E289">
            <v>3149</v>
          </cell>
          <cell r="F289" t="str">
            <v>Cañeria de Ac. 3" engomada</v>
          </cell>
          <cell r="G289" t="str">
            <v>m</v>
          </cell>
          <cell r="H289">
            <v>1.1499999999999999</v>
          </cell>
          <cell r="J289">
            <v>28.276203966005667</v>
          </cell>
          <cell r="K289">
            <v>6</v>
          </cell>
          <cell r="L289">
            <v>67.306976576434792</v>
          </cell>
        </row>
        <row r="290">
          <cell r="E290">
            <v>3150</v>
          </cell>
          <cell r="F290" t="str">
            <v>Cañeria de Ac. 4" engomada</v>
          </cell>
          <cell r="G290" t="str">
            <v>m</v>
          </cell>
          <cell r="H290">
            <v>1.1499999999999999</v>
          </cell>
          <cell r="J290">
            <v>32.058329433453878</v>
          </cell>
          <cell r="K290">
            <v>6</v>
          </cell>
          <cell r="L290">
            <v>67.306976576434792</v>
          </cell>
        </row>
        <row r="291">
          <cell r="E291">
            <v>3151</v>
          </cell>
          <cell r="F291" t="str">
            <v>Cañería de Ac. 6" ASTM A53 GrB STD engomada e=6mm</v>
          </cell>
          <cell r="G291" t="str">
            <v>m</v>
          </cell>
          <cell r="H291">
            <v>1.1499999999999999</v>
          </cell>
          <cell r="J291">
            <v>47.234959937601928</v>
          </cell>
          <cell r="K291">
            <v>8</v>
          </cell>
          <cell r="L291">
            <v>96.714651531843458</v>
          </cell>
        </row>
        <row r="292">
          <cell r="E292">
            <v>3152</v>
          </cell>
          <cell r="F292" t="str">
            <v>Cañeria de Ac. 8" engomada</v>
          </cell>
          <cell r="G292" t="str">
            <v>m</v>
          </cell>
          <cell r="H292">
            <v>1.1499999999999999</v>
          </cell>
          <cell r="J292">
            <v>67</v>
          </cell>
          <cell r="K292">
            <v>10</v>
          </cell>
          <cell r="L292">
            <v>126.12232648725212</v>
          </cell>
        </row>
        <row r="293">
          <cell r="E293">
            <v>3152</v>
          </cell>
          <cell r="F293" t="str">
            <v>Cañería de Ac. 8" ASTM A53 GrB STD engomada e=6mm</v>
          </cell>
          <cell r="G293" t="str">
            <v>m</v>
          </cell>
          <cell r="H293">
            <v>1.1499999999999999</v>
          </cell>
          <cell r="J293">
            <v>63.926773027015535</v>
          </cell>
          <cell r="K293">
            <v>10</v>
          </cell>
          <cell r="L293">
            <v>126.12232648725212</v>
          </cell>
        </row>
        <row r="294">
          <cell r="E294">
            <v>3153</v>
          </cell>
          <cell r="F294" t="str">
            <v>Cañería de Ac. 10" ASTM A53 GrB STD engomada e=6mm</v>
          </cell>
          <cell r="G294" t="str">
            <v>m</v>
          </cell>
          <cell r="H294">
            <v>1.1499999999999999</v>
          </cell>
          <cell r="J294">
            <v>83.863248008697923</v>
          </cell>
          <cell r="K294">
            <v>13</v>
          </cell>
          <cell r="L294">
            <v>158.61202851222328</v>
          </cell>
        </row>
        <row r="295">
          <cell r="E295">
            <v>3154</v>
          </cell>
          <cell r="F295" t="str">
            <v>Cañería de Ac. 12" ASTM A53 GrB STD engomada e=6mm</v>
          </cell>
          <cell r="G295" t="str">
            <v>m</v>
          </cell>
          <cell r="H295">
            <v>1.1499999999999999</v>
          </cell>
          <cell r="J295">
            <v>101.4223456002269</v>
          </cell>
          <cell r="K295">
            <v>14.966666666666667</v>
          </cell>
          <cell r="L295">
            <v>191.10173053719441</v>
          </cell>
        </row>
        <row r="296">
          <cell r="E296">
            <v>3156</v>
          </cell>
          <cell r="F296" t="str">
            <v>Cañería de Ac. 14" ASTM A53 GrB STD engomada e=6mm</v>
          </cell>
          <cell r="G296" t="str">
            <v>m</v>
          </cell>
          <cell r="H296">
            <v>1.1499999999999999</v>
          </cell>
          <cell r="J296">
            <v>115.29885674442791</v>
          </cell>
          <cell r="K296">
            <v>17.454545454545453</v>
          </cell>
          <cell r="L296">
            <v>222.36229081418529</v>
          </cell>
        </row>
        <row r="297">
          <cell r="E297">
            <v>3158</v>
          </cell>
          <cell r="F297" t="str">
            <v>Cañeria de Ac. 16" engomada</v>
          </cell>
          <cell r="G297" t="str">
            <v>m</v>
          </cell>
          <cell r="H297">
            <v>1.1499999999999999</v>
          </cell>
          <cell r="J297">
            <v>131.22045144059183</v>
          </cell>
          <cell r="K297">
            <v>19.953125</v>
          </cell>
          <cell r="L297">
            <v>254.77861124226209</v>
          </cell>
        </row>
        <row r="298">
          <cell r="E298">
            <v>3160</v>
          </cell>
          <cell r="F298" t="str">
            <v>Cañeria de Ac. 18" engomada</v>
          </cell>
          <cell r="G298" t="str">
            <v>m</v>
          </cell>
          <cell r="H298">
            <v>1.1499999999999999</v>
          </cell>
          <cell r="J298">
            <v>156.33333333333331</v>
          </cell>
          <cell r="K298">
            <v>22.5</v>
          </cell>
          <cell r="L298">
            <v>286.31893885741266</v>
          </cell>
        </row>
        <row r="299">
          <cell r="E299">
            <v>3162</v>
          </cell>
          <cell r="F299" t="str">
            <v>Cañeria de Ac. 20" engomada</v>
          </cell>
          <cell r="G299" t="str">
            <v>m</v>
          </cell>
          <cell r="H299">
            <v>1.1499999999999999</v>
          </cell>
          <cell r="J299">
            <v>174.25925925925924</v>
          </cell>
          <cell r="K299">
            <v>25</v>
          </cell>
          <cell r="L299">
            <v>317.98997744203126</v>
          </cell>
        </row>
        <row r="300">
          <cell r="E300">
            <v>3164</v>
          </cell>
          <cell r="F300" t="str">
            <v>Cañeria de Ac. 22" engomada</v>
          </cell>
          <cell r="G300" t="str">
            <v>m</v>
          </cell>
          <cell r="H300">
            <v>1.1499999999999999</v>
          </cell>
          <cell r="J300">
            <v>200</v>
          </cell>
          <cell r="K300">
            <v>27.5</v>
          </cell>
          <cell r="L300">
            <v>352.13305857202812</v>
          </cell>
        </row>
        <row r="301">
          <cell r="E301">
            <v>3166</v>
          </cell>
          <cell r="F301" t="str">
            <v>Cañeria de Ac. 24" engomada</v>
          </cell>
          <cell r="G301" t="str">
            <v>m</v>
          </cell>
          <cell r="H301">
            <v>1.1499999999999999</v>
          </cell>
          <cell r="J301">
            <v>221.889068992413</v>
          </cell>
          <cell r="K301">
            <v>29.921052631578949</v>
          </cell>
          <cell r="L301">
            <v>383.50598441926343</v>
          </cell>
        </row>
        <row r="302">
          <cell r="E302">
            <v>3168</v>
          </cell>
          <cell r="F302" t="str">
            <v>Cañeria de Ac. 26" engomada</v>
          </cell>
          <cell r="G302" t="str">
            <v>m</v>
          </cell>
          <cell r="H302">
            <v>1.1499999999999999</v>
          </cell>
          <cell r="J302">
            <v>250</v>
          </cell>
          <cell r="K302">
            <v>32.423913043478258</v>
          </cell>
          <cell r="L302">
            <v>433.5866311247508</v>
          </cell>
        </row>
        <row r="303">
          <cell r="E303">
            <v>3169</v>
          </cell>
          <cell r="F303" t="str">
            <v>Revestimiento Interior (Liner 6mm)</v>
          </cell>
          <cell r="G303" t="str">
            <v>m</v>
          </cell>
          <cell r="H303">
            <v>1.1499999999999999</v>
          </cell>
          <cell r="J303">
            <v>0</v>
          </cell>
          <cell r="K303">
            <v>2.2328358208955223</v>
          </cell>
          <cell r="L303">
            <v>22</v>
          </cell>
        </row>
        <row r="304">
          <cell r="E304">
            <v>3170</v>
          </cell>
          <cell r="F304" t="str">
            <v>Ducto A42-27 800mm e=8mm</v>
          </cell>
          <cell r="G304" t="str">
            <v>m</v>
          </cell>
          <cell r="H304">
            <v>1.1499999999999999</v>
          </cell>
          <cell r="J304">
            <v>0.77050676739062007</v>
          </cell>
          <cell r="K304">
            <v>11.84</v>
          </cell>
          <cell r="L304">
            <v>86.923436785227153</v>
          </cell>
        </row>
        <row r="305">
          <cell r="E305">
            <v>3171</v>
          </cell>
          <cell r="F305" t="str">
            <v>Manguera flexible 12" ANSI 150</v>
          </cell>
          <cell r="G305" t="str">
            <v>m</v>
          </cell>
          <cell r="H305">
            <v>1.1499999999999999</v>
          </cell>
          <cell r="J305">
            <v>400</v>
          </cell>
          <cell r="K305">
            <v>10</v>
          </cell>
          <cell r="L305">
            <v>0.53333333333333333</v>
          </cell>
        </row>
        <row r="306">
          <cell r="E306">
            <v>3171.1</v>
          </cell>
          <cell r="F306" t="str">
            <v>Manguera flexible 6" ANSI 150</v>
          </cell>
          <cell r="G306" t="str">
            <v>m</v>
          </cell>
          <cell r="H306">
            <v>1.1499999999999999</v>
          </cell>
          <cell r="J306">
            <v>263.90158215457882</v>
          </cell>
          <cell r="K306">
            <v>6.597539553864471</v>
          </cell>
          <cell r="L306">
            <v>0.35186877620610513</v>
          </cell>
        </row>
        <row r="307">
          <cell r="E307">
            <v>3171.2</v>
          </cell>
          <cell r="F307" t="str">
            <v>Manguera flexible 20" ANSI 150</v>
          </cell>
          <cell r="G307" t="str">
            <v>m</v>
          </cell>
          <cell r="H307">
            <v>1.1499999999999999</v>
          </cell>
          <cell r="J307">
            <v>543.46207307061525</v>
          </cell>
          <cell r="K307">
            <v>13.58655182676538</v>
          </cell>
          <cell r="L307">
            <v>0.72461609742748689</v>
          </cell>
        </row>
        <row r="308">
          <cell r="E308">
            <v>3172</v>
          </cell>
          <cell r="F308" t="str">
            <v>Saneamiento Cañerías</v>
          </cell>
          <cell r="G308" t="str">
            <v>Kg</v>
          </cell>
          <cell r="H308">
            <v>1.1499999999999999</v>
          </cell>
          <cell r="J308">
            <v>0.1773049645390071</v>
          </cell>
          <cell r="K308">
            <v>0.04</v>
          </cell>
          <cell r="L308">
            <v>0.40130560801594795</v>
          </cell>
        </row>
        <row r="309">
          <cell r="E309">
            <v>3180</v>
          </cell>
          <cell r="F309" t="str">
            <v>Disco de Ruptura Clase 900</v>
          </cell>
          <cell r="G309" t="str">
            <v>c/u</v>
          </cell>
          <cell r="H309">
            <v>1</v>
          </cell>
          <cell r="J309">
            <v>18611.039374627751</v>
          </cell>
          <cell r="K309">
            <v>30</v>
          </cell>
          <cell r="L309">
            <v>0.33333333333333331</v>
          </cell>
          <cell r="M309" t="str">
            <v>I</v>
          </cell>
        </row>
        <row r="310">
          <cell r="E310">
            <v>3180.1</v>
          </cell>
          <cell r="F310" t="str">
            <v>Disco de Ruptura Clase 300</v>
          </cell>
          <cell r="G310" t="str">
            <v>c/u</v>
          </cell>
          <cell r="H310">
            <v>1</v>
          </cell>
          <cell r="J310">
            <v>9627.1530264935209</v>
          </cell>
          <cell r="K310">
            <v>15.518455739153598</v>
          </cell>
          <cell r="L310">
            <v>0.17242728599059554</v>
          </cell>
          <cell r="M310" t="str">
            <v>I</v>
          </cell>
        </row>
        <row r="311">
          <cell r="E311">
            <v>3180.2</v>
          </cell>
          <cell r="F311" t="str">
            <v>Disco de Ruptura Clase 1500</v>
          </cell>
          <cell r="G311" t="str">
            <v>c/u</v>
          </cell>
          <cell r="H311">
            <v>1</v>
          </cell>
          <cell r="J311">
            <v>20335.91326027397</v>
          </cell>
          <cell r="K311">
            <v>8.0274156176023084</v>
          </cell>
          <cell r="L311">
            <v>8.9193506862247876E-2</v>
          </cell>
          <cell r="M311" t="str">
            <v>I</v>
          </cell>
        </row>
        <row r="312">
          <cell r="E312">
            <v>3181</v>
          </cell>
          <cell r="F312" t="str">
            <v>Disco cerámico 20"</v>
          </cell>
          <cell r="G312" t="str">
            <v>c/u</v>
          </cell>
          <cell r="H312">
            <v>1</v>
          </cell>
          <cell r="J312">
            <v>5100</v>
          </cell>
          <cell r="K312">
            <v>30</v>
          </cell>
          <cell r="L312">
            <v>0.33333333333333331</v>
          </cell>
          <cell r="M312" t="str">
            <v>I</v>
          </cell>
        </row>
        <row r="313">
          <cell r="E313">
            <v>3181.01</v>
          </cell>
          <cell r="F313" t="str">
            <v>Disco cerámico 20"</v>
          </cell>
          <cell r="G313" t="str">
            <v>c/u</v>
          </cell>
          <cell r="H313">
            <v>1</v>
          </cell>
          <cell r="J313">
            <v>5100</v>
          </cell>
          <cell r="K313">
            <v>15.518455739153598</v>
          </cell>
          <cell r="L313">
            <v>0.17242728599059554</v>
          </cell>
          <cell r="M313" t="str">
            <v>I</v>
          </cell>
        </row>
        <row r="314">
          <cell r="E314">
            <v>3181.1</v>
          </cell>
          <cell r="F314" t="str">
            <v xml:space="preserve">Disco cerámico 12" </v>
          </cell>
          <cell r="G314" t="str">
            <v>c/u</v>
          </cell>
          <cell r="H314">
            <v>1</v>
          </cell>
          <cell r="J314">
            <v>4300</v>
          </cell>
          <cell r="K314">
            <v>30</v>
          </cell>
          <cell r="L314">
            <v>0.33333333333333331</v>
          </cell>
          <cell r="M314" t="str">
            <v>I</v>
          </cell>
        </row>
        <row r="315">
          <cell r="E315">
            <v>3181.11</v>
          </cell>
          <cell r="F315" t="str">
            <v>Disco cerámico 12"</v>
          </cell>
          <cell r="G315" t="str">
            <v>c/u</v>
          </cell>
          <cell r="H315">
            <v>1</v>
          </cell>
          <cell r="J315">
            <v>4300</v>
          </cell>
          <cell r="K315">
            <v>15.518455739153598</v>
          </cell>
          <cell r="L315">
            <v>0.17242728599059554</v>
          </cell>
          <cell r="M315" t="str">
            <v>I</v>
          </cell>
        </row>
        <row r="316">
          <cell r="E316">
            <v>3181.12</v>
          </cell>
          <cell r="F316" t="str">
            <v>Disco cerámico 8"</v>
          </cell>
          <cell r="G316" t="str">
            <v>c/u</v>
          </cell>
          <cell r="H316">
            <v>1</v>
          </cell>
          <cell r="J316">
            <v>4300</v>
          </cell>
          <cell r="K316">
            <v>8.0274156176023084</v>
          </cell>
          <cell r="L316">
            <v>8.9193506862247876E-2</v>
          </cell>
          <cell r="M316" t="str">
            <v>I</v>
          </cell>
        </row>
        <row r="317">
          <cell r="E317">
            <v>3400</v>
          </cell>
          <cell r="F317" t="str">
            <v>VALVULAS</v>
          </cell>
        </row>
        <row r="318">
          <cell r="E318">
            <v>3410</v>
          </cell>
          <cell r="F318" t="str">
            <v>Valvulas de Bola</v>
          </cell>
        </row>
        <row r="319">
          <cell r="E319">
            <v>3411</v>
          </cell>
          <cell r="F319" t="str">
            <v>Valvula de Bola 1,5" y menores</v>
          </cell>
          <cell r="G319" t="str">
            <v>c/u</v>
          </cell>
          <cell r="H319">
            <v>1</v>
          </cell>
          <cell r="J319">
            <v>55.724150141643058</v>
          </cell>
          <cell r="K319">
            <v>2</v>
          </cell>
          <cell r="L319">
            <v>11.926802670233974</v>
          </cell>
        </row>
        <row r="320">
          <cell r="E320">
            <v>3412</v>
          </cell>
          <cell r="F320" t="str">
            <v>Valvula de Bola 2"</v>
          </cell>
          <cell r="G320" t="str">
            <v>c/u</v>
          </cell>
          <cell r="H320">
            <v>1</v>
          </cell>
          <cell r="J320">
            <v>195.77751416430596</v>
          </cell>
          <cell r="K320">
            <v>2</v>
          </cell>
          <cell r="L320">
            <v>9.7780977861714415</v>
          </cell>
        </row>
        <row r="321">
          <cell r="E321">
            <v>3413</v>
          </cell>
          <cell r="F321" t="str">
            <v>Valvula de Bola 2,5"</v>
          </cell>
          <cell r="G321" t="str">
            <v>c/u</v>
          </cell>
          <cell r="H321">
            <v>1</v>
          </cell>
          <cell r="J321">
            <v>270.57858632357573</v>
          </cell>
          <cell r="K321">
            <v>7</v>
          </cell>
          <cell r="L321">
            <v>38.087341963067885</v>
          </cell>
        </row>
        <row r="322">
          <cell r="E322">
            <v>3414</v>
          </cell>
          <cell r="F322" t="str">
            <v>Valvula de Bola 3"</v>
          </cell>
          <cell r="G322" t="str">
            <v>c/u</v>
          </cell>
          <cell r="H322">
            <v>1</v>
          </cell>
          <cell r="J322">
            <v>293.39567660791101</v>
          </cell>
          <cell r="K322">
            <v>8.5</v>
          </cell>
          <cell r="L322">
            <v>53.011324231455248</v>
          </cell>
        </row>
        <row r="323">
          <cell r="E323">
            <v>3415</v>
          </cell>
          <cell r="F323" t="str">
            <v>Valvula de Bola 4"</v>
          </cell>
          <cell r="G323" t="str">
            <v>c/u</v>
          </cell>
          <cell r="H323">
            <v>1</v>
          </cell>
          <cell r="J323">
            <v>630.48780099150144</v>
          </cell>
          <cell r="K323">
            <v>9.6</v>
          </cell>
          <cell r="L323">
            <v>62.954530610638969</v>
          </cell>
          <cell r="M323" t="str">
            <v>I</v>
          </cell>
        </row>
        <row r="324">
          <cell r="E324">
            <v>3415.1</v>
          </cell>
          <cell r="F324" t="str">
            <v>Válvula de Bola 4" clase 900</v>
          </cell>
          <cell r="G324" t="str">
            <v>c/u</v>
          </cell>
          <cell r="H324">
            <v>1</v>
          </cell>
          <cell r="J324">
            <v>12999.593462306058</v>
          </cell>
          <cell r="K324">
            <v>9.6</v>
          </cell>
          <cell r="L324">
            <v>50.838888888888889</v>
          </cell>
          <cell r="M324" t="str">
            <v>I</v>
          </cell>
        </row>
        <row r="325">
          <cell r="E325">
            <v>3415.11</v>
          </cell>
          <cell r="F325" t="str">
            <v>Válvula de Bola 4" clase 300</v>
          </cell>
          <cell r="G325" t="str">
            <v>c/u</v>
          </cell>
          <cell r="H325">
            <v>1</v>
          </cell>
          <cell r="J325">
            <v>6724.4538590595903</v>
          </cell>
          <cell r="K325">
            <v>9.6</v>
          </cell>
          <cell r="L325">
            <v>50.838888888888889</v>
          </cell>
          <cell r="M325" t="str">
            <v>I</v>
          </cell>
        </row>
        <row r="326">
          <cell r="E326">
            <v>3416</v>
          </cell>
          <cell r="F326" t="str">
            <v>Valvula de Bola de control  10" exist. Reubicada</v>
          </cell>
          <cell r="G326" t="str">
            <v>c/u</v>
          </cell>
          <cell r="H326">
            <v>1</v>
          </cell>
          <cell r="K326">
            <v>39.49999999999995</v>
          </cell>
          <cell r="L326">
            <v>234.01047273371105</v>
          </cell>
          <cell r="M326" t="str">
            <v>I</v>
          </cell>
        </row>
        <row r="327">
          <cell r="E327">
            <v>3417</v>
          </cell>
          <cell r="F327" t="str">
            <v>Válvula de Bola 8" clase 900</v>
          </cell>
          <cell r="G327" t="str">
            <v>c/u</v>
          </cell>
          <cell r="H327">
            <v>1</v>
          </cell>
          <cell r="J327">
            <v>18577.094415283042</v>
          </cell>
          <cell r="K327">
            <v>39.49999999999995</v>
          </cell>
          <cell r="L327">
            <v>234.01047273371105</v>
          </cell>
          <cell r="M327" t="str">
            <v>I</v>
          </cell>
        </row>
        <row r="328">
          <cell r="E328">
            <v>3417.1</v>
          </cell>
          <cell r="F328" t="str">
            <v>Válvula de Bola 8" clase 1500</v>
          </cell>
          <cell r="G328" t="str">
            <v>c/u</v>
          </cell>
          <cell r="H328">
            <v>1</v>
          </cell>
          <cell r="J328">
            <v>122890.64175567978</v>
          </cell>
          <cell r="K328">
            <v>39.49999999999995</v>
          </cell>
          <cell r="L328">
            <v>234.01047273371105</v>
          </cell>
          <cell r="M328" t="str">
            <v>I</v>
          </cell>
        </row>
        <row r="329">
          <cell r="E329">
            <v>3418</v>
          </cell>
          <cell r="F329" t="str">
            <v>Válvula de Bola 6" clase 900</v>
          </cell>
          <cell r="G329" t="str">
            <v>c/u</v>
          </cell>
          <cell r="H329">
            <v>1</v>
          </cell>
          <cell r="J329">
            <v>17218.144224633059</v>
          </cell>
          <cell r="K329">
            <v>39.49999999999995</v>
          </cell>
          <cell r="L329">
            <v>234.01047273371105</v>
          </cell>
          <cell r="M329" t="str">
            <v>I</v>
          </cell>
        </row>
        <row r="330">
          <cell r="E330">
            <v>3418.1</v>
          </cell>
          <cell r="F330" t="str">
            <v>Válvula de Bola 20" clase 900</v>
          </cell>
          <cell r="G330" t="str">
            <v>c/u</v>
          </cell>
          <cell r="H330">
            <v>1</v>
          </cell>
          <cell r="J330">
            <v>150860.43940979298</v>
          </cell>
          <cell r="K330">
            <v>72</v>
          </cell>
          <cell r="L330">
            <v>581.11111111111109</v>
          </cell>
          <cell r="M330" t="str">
            <v>I</v>
          </cell>
        </row>
        <row r="331">
          <cell r="E331">
            <v>3418.11</v>
          </cell>
          <cell r="F331" t="str">
            <v>Válvula de Bola 20" clase 300</v>
          </cell>
          <cell r="G331" t="str">
            <v>c/u</v>
          </cell>
          <cell r="H331">
            <v>1</v>
          </cell>
          <cell r="J331">
            <v>78037.368392337856</v>
          </cell>
          <cell r="K331">
            <v>72</v>
          </cell>
          <cell r="L331">
            <v>581.11111111111109</v>
          </cell>
          <cell r="M331" t="str">
            <v>I</v>
          </cell>
        </row>
        <row r="332">
          <cell r="E332">
            <v>3418.2</v>
          </cell>
          <cell r="F332" t="str">
            <v>Válvula de Bola 24" clase 900</v>
          </cell>
          <cell r="G332" t="str">
            <v>c/u</v>
          </cell>
          <cell r="H332">
            <v>1</v>
          </cell>
          <cell r="J332">
            <v>168300</v>
          </cell>
          <cell r="K332">
            <v>72</v>
          </cell>
          <cell r="L332">
            <v>581.11111111111109</v>
          </cell>
          <cell r="M332" t="str">
            <v>I</v>
          </cell>
        </row>
        <row r="333">
          <cell r="E333">
            <v>3418.21</v>
          </cell>
          <cell r="F333" t="str">
            <v>Válvula de Bola 24" clase 300</v>
          </cell>
          <cell r="G333" t="str">
            <v>c/u</v>
          </cell>
          <cell r="H333">
            <v>1</v>
          </cell>
          <cell r="J333">
            <v>87058.536696651689</v>
          </cell>
          <cell r="K333">
            <v>72</v>
          </cell>
          <cell r="L333">
            <v>581.11111111111109</v>
          </cell>
          <cell r="M333" t="str">
            <v>I</v>
          </cell>
        </row>
        <row r="334">
          <cell r="E334">
            <v>3418.3</v>
          </cell>
          <cell r="F334" t="str">
            <v>Válvula de Bola 12" clase 900</v>
          </cell>
          <cell r="G334" t="str">
            <v>c/u</v>
          </cell>
          <cell r="H334">
            <v>1</v>
          </cell>
          <cell r="J334">
            <v>111022.56256991469</v>
          </cell>
          <cell r="K334">
            <v>39.49999999999995</v>
          </cell>
          <cell r="L334">
            <v>188.97499999999999</v>
          </cell>
          <cell r="M334" t="str">
            <v>I</v>
          </cell>
        </row>
        <row r="335">
          <cell r="E335">
            <v>3418.31</v>
          </cell>
          <cell r="F335" t="str">
            <v>Válvula de Bola 12" clase 300</v>
          </cell>
          <cell r="G335" t="str">
            <v>c/u</v>
          </cell>
          <cell r="H335">
            <v>1</v>
          </cell>
          <cell r="J335">
            <v>57429.957442954401</v>
          </cell>
          <cell r="K335">
            <v>39.49999999999995</v>
          </cell>
          <cell r="L335">
            <v>188.97499999999999</v>
          </cell>
          <cell r="M335" t="str">
            <v>I</v>
          </cell>
        </row>
        <row r="338">
          <cell r="F338" t="str">
            <v>Valvula Check</v>
          </cell>
        </row>
        <row r="339">
          <cell r="E339">
            <v>3419</v>
          </cell>
          <cell r="F339" t="str">
            <v>Válvula check 20"  ANSI 150 exist. Reubcada</v>
          </cell>
          <cell r="G339" t="str">
            <v>c/u</v>
          </cell>
          <cell r="H339">
            <v>1</v>
          </cell>
          <cell r="K339">
            <v>72</v>
          </cell>
          <cell r="L339">
            <v>719.59828454516844</v>
          </cell>
          <cell r="M339" t="str">
            <v>I</v>
          </cell>
        </row>
        <row r="341">
          <cell r="E341">
            <v>3420</v>
          </cell>
          <cell r="F341" t="str">
            <v>Valvulas Compuerta</v>
          </cell>
        </row>
        <row r="342">
          <cell r="E342">
            <v>3421</v>
          </cell>
          <cell r="F342" t="str">
            <v>Valvula compuerta 4"</v>
          </cell>
          <cell r="G342" t="str">
            <v>c/u</v>
          </cell>
          <cell r="H342">
            <v>1</v>
          </cell>
          <cell r="J342">
            <v>385.51372048500326</v>
          </cell>
          <cell r="K342">
            <v>10</v>
          </cell>
          <cell r="L342">
            <v>57.923304873570451</v>
          </cell>
          <cell r="M342" t="str">
            <v>I</v>
          </cell>
        </row>
        <row r="343">
          <cell r="E343">
            <v>3422</v>
          </cell>
          <cell r="F343" t="str">
            <v>Valvula compuerta 6"</v>
          </cell>
          <cell r="G343" t="str">
            <v>c/u</v>
          </cell>
          <cell r="H343">
            <v>1</v>
          </cell>
          <cell r="J343">
            <v>614.61901723037658</v>
          </cell>
          <cell r="K343">
            <v>14</v>
          </cell>
          <cell r="L343">
            <v>91.782032315601725</v>
          </cell>
          <cell r="M343" t="str">
            <v>I</v>
          </cell>
        </row>
        <row r="344">
          <cell r="E344">
            <v>3423</v>
          </cell>
          <cell r="F344" t="str">
            <v>Valvula compuerta 8" Acero ANSI 150</v>
          </cell>
          <cell r="G344" t="str">
            <v>c/u</v>
          </cell>
          <cell r="H344">
            <v>1</v>
          </cell>
          <cell r="J344">
            <v>1271.7440614200125</v>
          </cell>
          <cell r="K344">
            <v>18</v>
          </cell>
          <cell r="L344">
            <v>108.30435749134404</v>
          </cell>
          <cell r="M344" t="str">
            <v>I</v>
          </cell>
        </row>
        <row r="345">
          <cell r="E345">
            <v>3423.1</v>
          </cell>
          <cell r="F345" t="str">
            <v>Valvula compuerta 10" Acero ANSI 150</v>
          </cell>
          <cell r="G345" t="str">
            <v>c/u</v>
          </cell>
          <cell r="H345">
            <v>1</v>
          </cell>
          <cell r="J345">
            <v>1453.9374601148693</v>
          </cell>
          <cell r="K345">
            <v>18</v>
          </cell>
          <cell r="L345">
            <v>123.82032456633701</v>
          </cell>
          <cell r="M345" t="str">
            <v>I</v>
          </cell>
        </row>
        <row r="346">
          <cell r="E346">
            <v>3424</v>
          </cell>
          <cell r="F346" t="str">
            <v>Valvula compuerta 12"</v>
          </cell>
          <cell r="G346" t="str">
            <v>c/u</v>
          </cell>
          <cell r="H346">
            <v>1</v>
          </cell>
          <cell r="J346">
            <v>1622.0135344604346</v>
          </cell>
          <cell r="K346">
            <v>26.333333333333332</v>
          </cell>
          <cell r="L346">
            <v>156.00698182247405</v>
          </cell>
          <cell r="M346" t="str">
            <v>I</v>
          </cell>
        </row>
        <row r="347">
          <cell r="E347">
            <v>3425</v>
          </cell>
          <cell r="F347" t="str">
            <v>Valvula compuerta 14"</v>
          </cell>
          <cell r="G347" t="str">
            <v>c/u</v>
          </cell>
          <cell r="H347">
            <v>1</v>
          </cell>
          <cell r="J347">
            <v>1779.1908954730031</v>
          </cell>
          <cell r="K347">
            <v>31</v>
          </cell>
          <cell r="L347">
            <v>196.51591648305529</v>
          </cell>
          <cell r="M347" t="str">
            <v>I</v>
          </cell>
        </row>
        <row r="348">
          <cell r="E348">
            <v>3430</v>
          </cell>
          <cell r="F348" t="str">
            <v>Valvulas Cono</v>
          </cell>
        </row>
        <row r="349">
          <cell r="E349">
            <v>3431</v>
          </cell>
          <cell r="F349" t="str">
            <v>Valvula de cono 1,5"</v>
          </cell>
          <cell r="G349" t="str">
            <v>c/u</v>
          </cell>
          <cell r="H349">
            <v>1</v>
          </cell>
          <cell r="J349">
            <v>92.930912941978804</v>
          </cell>
          <cell r="K349">
            <v>5.333333333333333</v>
          </cell>
          <cell r="L349">
            <v>24.495694313293466</v>
          </cell>
        </row>
        <row r="350">
          <cell r="E350">
            <v>3432</v>
          </cell>
          <cell r="F350" t="str">
            <v>Valvula de cono 4"</v>
          </cell>
          <cell r="G350" t="str">
            <v>c/u</v>
          </cell>
          <cell r="H350">
            <v>1</v>
          </cell>
          <cell r="J350">
            <v>1542.054881940013</v>
          </cell>
          <cell r="K350">
            <v>9.5</v>
          </cell>
          <cell r="L350">
            <v>62.908667112580005</v>
          </cell>
          <cell r="M350" t="str">
            <v>I</v>
          </cell>
        </row>
        <row r="351">
          <cell r="E351">
            <v>3440</v>
          </cell>
          <cell r="F351" t="str">
            <v>Valvulas Cuchillo</v>
          </cell>
        </row>
        <row r="352">
          <cell r="E352">
            <v>3441</v>
          </cell>
          <cell r="F352" t="str">
            <v>Valvula cuchillo 8"</v>
          </cell>
          <cell r="G352" t="str">
            <v>c/u</v>
          </cell>
          <cell r="H352">
            <v>1</v>
          </cell>
          <cell r="J352">
            <v>799.74474740321057</v>
          </cell>
          <cell r="K352">
            <v>18</v>
          </cell>
          <cell r="L352">
            <v>107.00412732137237</v>
          </cell>
          <cell r="M352" t="str">
            <v>I</v>
          </cell>
        </row>
        <row r="353">
          <cell r="E353">
            <v>3442</v>
          </cell>
          <cell r="F353" t="str">
            <v>Valvula cuchillo 10" ANSI 150</v>
          </cell>
          <cell r="G353" t="str">
            <v>c/u</v>
          </cell>
          <cell r="H353">
            <v>1</v>
          </cell>
          <cell r="J353">
            <v>989.73428811247516</v>
          </cell>
          <cell r="K353">
            <v>22.25</v>
          </cell>
          <cell r="L353">
            <v>133.67489803011227</v>
          </cell>
          <cell r="M353" t="str">
            <v>I</v>
          </cell>
        </row>
        <row r="354">
          <cell r="E354">
            <v>3443</v>
          </cell>
          <cell r="F354" t="str">
            <v>Valvula cuchillo 12" ANSI 150</v>
          </cell>
          <cell r="G354" t="str">
            <v>c/u</v>
          </cell>
          <cell r="H354">
            <v>1</v>
          </cell>
          <cell r="J354">
            <v>1945.3461336690798</v>
          </cell>
          <cell r="K354">
            <v>26.5</v>
          </cell>
          <cell r="L354">
            <v>160.34566873885217</v>
          </cell>
          <cell r="M354" t="str">
            <v>I</v>
          </cell>
        </row>
        <row r="355">
          <cell r="E355">
            <v>3444</v>
          </cell>
          <cell r="F355" t="str">
            <v>Valvula cuchillo 14" ANSI 150 tipo waffe</v>
          </cell>
          <cell r="G355" t="str">
            <v>c/u</v>
          </cell>
          <cell r="H355">
            <v>1</v>
          </cell>
          <cell r="J355">
            <v>2361.4862901321999</v>
          </cell>
          <cell r="K355">
            <v>31.25</v>
          </cell>
          <cell r="L355">
            <v>265.89592317175533</v>
          </cell>
          <cell r="M355" t="str">
            <v>I</v>
          </cell>
        </row>
        <row r="356">
          <cell r="E356">
            <v>3445</v>
          </cell>
          <cell r="F356" t="str">
            <v>Valvula cuchillo 16" Neumática</v>
          </cell>
          <cell r="G356" t="str">
            <v>c/u</v>
          </cell>
          <cell r="H356">
            <v>1</v>
          </cell>
          <cell r="K356">
            <v>36</v>
          </cell>
          <cell r="L356">
            <v>371.44617760465849</v>
          </cell>
          <cell r="M356" t="str">
            <v>I</v>
          </cell>
        </row>
        <row r="357">
          <cell r="E357">
            <v>3446</v>
          </cell>
          <cell r="F357" t="str">
            <v>Valvula cuchillo 20" ANSI 300</v>
          </cell>
          <cell r="G357" t="str">
            <v>c/u</v>
          </cell>
          <cell r="H357">
            <v>1</v>
          </cell>
          <cell r="J357">
            <v>17390.786338259684</v>
          </cell>
          <cell r="K357">
            <v>48</v>
          </cell>
          <cell r="L357">
            <v>479.7321896967789</v>
          </cell>
          <cell r="M357" t="str">
            <v>I</v>
          </cell>
        </row>
        <row r="358">
          <cell r="E358">
            <v>3447</v>
          </cell>
          <cell r="F358" t="str">
            <v>Valvula cuchillo 24" ANSI 300</v>
          </cell>
          <cell r="G358" t="str">
            <v>c/u</v>
          </cell>
          <cell r="H358">
            <v>1</v>
          </cell>
          <cell r="J358">
            <v>19401.172051333095</v>
          </cell>
          <cell r="K358">
            <v>55.25</v>
          </cell>
          <cell r="L358">
            <v>552.19173918222998</v>
          </cell>
          <cell r="M358" t="str">
            <v>I</v>
          </cell>
        </row>
        <row r="359">
          <cell r="E359">
            <v>3448</v>
          </cell>
          <cell r="F359" t="str">
            <v>Valvula cuchillo 4"</v>
          </cell>
          <cell r="G359" t="str">
            <v>c/u</v>
          </cell>
          <cell r="H359">
            <v>1</v>
          </cell>
          <cell r="J359">
            <v>527.63476039880322</v>
          </cell>
          <cell r="K359">
            <v>11.875571196956049</v>
          </cell>
          <cell r="L359">
            <v>70.596396242950405</v>
          </cell>
          <cell r="M359" t="str">
            <v>I</v>
          </cell>
        </row>
        <row r="360">
          <cell r="E360">
            <v>3448.1</v>
          </cell>
          <cell r="F360" t="str">
            <v>Valvula cuchillo 6"</v>
          </cell>
          <cell r="G360" t="str">
            <v>c/u</v>
          </cell>
          <cell r="H360">
            <v>1</v>
          </cell>
          <cell r="J360">
            <v>672.9583007944525</v>
          </cell>
          <cell r="K360">
            <v>15.146394463523693</v>
          </cell>
          <cell r="L360">
            <v>90.040373424145486</v>
          </cell>
          <cell r="M360" t="str">
            <v>I</v>
          </cell>
        </row>
        <row r="361">
          <cell r="E361">
            <v>3448</v>
          </cell>
          <cell r="F361" t="str">
            <v>Valvula Globo</v>
          </cell>
        </row>
        <row r="362">
          <cell r="E362">
            <v>3449</v>
          </cell>
          <cell r="F362" t="str">
            <v>Valvula de Globo 3"</v>
          </cell>
          <cell r="G362" t="str">
            <v>c/u</v>
          </cell>
          <cell r="H362">
            <v>1</v>
          </cell>
          <cell r="J362">
            <v>271.19545037246877</v>
          </cell>
          <cell r="K362">
            <v>8.5</v>
          </cell>
          <cell r="L362">
            <v>44.370641197146156</v>
          </cell>
        </row>
        <row r="363">
          <cell r="E363">
            <v>3450</v>
          </cell>
          <cell r="F363" t="str">
            <v>Valvula de Globo 2,5"</v>
          </cell>
          <cell r="G363" t="str">
            <v>c/u</v>
          </cell>
          <cell r="H363">
            <v>1</v>
          </cell>
          <cell r="J363">
            <v>270.98906463120346</v>
          </cell>
          <cell r="K363">
            <v>8</v>
          </cell>
          <cell r="L363">
            <v>43.987680988353794</v>
          </cell>
        </row>
        <row r="364">
          <cell r="E364">
            <v>3451</v>
          </cell>
          <cell r="F364" t="str">
            <v>Valvula de Globo 4" Acero  ANSI 150</v>
          </cell>
          <cell r="G364" t="str">
            <v>c/u</v>
          </cell>
          <cell r="H364">
            <v>1</v>
          </cell>
          <cell r="J364">
            <v>988.84269304403335</v>
          </cell>
          <cell r="K364">
            <v>10</v>
          </cell>
          <cell r="L364">
            <v>63.952061693421463</v>
          </cell>
          <cell r="M364" t="str">
            <v>I</v>
          </cell>
        </row>
        <row r="365">
          <cell r="E365">
            <v>3452</v>
          </cell>
          <cell r="F365" t="str">
            <v>Valvula de Globo 6"</v>
          </cell>
          <cell r="G365" t="str">
            <v>c/u</v>
          </cell>
          <cell r="H365">
            <v>1</v>
          </cell>
          <cell r="J365">
            <v>1026.0172303765157</v>
          </cell>
          <cell r="K365">
            <v>14</v>
          </cell>
          <cell r="L365">
            <v>93.112073759311727</v>
          </cell>
          <cell r="M365" t="str">
            <v>I</v>
          </cell>
        </row>
        <row r="366">
          <cell r="E366">
            <v>3452.1</v>
          </cell>
          <cell r="F366" t="str">
            <v>Valvula de Globo 10"</v>
          </cell>
          <cell r="G366" t="str">
            <v>c/u</v>
          </cell>
          <cell r="H366">
            <v>1</v>
          </cell>
          <cell r="J366">
            <v>1394.0036275664806</v>
          </cell>
          <cell r="K366">
            <v>19.021172557471534</v>
          </cell>
          <cell r="L366">
            <v>126.50720158284896</v>
          </cell>
          <cell r="M366" t="str">
            <v>I</v>
          </cell>
        </row>
        <row r="367">
          <cell r="F367" t="str">
            <v>Valvulas Mariposa</v>
          </cell>
        </row>
        <row r="368">
          <cell r="E368">
            <v>3453</v>
          </cell>
          <cell r="F368" t="str">
            <v>Valvula mariposa 3" y menores Acero, ANSI 150</v>
          </cell>
          <cell r="G368" t="str">
            <v>c/u</v>
          </cell>
          <cell r="H368">
            <v>1</v>
          </cell>
          <cell r="J368">
            <v>401.32521709814017</v>
          </cell>
          <cell r="K368">
            <v>8.078077047212636</v>
          </cell>
          <cell r="L368">
            <v>51.459360474799873</v>
          </cell>
          <cell r="M368" t="str">
            <v>I</v>
          </cell>
        </row>
        <row r="369">
          <cell r="E369">
            <v>3454</v>
          </cell>
          <cell r="F369" t="str">
            <v>Valvula mariposa 4" Acero, ANSI 150</v>
          </cell>
          <cell r="G369" t="str">
            <v>c/u</v>
          </cell>
          <cell r="H369">
            <v>1</v>
          </cell>
          <cell r="J369">
            <v>476.93554562858975</v>
          </cell>
          <cell r="K369">
            <v>9.6</v>
          </cell>
          <cell r="L369">
            <v>61.154388311824569</v>
          </cell>
          <cell r="M369" t="str">
            <v>I</v>
          </cell>
        </row>
        <row r="370">
          <cell r="E370">
            <v>3455</v>
          </cell>
          <cell r="F370" t="str">
            <v>Valvula mariposa 6" Acero, ANSI 150</v>
          </cell>
          <cell r="G370" t="str">
            <v>c/u</v>
          </cell>
          <cell r="H370">
            <v>1</v>
          </cell>
          <cell r="J370">
            <v>529.3213529036376</v>
          </cell>
          <cell r="K370">
            <v>14.333333333333334</v>
          </cell>
          <cell r="L370">
            <v>89.119656253278777</v>
          </cell>
          <cell r="M370" t="str">
            <v>I</v>
          </cell>
        </row>
        <row r="371">
          <cell r="E371">
            <v>3456</v>
          </cell>
          <cell r="F371" t="str">
            <v>Valvula mariposa 8" Acero, ANSI 150</v>
          </cell>
          <cell r="G371" t="str">
            <v>c/u</v>
          </cell>
          <cell r="H371">
            <v>1</v>
          </cell>
          <cell r="J371">
            <v>771.02744097000652</v>
          </cell>
          <cell r="K371">
            <v>18</v>
          </cell>
          <cell r="L371">
            <v>106.16253213199035</v>
          </cell>
          <cell r="M371" t="str">
            <v>I</v>
          </cell>
        </row>
        <row r="372">
          <cell r="E372">
            <v>3457</v>
          </cell>
          <cell r="F372" t="str">
            <v>Valvula mariposa 10" Acero, ANSI 150</v>
          </cell>
          <cell r="G372" t="str">
            <v>c/u</v>
          </cell>
          <cell r="H372">
            <v>1</v>
          </cell>
          <cell r="J372">
            <v>1393.1364390555202</v>
          </cell>
          <cell r="K372">
            <v>21.666666666666668</v>
          </cell>
          <cell r="L372">
            <v>132.2107058545798</v>
          </cell>
          <cell r="M372" t="str">
            <v>I</v>
          </cell>
        </row>
        <row r="373">
          <cell r="E373">
            <v>3458</v>
          </cell>
          <cell r="F373" t="str">
            <v>Valvula mariposa 12"</v>
          </cell>
          <cell r="G373" t="str">
            <v>c/u</v>
          </cell>
          <cell r="H373">
            <v>1</v>
          </cell>
          <cell r="J373">
            <v>2217.188538608807</v>
          </cell>
          <cell r="K373">
            <v>26.333333333333332</v>
          </cell>
          <cell r="L373">
            <v>154.56686798342253</v>
          </cell>
          <cell r="M373" t="str">
            <v>I</v>
          </cell>
        </row>
        <row r="374">
          <cell r="E374">
            <v>3459</v>
          </cell>
          <cell r="F374" t="str">
            <v>Valvula mariposa 14"</v>
          </cell>
          <cell r="G374" t="str">
            <v>c/u</v>
          </cell>
          <cell r="H374">
            <v>1</v>
          </cell>
          <cell r="J374">
            <v>3142.355379706446</v>
          </cell>
          <cell r="K374">
            <v>31</v>
          </cell>
          <cell r="L374">
            <v>195.76375511488826</v>
          </cell>
          <cell r="M374" t="str">
            <v>I</v>
          </cell>
        </row>
        <row r="375">
          <cell r="E375">
            <v>3460</v>
          </cell>
          <cell r="F375" t="str">
            <v>Valvula mariposa 24"</v>
          </cell>
          <cell r="G375" t="str">
            <v>c/u</v>
          </cell>
          <cell r="H375">
            <v>1</v>
          </cell>
          <cell r="J375">
            <v>8319.0666624122532</v>
          </cell>
          <cell r="K375">
            <v>55.25</v>
          </cell>
          <cell r="L375">
            <v>418.19713435106496</v>
          </cell>
          <cell r="M375" t="str">
            <v>I</v>
          </cell>
        </row>
        <row r="376">
          <cell r="E376">
            <v>3460.1</v>
          </cell>
          <cell r="F376" t="str">
            <v>Valvula mariposa 16" Control</v>
          </cell>
          <cell r="G376" t="str">
            <v>c/u</v>
          </cell>
          <cell r="H376">
            <v>1</v>
          </cell>
          <cell r="J376">
            <v>9317.6949169543896</v>
          </cell>
          <cell r="K376">
            <v>55.25</v>
          </cell>
          <cell r="L376">
            <v>418.19713435106496</v>
          </cell>
          <cell r="M376" t="str">
            <v>I</v>
          </cell>
        </row>
        <row r="377">
          <cell r="E377">
            <v>3460.2</v>
          </cell>
          <cell r="F377" t="str">
            <v>Valvula mariposa 18" Control</v>
          </cell>
          <cell r="G377" t="str">
            <v>c/u</v>
          </cell>
          <cell r="H377">
            <v>1</v>
          </cell>
          <cell r="J377">
            <v>10000</v>
          </cell>
          <cell r="K377">
            <v>55.25</v>
          </cell>
          <cell r="L377">
            <v>418.19713435106496</v>
          </cell>
          <cell r="M377" t="str">
            <v>I</v>
          </cell>
        </row>
        <row r="378">
          <cell r="E378">
            <v>3461</v>
          </cell>
          <cell r="F378" t="str">
            <v>Valvula mariposa  control 4" Acero, ANSI 150</v>
          </cell>
          <cell r="G378" t="str">
            <v>c/u</v>
          </cell>
          <cell r="H378">
            <v>1</v>
          </cell>
          <cell r="J378">
            <v>476.93554562858975</v>
          </cell>
          <cell r="K378">
            <v>9.6</v>
          </cell>
          <cell r="L378">
            <v>61.154388311824569</v>
          </cell>
          <cell r="M378" t="str">
            <v>I</v>
          </cell>
        </row>
        <row r="379">
          <cell r="E379">
            <v>3462</v>
          </cell>
          <cell r="F379" t="str">
            <v>Valvula mariposa  control 6" Acero, ANSI 150</v>
          </cell>
          <cell r="G379" t="str">
            <v>c/u</v>
          </cell>
          <cell r="H379">
            <v>1</v>
          </cell>
          <cell r="J379">
            <v>529.3213529036376</v>
          </cell>
          <cell r="K379">
            <v>14.333333333333334</v>
          </cell>
          <cell r="L379">
            <v>89.119656253278777</v>
          </cell>
          <cell r="M379" t="str">
            <v>I</v>
          </cell>
        </row>
        <row r="380">
          <cell r="E380">
            <v>3463</v>
          </cell>
          <cell r="F380" t="str">
            <v>Valvula mariposa 500 mm Acero, ANSI 150</v>
          </cell>
          <cell r="G380" t="str">
            <v>c/u</v>
          </cell>
          <cell r="H380">
            <v>1</v>
          </cell>
          <cell r="J380">
            <v>6224.603663050415</v>
          </cell>
          <cell r="K380">
            <v>49.524891725437087</v>
          </cell>
          <cell r="L380">
            <v>374.86276558596478</v>
          </cell>
          <cell r="M380" t="str">
            <v>I</v>
          </cell>
        </row>
        <row r="381">
          <cell r="E381">
            <v>3468</v>
          </cell>
          <cell r="F381" t="str">
            <v>Válvula mariposa 30" ANSI 150 exist. Reubicada</v>
          </cell>
          <cell r="G381" t="str">
            <v>c/u</v>
          </cell>
          <cell r="H381">
            <v>1</v>
          </cell>
          <cell r="K381">
            <v>90.350000000000009</v>
          </cell>
          <cell r="L381">
            <v>720.00486445546107</v>
          </cell>
          <cell r="M381" t="str">
            <v>I</v>
          </cell>
        </row>
        <row r="382">
          <cell r="E382">
            <v>3470</v>
          </cell>
          <cell r="F382" t="str">
            <v>Valvulas Pinch</v>
          </cell>
        </row>
        <row r="383">
          <cell r="E383">
            <v>3471</v>
          </cell>
          <cell r="F383" t="str">
            <v>Valvula Pinch 12"</v>
          </cell>
          <cell r="G383" t="str">
            <v>c/u</v>
          </cell>
          <cell r="H383">
            <v>1</v>
          </cell>
          <cell r="J383">
            <v>2070.3315745498071</v>
          </cell>
          <cell r="K383">
            <v>26.333333333333332</v>
          </cell>
          <cell r="L383">
            <v>171.05938188542649</v>
          </cell>
          <cell r="M383" t="str">
            <v>I</v>
          </cell>
        </row>
        <row r="384">
          <cell r="E384">
            <v>3472</v>
          </cell>
          <cell r="F384" t="str">
            <v>Valvula Pinch 14"</v>
          </cell>
          <cell r="G384" t="str">
            <v>c/u</v>
          </cell>
          <cell r="H384">
            <v>1</v>
          </cell>
          <cell r="J384">
            <v>2586.4628003357466</v>
          </cell>
          <cell r="K384">
            <v>31.333333333333332</v>
          </cell>
          <cell r="L384">
            <v>213.14372770433323</v>
          </cell>
          <cell r="M384" t="str">
            <v>I</v>
          </cell>
        </row>
        <row r="385">
          <cell r="E385">
            <v>3473</v>
          </cell>
          <cell r="F385" t="str">
            <v>Valvula Pinch 16"</v>
          </cell>
          <cell r="G385" t="str">
            <v>c/u</v>
          </cell>
          <cell r="H385">
            <v>1</v>
          </cell>
          <cell r="J385">
            <v>2802.2146856332051</v>
          </cell>
          <cell r="K385">
            <v>36</v>
          </cell>
          <cell r="L385">
            <v>256.39300637393768</v>
          </cell>
          <cell r="M385" t="str">
            <v>I</v>
          </cell>
        </row>
        <row r="386">
          <cell r="E386">
            <v>3474</v>
          </cell>
          <cell r="F386" t="str">
            <v>Valvula Pinch 22"</v>
          </cell>
          <cell r="G386" t="str">
            <v>c/u</v>
          </cell>
          <cell r="H386">
            <v>1</v>
          </cell>
          <cell r="J386">
            <v>3392.2122930431592</v>
          </cell>
          <cell r="K386">
            <v>51.625</v>
          </cell>
          <cell r="L386">
            <v>381.91452103661732</v>
          </cell>
          <cell r="M386" t="str">
            <v>I</v>
          </cell>
        </row>
        <row r="387">
          <cell r="E387">
            <v>3475</v>
          </cell>
          <cell r="F387" t="str">
            <v>Valvula Pinch 24"</v>
          </cell>
          <cell r="G387" t="str">
            <v>c/u</v>
          </cell>
          <cell r="H387">
            <v>1</v>
          </cell>
          <cell r="J387">
            <v>3574.0132660699883</v>
          </cell>
          <cell r="K387">
            <v>55.25</v>
          </cell>
          <cell r="L387">
            <v>431.72457310355679</v>
          </cell>
          <cell r="M387" t="str">
            <v>I</v>
          </cell>
        </row>
        <row r="388">
          <cell r="E388">
            <v>3480</v>
          </cell>
          <cell r="F388" t="str">
            <v>Valvulas Reguladora</v>
          </cell>
        </row>
        <row r="389">
          <cell r="E389">
            <v>3481</v>
          </cell>
          <cell r="F389" t="str">
            <v>Valvula Reguladora de Presión 2"</v>
          </cell>
          <cell r="G389" t="str">
            <v>c/u</v>
          </cell>
          <cell r="H389">
            <v>1</v>
          </cell>
          <cell r="J389">
            <v>101.21156751652502</v>
          </cell>
          <cell r="K389">
            <v>3</v>
          </cell>
          <cell r="L389">
            <v>46.058417925716086</v>
          </cell>
          <cell r="M389" t="str">
            <v>I</v>
          </cell>
        </row>
        <row r="390">
          <cell r="E390">
            <v>3482</v>
          </cell>
          <cell r="F390" t="str">
            <v>Valvula Reguladora de Presión 4"</v>
          </cell>
          <cell r="G390" t="str">
            <v>c/u</v>
          </cell>
          <cell r="H390">
            <v>1</v>
          </cell>
          <cell r="J390">
            <v>1414.2075175494579</v>
          </cell>
          <cell r="K390">
            <v>9.6666666666666661</v>
          </cell>
          <cell r="L390">
            <v>92.630507029692581</v>
          </cell>
          <cell r="M390" t="str">
            <v>I</v>
          </cell>
        </row>
        <row r="391">
          <cell r="E391">
            <v>3483</v>
          </cell>
          <cell r="F391" t="str">
            <v>Valvula Reguladora de Presión 6"</v>
          </cell>
          <cell r="G391" t="str">
            <v>c/u</v>
          </cell>
          <cell r="H391">
            <v>1</v>
          </cell>
          <cell r="J391">
            <v>1803.7149168517565</v>
          </cell>
          <cell r="K391">
            <v>14</v>
          </cell>
          <cell r="L391">
            <v>121.5933060539293</v>
          </cell>
          <cell r="M391" t="str">
            <v>I</v>
          </cell>
        </row>
        <row r="392">
          <cell r="E392">
            <v>3484</v>
          </cell>
          <cell r="F392" t="str">
            <v>Valvula Reguladora de Presión 10"</v>
          </cell>
          <cell r="G392" t="str">
            <v>c/u</v>
          </cell>
          <cell r="H392">
            <v>1</v>
          </cell>
          <cell r="J392">
            <v>2450.6266198516196</v>
          </cell>
          <cell r="K392">
            <v>22</v>
          </cell>
          <cell r="L392">
            <v>165.32873780295876</v>
          </cell>
          <cell r="M392" t="str">
            <v>I</v>
          </cell>
        </row>
        <row r="393">
          <cell r="F393" t="str">
            <v>P.ESPECIALES</v>
          </cell>
        </row>
        <row r="394">
          <cell r="E394">
            <v>3500</v>
          </cell>
          <cell r="F394" t="str">
            <v>Piezas especiales</v>
          </cell>
          <cell r="G394" t="str">
            <v>Ton</v>
          </cell>
          <cell r="H394">
            <v>1</v>
          </cell>
          <cell r="J394">
            <v>8000</v>
          </cell>
          <cell r="K394">
            <v>300</v>
          </cell>
          <cell r="L394">
            <v>1680</v>
          </cell>
          <cell r="M394" t="str">
            <v>I</v>
          </cell>
        </row>
        <row r="396">
          <cell r="E396">
            <v>3800</v>
          </cell>
          <cell r="F396" t="str">
            <v>FITTING</v>
          </cell>
        </row>
        <row r="397">
          <cell r="E397">
            <v>3800.1</v>
          </cell>
          <cell r="F397" t="str">
            <v>Fitting</v>
          </cell>
          <cell r="G397" t="str">
            <v>kg</v>
          </cell>
        </row>
        <row r="398">
          <cell r="F398" t="str">
            <v>Codo 45</v>
          </cell>
        </row>
        <row r="399">
          <cell r="E399">
            <v>3801</v>
          </cell>
          <cell r="F399" t="str">
            <v>Codo 45 ASTM A234 Gr WPB 10"</v>
          </cell>
          <cell r="G399" t="str">
            <v>c/u</v>
          </cell>
          <cell r="H399">
            <v>1</v>
          </cell>
          <cell r="J399">
            <v>45.149164007657951</v>
          </cell>
          <cell r="K399">
            <v>7.8921874999999995</v>
          </cell>
          <cell r="L399">
            <v>55.635137204850039</v>
          </cell>
        </row>
        <row r="400">
          <cell r="E400">
            <v>3802</v>
          </cell>
          <cell r="F400" t="str">
            <v>Codo 45 ASTM A234 Gr WPB 12"</v>
          </cell>
          <cell r="G400" t="str">
            <v>c/u</v>
          </cell>
          <cell r="H400">
            <v>1</v>
          </cell>
          <cell r="J400">
            <v>64.755290363752394</v>
          </cell>
          <cell r="K400">
            <v>11.9078125</v>
          </cell>
          <cell r="L400">
            <v>83.942858966177425</v>
          </cell>
        </row>
        <row r="401">
          <cell r="E401">
            <v>3803</v>
          </cell>
          <cell r="F401" t="str">
            <v>Codo 45 ASTM A234 Gr WPB 14"</v>
          </cell>
          <cell r="G401" t="str">
            <v>c/u</v>
          </cell>
          <cell r="H401">
            <v>1</v>
          </cell>
          <cell r="J401">
            <v>106.40178685386088</v>
          </cell>
          <cell r="K401">
            <v>12.25</v>
          </cell>
          <cell r="L401">
            <v>86.355073388640733</v>
          </cell>
        </row>
        <row r="402">
          <cell r="E402">
            <v>3804</v>
          </cell>
          <cell r="F402" t="str">
            <v>Codo 45 ducto A42-27 800mm e=8mm</v>
          </cell>
          <cell r="G402" t="str">
            <v>c/u</v>
          </cell>
          <cell r="H402">
            <v>1</v>
          </cell>
          <cell r="J402">
            <v>152.6065090776051</v>
          </cell>
          <cell r="K402">
            <v>19.352274701870215</v>
          </cell>
          <cell r="L402">
            <v>0</v>
          </cell>
        </row>
        <row r="403">
          <cell r="E403">
            <v>3807</v>
          </cell>
          <cell r="F403" t="str">
            <v>Codo 45 ASTM A234 Gr WPB 3" y menores</v>
          </cell>
          <cell r="G403" t="str">
            <v>c/u</v>
          </cell>
          <cell r="H403">
            <v>1</v>
          </cell>
          <cell r="J403">
            <v>4.4058710912571799</v>
          </cell>
          <cell r="K403">
            <v>0.234375</v>
          </cell>
          <cell r="L403">
            <v>1.6522016592214426</v>
          </cell>
        </row>
        <row r="404">
          <cell r="E404">
            <v>3808</v>
          </cell>
          <cell r="F404" t="str">
            <v>Codo 45 ASTM A234 Gr WPB 4"</v>
          </cell>
          <cell r="G404" t="str">
            <v>c/u</v>
          </cell>
          <cell r="H404">
            <v>1</v>
          </cell>
          <cell r="J404">
            <v>10.79510951328221</v>
          </cell>
          <cell r="K404">
            <v>0.3125</v>
          </cell>
          <cell r="L404">
            <v>2.20293554562859</v>
          </cell>
        </row>
        <row r="405">
          <cell r="E405">
            <v>3809</v>
          </cell>
          <cell r="F405" t="str">
            <v>Codo 45 ASTM A234 Gr WPB 6"</v>
          </cell>
          <cell r="G405" t="str">
            <v>c/u</v>
          </cell>
          <cell r="H405">
            <v>1</v>
          </cell>
          <cell r="J405">
            <v>13.768347160178687</v>
          </cell>
          <cell r="K405">
            <v>2.109375</v>
          </cell>
          <cell r="L405">
            <v>14.869814932992982</v>
          </cell>
        </row>
        <row r="406">
          <cell r="E406">
            <v>3810</v>
          </cell>
          <cell r="F406" t="str">
            <v>Codo 45 ASTM A234 Gr WPB  8"</v>
          </cell>
          <cell r="G406" t="str">
            <v>c/u</v>
          </cell>
          <cell r="H406">
            <v>1</v>
          </cell>
          <cell r="J406">
            <v>26.908857689853225</v>
          </cell>
          <cell r="K406">
            <v>4.2296874999999998</v>
          </cell>
          <cell r="L406">
            <v>29.816732610082965</v>
          </cell>
        </row>
        <row r="407">
          <cell r="F407" t="str">
            <v>Codo 90</v>
          </cell>
        </row>
        <row r="408">
          <cell r="E408">
            <v>3820</v>
          </cell>
          <cell r="F408" t="str">
            <v>Codo 90 ASTM A234 Gr WPB 10"</v>
          </cell>
          <cell r="G408" t="str">
            <v>c/u</v>
          </cell>
          <cell r="H408">
            <v>1</v>
          </cell>
          <cell r="J408">
            <v>66.04400765794513</v>
          </cell>
          <cell r="K408">
            <v>10.162499999999998</v>
          </cell>
          <cell r="L408">
            <v>71.639463943841733</v>
          </cell>
        </row>
        <row r="409">
          <cell r="E409">
            <v>3821</v>
          </cell>
          <cell r="F409" t="str">
            <v>Codo 90 ASTM A234 Gr WPB 12"</v>
          </cell>
          <cell r="G409" t="str">
            <v>c/u</v>
          </cell>
          <cell r="H409">
            <v>1</v>
          </cell>
          <cell r="J409">
            <v>73.678736004733082</v>
          </cell>
          <cell r="K409">
            <v>17.751341675168675</v>
          </cell>
          <cell r="L409">
            <v>125.13619698824716</v>
          </cell>
        </row>
        <row r="410">
          <cell r="E410">
            <v>3822</v>
          </cell>
          <cell r="F410" t="str">
            <v>Codo 90 ASTM A234 Gr WPB 14"</v>
          </cell>
          <cell r="G410" t="str">
            <v>c/u</v>
          </cell>
          <cell r="H410">
            <v>1</v>
          </cell>
          <cell r="J410">
            <v>80.818398554970656</v>
          </cell>
          <cell r="K410">
            <v>24.707286488300351</v>
          </cell>
          <cell r="L410">
            <v>174.17139085153863</v>
          </cell>
        </row>
        <row r="411">
          <cell r="E411">
            <v>3823</v>
          </cell>
          <cell r="F411" t="str">
            <v>Codo 90 ducto A42-27 800mm e=8mm</v>
          </cell>
          <cell r="G411" t="str">
            <v>c/u</v>
          </cell>
          <cell r="H411">
            <v>1</v>
          </cell>
          <cell r="J411">
            <v>115.91359541410847</v>
          </cell>
          <cell r="K411">
            <v>39.032015939542418</v>
          </cell>
          <cell r="L411">
            <v>0</v>
          </cell>
        </row>
        <row r="412">
          <cell r="E412">
            <v>3824</v>
          </cell>
          <cell r="F412" t="str">
            <v>Codo 90 ducto A42-27 500mm e=8mm</v>
          </cell>
          <cell r="G412" t="str">
            <v>c/u</v>
          </cell>
          <cell r="H412">
            <v>1</v>
          </cell>
          <cell r="J412">
            <v>87.430384316460405</v>
          </cell>
          <cell r="K412">
            <v>29.440758368755063</v>
          </cell>
          <cell r="L412">
            <v>0</v>
          </cell>
        </row>
        <row r="413">
          <cell r="E413">
            <v>3825</v>
          </cell>
          <cell r="F413" t="str">
            <v>Codo 90 ASTM A234 Gr WPB 3" y  menores</v>
          </cell>
          <cell r="G413" t="str">
            <v>c/u</v>
          </cell>
          <cell r="H413">
            <v>1</v>
          </cell>
          <cell r="J413">
            <v>4.4058710912571799</v>
          </cell>
          <cell r="K413">
            <v>0.46875</v>
          </cell>
          <cell r="L413">
            <v>3.3044033184428852</v>
          </cell>
        </row>
        <row r="414">
          <cell r="E414">
            <v>3827</v>
          </cell>
          <cell r="F414" t="str">
            <v>Codo 90 ASTM A234 Gr WPB  4"</v>
          </cell>
          <cell r="G414" t="str">
            <v>c/u</v>
          </cell>
          <cell r="H414">
            <v>1</v>
          </cell>
          <cell r="J414">
            <v>7.9525973197192092</v>
          </cell>
          <cell r="K414">
            <v>0.91875000000000018</v>
          </cell>
          <cell r="L414">
            <v>6.4766305041480567</v>
          </cell>
        </row>
        <row r="415">
          <cell r="E415">
            <v>3828</v>
          </cell>
          <cell r="F415" t="str">
            <v>Codo 90 ASTM A234 Gr WPB  6"</v>
          </cell>
          <cell r="G415" t="str">
            <v>c/u</v>
          </cell>
          <cell r="H415">
            <v>1</v>
          </cell>
          <cell r="J415">
            <v>19.264671346522018</v>
          </cell>
          <cell r="K415">
            <v>0.30625000000000013</v>
          </cell>
          <cell r="L415">
            <v>2.1588768347160192</v>
          </cell>
        </row>
        <row r="416">
          <cell r="E416">
            <v>3829</v>
          </cell>
          <cell r="F416" t="str">
            <v>Codo 90 ASTM A234 Gr WPB  8"</v>
          </cell>
          <cell r="G416" t="str">
            <v>c/u</v>
          </cell>
          <cell r="H416">
            <v>1</v>
          </cell>
          <cell r="J416">
            <v>39.135149968091902</v>
          </cell>
          <cell r="K416">
            <v>5.2296874999999998</v>
          </cell>
          <cell r="L416">
            <v>36.866126356094455</v>
          </cell>
        </row>
        <row r="417">
          <cell r="E417">
            <v>3830</v>
          </cell>
          <cell r="F417" t="str">
            <v>Codo 90 ASTM A234 Gr WPB  10"</v>
          </cell>
          <cell r="G417" t="str">
            <v>c/u</v>
          </cell>
          <cell r="H417">
            <v>1</v>
          </cell>
          <cell r="J417">
            <v>44.741754470854929</v>
          </cell>
          <cell r="K417">
            <v>5.9789062843779739</v>
          </cell>
          <cell r="L417">
            <v>42.14766456908287</v>
          </cell>
        </row>
        <row r="418">
          <cell r="E418">
            <v>3831</v>
          </cell>
          <cell r="F418" t="str">
            <v>Codo 90 ASTM A234 Gr WPB  12"</v>
          </cell>
          <cell r="G418" t="str">
            <v>c/u</v>
          </cell>
          <cell r="H418">
            <v>1</v>
          </cell>
          <cell r="J418">
            <v>49.913929104969043</v>
          </cell>
          <cell r="K418">
            <v>6.6700715681164393</v>
          </cell>
          <cell r="L418">
            <v>47.01996079772907</v>
          </cell>
        </row>
        <row r="419">
          <cell r="E419">
            <v>3832</v>
          </cell>
          <cell r="F419" t="str">
            <v>Codo 90 ASTM A234 Gr WPB  14"</v>
          </cell>
          <cell r="G419" t="str">
            <v>c/u</v>
          </cell>
          <cell r="H419">
            <v>1</v>
          </cell>
          <cell r="J419">
            <v>54.750719605054023</v>
          </cell>
          <cell r="K419">
            <v>7.3164189780289322</v>
          </cell>
          <cell r="L419">
            <v>51.576318186916914</v>
          </cell>
        </row>
        <row r="420">
          <cell r="E420">
            <v>3833</v>
          </cell>
          <cell r="F420" t="str">
            <v>Codo 90 ASTM A234 Gr WPB  18"</v>
          </cell>
          <cell r="G420" t="str">
            <v>c/u</v>
          </cell>
          <cell r="H420">
            <v>1</v>
          </cell>
          <cell r="J420">
            <v>63.66144810297628</v>
          </cell>
          <cell r="K420">
            <v>8.5071726989031973</v>
          </cell>
          <cell r="L420">
            <v>59.970410019887865</v>
          </cell>
        </row>
        <row r="421">
          <cell r="E421">
            <v>3834</v>
          </cell>
          <cell r="F421" t="str">
            <v>Codo 90 ASTM A234 Gr WPB  20"</v>
          </cell>
          <cell r="G421" t="str">
            <v>c/u</v>
          </cell>
          <cell r="H421">
            <v>1</v>
          </cell>
          <cell r="J421">
            <v>67.815818466215489</v>
          </cell>
          <cell r="K421">
            <v>9.0623273048448247</v>
          </cell>
          <cell r="L421">
            <v>63.883913427082248</v>
          </cell>
        </row>
        <row r="422">
          <cell r="E422">
            <v>3835</v>
          </cell>
          <cell r="F422" t="str">
            <v>Codo 90 ASTM A234 Gr WPB  24"</v>
          </cell>
          <cell r="G422" t="str">
            <v>c/u</v>
          </cell>
          <cell r="H422">
            <v>1</v>
          </cell>
          <cell r="J422">
            <v>75.655369244027113</v>
          </cell>
          <cell r="K422">
            <v>10.109937975604078</v>
          </cell>
          <cell r="L422">
            <v>71.268933537787419</v>
          </cell>
        </row>
        <row r="423">
          <cell r="F423" t="str">
            <v>Flanches</v>
          </cell>
        </row>
        <row r="424">
          <cell r="E424">
            <v>3840</v>
          </cell>
          <cell r="F424" t="str">
            <v>Flange 6" ANSI 150  SO ASTM 105</v>
          </cell>
          <cell r="G424" t="str">
            <v>c/u</v>
          </cell>
          <cell r="H424">
            <v>1</v>
          </cell>
          <cell r="J424">
            <v>12.182233567326103</v>
          </cell>
          <cell r="K424">
            <v>4.1312499999999996</v>
          </cell>
          <cell r="L424">
            <v>29.122807913209957</v>
          </cell>
        </row>
        <row r="425">
          <cell r="E425">
            <v>3841</v>
          </cell>
          <cell r="F425" t="str">
            <v>Flange 10" ANSI 150 SO ASTM 105</v>
          </cell>
          <cell r="G425" t="str">
            <v>c/u</v>
          </cell>
          <cell r="H425">
            <v>1</v>
          </cell>
          <cell r="J425">
            <v>45.081561920176576</v>
          </cell>
          <cell r="K425">
            <v>8.0580272732368297</v>
          </cell>
          <cell r="L425">
            <v>56.804207065145711</v>
          </cell>
        </row>
        <row r="426">
          <cell r="E426">
            <v>3842</v>
          </cell>
          <cell r="F426" t="str">
            <v>Flange 12" ANSI 150 SO ASTM 105</v>
          </cell>
          <cell r="G426" t="str">
            <v>c/u</v>
          </cell>
          <cell r="H426">
            <v>1</v>
          </cell>
          <cell r="J426">
            <v>50.293018506700705</v>
          </cell>
          <cell r="K426">
            <v>14.740625</v>
          </cell>
          <cell r="L426">
            <v>103.91246968730059</v>
          </cell>
        </row>
        <row r="427">
          <cell r="E427">
            <v>3843</v>
          </cell>
          <cell r="F427" t="str">
            <v>Flange 3" y menores ANSI 150 SO  ASTM 105</v>
          </cell>
          <cell r="G427" t="str">
            <v>c/u</v>
          </cell>
          <cell r="H427">
            <v>1</v>
          </cell>
          <cell r="J427">
            <v>5.5073388640714747</v>
          </cell>
          <cell r="K427">
            <v>2.421875</v>
          </cell>
          <cell r="L427">
            <v>17.072750478621572</v>
          </cell>
        </row>
        <row r="428">
          <cell r="E428">
            <v>3844</v>
          </cell>
          <cell r="F428" t="str">
            <v>Flange 4" ANSI 150  SO ASTM 105</v>
          </cell>
          <cell r="G428" t="str">
            <v>c/u</v>
          </cell>
          <cell r="H428">
            <v>1</v>
          </cell>
          <cell r="J428">
            <v>8.62449266113593</v>
          </cell>
          <cell r="K428">
            <v>2.6828125000000003</v>
          </cell>
          <cell r="L428">
            <v>18.912201659221445</v>
          </cell>
        </row>
        <row r="429">
          <cell r="E429">
            <v>3844.1</v>
          </cell>
          <cell r="F429" t="str">
            <v>Flange 6" ANSI 900  SO ASTM 105</v>
          </cell>
          <cell r="G429" t="str">
            <v>c/u</v>
          </cell>
          <cell r="H429">
            <v>1</v>
          </cell>
          <cell r="J429">
            <v>74.526820251645063</v>
          </cell>
          <cell r="K429">
            <v>4.6875</v>
          </cell>
          <cell r="L429">
            <v>33.044033184428848</v>
          </cell>
        </row>
        <row r="430">
          <cell r="E430">
            <v>3845</v>
          </cell>
          <cell r="F430" t="str">
            <v>Flange 8" ANSI 150  SO ASTM 105</v>
          </cell>
          <cell r="G430" t="str">
            <v>c/u</v>
          </cell>
          <cell r="H430">
            <v>1</v>
          </cell>
          <cell r="J430">
            <v>19.23162731333759</v>
          </cell>
          <cell r="K430">
            <v>7.1156249999999996</v>
          </cell>
          <cell r="L430">
            <v>50.160842373962993</v>
          </cell>
        </row>
        <row r="431">
          <cell r="E431">
            <v>3846</v>
          </cell>
          <cell r="F431" t="str">
            <v>Flange 14" ANSI 150 SO ASTM 105</v>
          </cell>
          <cell r="G431" t="str">
            <v>c/u</v>
          </cell>
          <cell r="H431">
            <v>1</v>
          </cell>
          <cell r="J431">
            <v>55.16654376299217</v>
          </cell>
          <cell r="K431">
            <v>16.169030181555168</v>
          </cell>
          <cell r="L431">
            <v>113.98186024092601</v>
          </cell>
        </row>
        <row r="432">
          <cell r="E432">
            <v>3847</v>
          </cell>
          <cell r="F432" t="str">
            <v>Flange 18" ANSI 150 SO ASTM 105</v>
          </cell>
          <cell r="G432" t="str">
            <v>c/u</v>
          </cell>
          <cell r="H432">
            <v>1</v>
          </cell>
          <cell r="J432">
            <v>64.144948013872394</v>
          </cell>
          <cell r="K432">
            <v>18.800554279537046</v>
          </cell>
          <cell r="L432">
            <v>132.53250975971798</v>
          </cell>
        </row>
        <row r="433">
          <cell r="E433">
            <v>3848</v>
          </cell>
          <cell r="F433" t="str">
            <v>Flange 20" ANSI 150 SO ASTM 105</v>
          </cell>
          <cell r="G433" t="str">
            <v>c/u</v>
          </cell>
          <cell r="H433">
            <v>1</v>
          </cell>
          <cell r="J433">
            <v>68.330870246575955</v>
          </cell>
          <cell r="K433">
            <v>20.027426552141343</v>
          </cell>
          <cell r="L433">
            <v>141.18121548536962</v>
          </cell>
        </row>
        <row r="434">
          <cell r="E434">
            <v>3849</v>
          </cell>
          <cell r="F434" t="str">
            <v>Flange 24" ANSI 150 SO ASTM 105</v>
          </cell>
          <cell r="G434" t="str">
            <v>c/u</v>
          </cell>
          <cell r="H434">
            <v>1</v>
          </cell>
          <cell r="J434">
            <v>76.229961330420295</v>
          </cell>
          <cell r="K434">
            <v>22.342609513217337</v>
          </cell>
          <cell r="L434">
            <v>157.50185177205108</v>
          </cell>
        </row>
        <row r="435">
          <cell r="E435">
            <v>3850</v>
          </cell>
          <cell r="F435" t="str">
            <v>Flange 30" AWWA GrB ASTM 105</v>
          </cell>
          <cell r="G435" t="str">
            <v>c/u</v>
          </cell>
          <cell r="H435">
            <v>1</v>
          </cell>
          <cell r="J435">
            <v>225.83693348728181</v>
          </cell>
          <cell r="K435">
            <v>25.629090003952097</v>
          </cell>
          <cell r="L435">
            <v>180.66954678982546</v>
          </cell>
        </row>
        <row r="436">
          <cell r="E436">
            <v>3851</v>
          </cell>
          <cell r="F436" t="str">
            <v>Flange 800mm AWWA GrB</v>
          </cell>
          <cell r="G436" t="str">
            <v>c/u</v>
          </cell>
          <cell r="H436">
            <v>1</v>
          </cell>
          <cell r="J436">
            <v>205.03272003161678</v>
          </cell>
          <cell r="K436">
            <v>25.629090003952097</v>
          </cell>
          <cell r="L436">
            <v>164.02617602529344</v>
          </cell>
        </row>
        <row r="437">
          <cell r="E437">
            <v>3852</v>
          </cell>
          <cell r="F437" t="str">
            <v>Flange 500mm AWWA GrB</v>
          </cell>
          <cell r="G437" t="str">
            <v>c/u</v>
          </cell>
          <cell r="H437">
            <v>1</v>
          </cell>
          <cell r="J437">
            <v>154.65044842903393</v>
          </cell>
          <cell r="K437">
            <v>19.331306053629241</v>
          </cell>
          <cell r="L437">
            <v>123.72035874322715</v>
          </cell>
        </row>
        <row r="438">
          <cell r="F438" t="str">
            <v>Reducciónes</v>
          </cell>
        </row>
        <row r="439">
          <cell r="E439">
            <v>3860</v>
          </cell>
          <cell r="F439" t="str">
            <v>Reducción concentrica ANSI A234 Gr WPB 12"x10"</v>
          </cell>
          <cell r="G439" t="str">
            <v>c/u</v>
          </cell>
          <cell r="H439">
            <v>1</v>
          </cell>
          <cell r="J439">
            <v>41.018659859604348</v>
          </cell>
          <cell r="K439">
            <v>6.0562499999999995</v>
          </cell>
          <cell r="L439">
            <v>42.692890874282071</v>
          </cell>
        </row>
        <row r="440">
          <cell r="E440">
            <v>3861</v>
          </cell>
          <cell r="F440" t="str">
            <v>Reducción concentrica ANSI A234 Gr WPB 14"x12"</v>
          </cell>
          <cell r="G440" t="str">
            <v>c/u</v>
          </cell>
          <cell r="H440">
            <v>1</v>
          </cell>
          <cell r="J440">
            <v>91.752265475430775</v>
          </cell>
          <cell r="K440">
            <v>9.484375</v>
          </cell>
          <cell r="L440">
            <v>66.859093809827712</v>
          </cell>
        </row>
        <row r="441">
          <cell r="E441">
            <v>3862</v>
          </cell>
          <cell r="F441" t="str">
            <v>Reducción concentrica ANSI A234 Gr WPB 20"x30"</v>
          </cell>
          <cell r="G441" t="str">
            <v>c/u</v>
          </cell>
          <cell r="H441">
            <v>1</v>
          </cell>
          <cell r="J441">
            <v>605.41074664964913</v>
          </cell>
          <cell r="K441">
            <v>68.704999999999998</v>
          </cell>
          <cell r="L441">
            <v>484.32859731971928</v>
          </cell>
        </row>
        <row r="442">
          <cell r="E442">
            <v>3863</v>
          </cell>
          <cell r="F442" t="str">
            <v>Reducción concentrica ANSI A234 Gr WPB 8"x10"</v>
          </cell>
          <cell r="G442" t="str">
            <v>c/u</v>
          </cell>
          <cell r="H442">
            <v>1</v>
          </cell>
          <cell r="J442">
            <v>25.256656030631785</v>
          </cell>
          <cell r="K442">
            <v>4.6203124999999998</v>
          </cell>
          <cell r="L442">
            <v>32.570402042118701</v>
          </cell>
        </row>
        <row r="443">
          <cell r="E443">
            <v>3863.1</v>
          </cell>
          <cell r="F443" t="str">
            <v>Reducción concentrica ANSI A234 Gr WPB 6"x10"</v>
          </cell>
          <cell r="G443" t="str">
            <v>c/u</v>
          </cell>
          <cell r="H443">
            <v>1</v>
          </cell>
          <cell r="J443">
            <v>25.256656030631785</v>
          </cell>
          <cell r="K443">
            <v>3.4484374999999998</v>
          </cell>
          <cell r="L443">
            <v>24.309393746011491</v>
          </cell>
        </row>
        <row r="444">
          <cell r="E444">
            <v>3864</v>
          </cell>
          <cell r="F444" t="str">
            <v>Reducción concentrica ANSI A234 Gr WPB 6"x4"</v>
          </cell>
          <cell r="G444" t="str">
            <v>c/u</v>
          </cell>
          <cell r="H444">
            <v>1</v>
          </cell>
          <cell r="J444">
            <v>11.444250159540525</v>
          </cell>
          <cell r="K444">
            <v>1.2828125000000001</v>
          </cell>
          <cell r="L444">
            <v>9.0430504148053625</v>
          </cell>
        </row>
        <row r="445">
          <cell r="E445">
            <v>3865</v>
          </cell>
          <cell r="F445" t="str">
            <v>Reducción concentrica ANSI A234 Gr WPB 4"x3"</v>
          </cell>
          <cell r="G445" t="str">
            <v>c/u</v>
          </cell>
          <cell r="H445">
            <v>1</v>
          </cell>
          <cell r="J445">
            <v>8.8117421825143598</v>
          </cell>
          <cell r="K445">
            <v>1.09375</v>
          </cell>
          <cell r="L445">
            <v>7.7102744097000651</v>
          </cell>
        </row>
        <row r="446">
          <cell r="E446">
            <v>3870</v>
          </cell>
          <cell r="F446" t="str">
            <v>Tee ASTM A234 3" y menores</v>
          </cell>
          <cell r="G446" t="str">
            <v>c/u</v>
          </cell>
          <cell r="H446">
            <v>1</v>
          </cell>
          <cell r="J446">
            <v>11.014677728142949</v>
          </cell>
          <cell r="K446">
            <v>0.60937499999999978</v>
          </cell>
          <cell r="L446">
            <v>4.2957243139757493</v>
          </cell>
        </row>
        <row r="447">
          <cell r="E447">
            <v>3871</v>
          </cell>
          <cell r="F447" t="str">
            <v xml:space="preserve">Tee ASTM A234 3 1/2" </v>
          </cell>
          <cell r="G447" t="str">
            <v>c/u</v>
          </cell>
          <cell r="H447">
            <v>1</v>
          </cell>
          <cell r="J447">
            <v>11.014677728142949</v>
          </cell>
          <cell r="K447">
            <v>1.484375</v>
          </cell>
          <cell r="L447">
            <v>10.463943841735801</v>
          </cell>
        </row>
        <row r="448">
          <cell r="E448">
            <v>3872</v>
          </cell>
          <cell r="F448" t="str">
            <v xml:space="preserve">Tee ASTM A234  4" </v>
          </cell>
          <cell r="G448" t="str">
            <v>c/u</v>
          </cell>
          <cell r="H448">
            <v>1</v>
          </cell>
          <cell r="J448">
            <v>16.522016592214424</v>
          </cell>
          <cell r="K448">
            <v>1.7656249999999996</v>
          </cell>
          <cell r="L448">
            <v>12.44658583280153</v>
          </cell>
        </row>
        <row r="449">
          <cell r="E449">
            <v>3873</v>
          </cell>
          <cell r="F449" t="str">
            <v xml:space="preserve">Tee ASTM A234  6" </v>
          </cell>
          <cell r="G449" t="str">
            <v>c/u</v>
          </cell>
          <cell r="H449">
            <v>1</v>
          </cell>
          <cell r="J449">
            <v>44.599929438250591</v>
          </cell>
          <cell r="K449">
            <v>4.5325998126322906</v>
          </cell>
          <cell r="L449">
            <v>31.952080772342914</v>
          </cell>
        </row>
        <row r="450">
          <cell r="E450">
            <v>3874</v>
          </cell>
          <cell r="F450" t="str">
            <v xml:space="preserve">Tee ASTM A234  8" </v>
          </cell>
          <cell r="G450" t="str">
            <v>c/u</v>
          </cell>
          <cell r="H450">
            <v>1</v>
          </cell>
          <cell r="J450">
            <v>53.002629227823874</v>
          </cell>
          <cell r="K450">
            <v>14.278124999999999</v>
          </cell>
          <cell r="L450">
            <v>100.65212507977027</v>
          </cell>
        </row>
        <row r="451">
          <cell r="E451">
            <v>3875</v>
          </cell>
        </row>
        <row r="452">
          <cell r="E452">
            <v>3876</v>
          </cell>
        </row>
        <row r="453">
          <cell r="F453" t="str">
            <v>Uniones</v>
          </cell>
        </row>
        <row r="454">
          <cell r="E454">
            <v>3880</v>
          </cell>
          <cell r="F454" t="str">
            <v>Copla victaulic 77 ASTM A47 10"</v>
          </cell>
          <cell r="G454" t="str">
            <v>c/u</v>
          </cell>
          <cell r="H454">
            <v>1</v>
          </cell>
          <cell r="J454">
            <v>32.315420732347079</v>
          </cell>
          <cell r="K454">
            <v>2</v>
          </cell>
          <cell r="L454">
            <v>10</v>
          </cell>
        </row>
        <row r="455">
          <cell r="E455">
            <v>3881</v>
          </cell>
          <cell r="F455" t="str">
            <v>Junta de expansión 20" ASTM A234 Gr. WPB</v>
          </cell>
          <cell r="G455" t="str">
            <v>c/u</v>
          </cell>
          <cell r="H455">
            <v>1</v>
          </cell>
          <cell r="J455">
            <v>57.329372573706856</v>
          </cell>
          <cell r="K455">
            <v>2</v>
          </cell>
          <cell r="L455">
            <v>10</v>
          </cell>
        </row>
        <row r="456">
          <cell r="E456">
            <v>3882</v>
          </cell>
          <cell r="F456" t="str">
            <v>Copla Acero 3" y menores</v>
          </cell>
          <cell r="G456" t="str">
            <v>c/u</v>
          </cell>
          <cell r="H456">
            <v>1</v>
          </cell>
          <cell r="J456">
            <v>2.7518098835379288</v>
          </cell>
          <cell r="K456">
            <v>2</v>
          </cell>
          <cell r="L456">
            <v>3</v>
          </cell>
        </row>
        <row r="457">
          <cell r="E457">
            <v>3883</v>
          </cell>
          <cell r="F457" t="str">
            <v>Copla victaulic 77 ASTM A47 6"</v>
          </cell>
          <cell r="G457" t="str">
            <v>c/u</v>
          </cell>
          <cell r="H457">
            <v>1</v>
          </cell>
          <cell r="J457">
            <v>23.78485810408937</v>
          </cell>
          <cell r="K457">
            <v>2</v>
          </cell>
          <cell r="L457">
            <v>5</v>
          </cell>
        </row>
        <row r="458">
          <cell r="E458">
            <v>3884</v>
          </cell>
          <cell r="F458" t="str">
            <v>Copla victaulic 77 ASTM A47 8"</v>
          </cell>
          <cell r="G458" t="str">
            <v>c/u</v>
          </cell>
          <cell r="H458">
            <v>1</v>
          </cell>
          <cell r="J458">
            <v>28.265964345814886</v>
          </cell>
          <cell r="K458">
            <v>2</v>
          </cell>
          <cell r="L458">
            <v>5</v>
          </cell>
        </row>
        <row r="459">
          <cell r="E459">
            <v>3885</v>
          </cell>
          <cell r="F459" t="str">
            <v>Copla victaulic 77 ASTM A47 12"</v>
          </cell>
          <cell r="G459" t="str">
            <v>c/u</v>
          </cell>
          <cell r="H459">
            <v>1</v>
          </cell>
          <cell r="J459">
            <v>36.05110346046736</v>
          </cell>
          <cell r="K459">
            <v>2</v>
          </cell>
          <cell r="L459">
            <v>10</v>
          </cell>
        </row>
        <row r="460">
          <cell r="E460">
            <v>3886</v>
          </cell>
          <cell r="F460" t="str">
            <v>Copla victaulic 77 ASTM A47 14"</v>
          </cell>
          <cell r="G460" t="str">
            <v>c/u</v>
          </cell>
          <cell r="H460">
            <v>1</v>
          </cell>
          <cell r="J460">
            <v>39.544549836296945</v>
          </cell>
          <cell r="K460">
            <v>2</v>
          </cell>
          <cell r="L460">
            <v>12</v>
          </cell>
        </row>
        <row r="461">
          <cell r="E461">
            <v>3887</v>
          </cell>
          <cell r="F461" t="str">
            <v>Copla victaulic 77 ASTM A47 18"</v>
          </cell>
          <cell r="G461" t="str">
            <v>c/u</v>
          </cell>
          <cell r="H461">
            <v>1</v>
          </cell>
          <cell r="J461">
            <v>45.980460628075306</v>
          </cell>
          <cell r="K461">
            <v>4</v>
          </cell>
          <cell r="L461">
            <v>16</v>
          </cell>
        </row>
        <row r="462">
          <cell r="E462">
            <v>3888</v>
          </cell>
          <cell r="F462" t="str">
            <v>Copla victaulic 77 ASTM A47 20"</v>
          </cell>
          <cell r="G462" t="str">
            <v>c/u</v>
          </cell>
          <cell r="H462">
            <v>1</v>
          </cell>
          <cell r="J462">
            <v>48.981018557772046</v>
          </cell>
          <cell r="K462">
            <v>4</v>
          </cell>
          <cell r="L462">
            <v>16</v>
          </cell>
        </row>
        <row r="463">
          <cell r="E463">
            <v>3889</v>
          </cell>
          <cell r="F463" t="str">
            <v>Copla victaulic 77 ASTM A47 24"</v>
          </cell>
          <cell r="G463" t="str">
            <v>c/u</v>
          </cell>
          <cell r="H463">
            <v>1</v>
          </cell>
          <cell r="J463">
            <v>54.643254756010712</v>
          </cell>
          <cell r="K463">
            <v>4</v>
          </cell>
          <cell r="L463">
            <v>16</v>
          </cell>
        </row>
        <row r="464">
          <cell r="E464">
            <v>4000</v>
          </cell>
          <cell r="F464" t="str">
            <v>ELECTRICIDAD</v>
          </cell>
        </row>
        <row r="465">
          <cell r="E465">
            <v>4100</v>
          </cell>
          <cell r="F465" t="str">
            <v>EQUIPOS</v>
          </cell>
        </row>
        <row r="466">
          <cell r="E466">
            <v>4105</v>
          </cell>
          <cell r="F466" t="str">
            <v>Botoneras</v>
          </cell>
          <cell r="G466" t="str">
            <v>cu</v>
          </cell>
          <cell r="H466">
            <v>1</v>
          </cell>
          <cell r="K466">
            <v>18.272727272727273</v>
          </cell>
          <cell r="L466">
            <v>115.64481035568146</v>
          </cell>
        </row>
        <row r="467">
          <cell r="E467">
            <v>4110</v>
          </cell>
          <cell r="F467" t="str">
            <v>CCM Baja Tensión 3 Columnas</v>
          </cell>
          <cell r="G467" t="str">
            <v>cu</v>
          </cell>
          <cell r="H467">
            <v>1</v>
          </cell>
          <cell r="I467">
            <v>40000</v>
          </cell>
          <cell r="K467">
            <v>121</v>
          </cell>
          <cell r="L467">
            <v>903.73564290210891</v>
          </cell>
          <cell r="M467" t="str">
            <v>I</v>
          </cell>
        </row>
        <row r="468">
          <cell r="E468">
            <v>4115</v>
          </cell>
          <cell r="F468" t="str">
            <v>CCM Baja Tensión 4 Columnas</v>
          </cell>
          <cell r="G468" t="str">
            <v>cu</v>
          </cell>
          <cell r="H468">
            <v>1</v>
          </cell>
          <cell r="I468">
            <v>50000</v>
          </cell>
          <cell r="K468">
            <v>161</v>
          </cell>
          <cell r="L468">
            <v>1204.9808572028119</v>
          </cell>
          <cell r="M468" t="str">
            <v>I</v>
          </cell>
        </row>
        <row r="469">
          <cell r="E469">
            <v>4120</v>
          </cell>
          <cell r="F469" t="str">
            <v>CCM Baja Tensión 6 Columnas</v>
          </cell>
          <cell r="G469" t="str">
            <v>cu</v>
          </cell>
          <cell r="H469">
            <v>1</v>
          </cell>
          <cell r="I469">
            <v>73896.666666666672</v>
          </cell>
          <cell r="K469">
            <v>241</v>
          </cell>
          <cell r="L469">
            <v>1807.4712858042178</v>
          </cell>
          <cell r="M469" t="str">
            <v>I</v>
          </cell>
        </row>
        <row r="470">
          <cell r="E470">
            <v>4125</v>
          </cell>
          <cell r="F470" t="str">
            <v>Enchufes de Fuerza</v>
          </cell>
          <cell r="G470" t="str">
            <v>cu</v>
          </cell>
          <cell r="H470">
            <v>1</v>
          </cell>
          <cell r="J470">
            <v>685.38870134298611</v>
          </cell>
          <cell r="K470">
            <v>18.285714285714285</v>
          </cell>
          <cell r="L470">
            <v>115.64481035568146</v>
          </cell>
        </row>
        <row r="471">
          <cell r="E471">
            <v>4130</v>
          </cell>
          <cell r="F471" t="str">
            <v>Equipos alumbrado de emergencia</v>
          </cell>
          <cell r="G471" t="str">
            <v>cu</v>
          </cell>
          <cell r="H471">
            <v>1</v>
          </cell>
          <cell r="J471">
            <v>291.98537404259781</v>
          </cell>
          <cell r="K471">
            <v>18.166666666666668</v>
          </cell>
          <cell r="L471">
            <v>115.33523174378345</v>
          </cell>
          <cell r="M471" t="str">
            <v>I</v>
          </cell>
        </row>
        <row r="472">
          <cell r="E472">
            <v>4135</v>
          </cell>
          <cell r="F472" t="str">
            <v>Interruptor de Seguridad</v>
          </cell>
          <cell r="G472" t="str">
            <v>cu</v>
          </cell>
          <cell r="H472">
            <v>1</v>
          </cell>
          <cell r="J472">
            <v>1109.2637367537509</v>
          </cell>
          <cell r="K472">
            <v>2.8571428571428572</v>
          </cell>
          <cell r="L472">
            <v>190.58576618403106</v>
          </cell>
          <cell r="M472" t="str">
            <v>I</v>
          </cell>
        </row>
        <row r="473">
          <cell r="E473">
            <v>4140</v>
          </cell>
          <cell r="F473" t="str">
            <v>Luminaria 2x40 W</v>
          </cell>
          <cell r="G473" t="str">
            <v>cu</v>
          </cell>
          <cell r="H473">
            <v>1</v>
          </cell>
          <cell r="J473">
            <v>55.877792860140595</v>
          </cell>
          <cell r="K473">
            <v>6</v>
          </cell>
          <cell r="L473">
            <v>40.401155440142695</v>
          </cell>
        </row>
        <row r="474">
          <cell r="E474">
            <v>4145</v>
          </cell>
          <cell r="F474" t="str">
            <v>Luminaria 4x40W c/ballat Emerg</v>
          </cell>
          <cell r="G474" t="str">
            <v>cu</v>
          </cell>
          <cell r="H474">
            <v>1</v>
          </cell>
          <cell r="J474">
            <v>191.63374711467841</v>
          </cell>
          <cell r="K474">
            <v>6</v>
          </cell>
          <cell r="L474">
            <v>40.401155440142695</v>
          </cell>
        </row>
        <row r="475">
          <cell r="E475">
            <v>4150</v>
          </cell>
          <cell r="F475" t="str">
            <v>Luminaria de Sodio</v>
          </cell>
          <cell r="G475" t="str">
            <v>cu</v>
          </cell>
          <cell r="H475">
            <v>1</v>
          </cell>
          <cell r="J475">
            <v>118.7772872731088</v>
          </cell>
          <cell r="K475">
            <v>16</v>
          </cell>
          <cell r="L475">
            <v>107.552196123177</v>
          </cell>
        </row>
        <row r="476">
          <cell r="E476">
            <v>4155</v>
          </cell>
          <cell r="F476" t="str">
            <v>Motor Correa 6</v>
          </cell>
          <cell r="G476" t="str">
            <v>cu</v>
          </cell>
          <cell r="H476">
            <v>1</v>
          </cell>
          <cell r="K476">
            <v>0</v>
          </cell>
          <cell r="L476">
            <v>0</v>
          </cell>
          <cell r="M476" t="str">
            <v>I</v>
          </cell>
        </row>
        <row r="477">
          <cell r="E477">
            <v>4160</v>
          </cell>
          <cell r="F477" t="str">
            <v>S/E Unitaria 2000 kVA</v>
          </cell>
          <cell r="G477" t="str">
            <v>cu</v>
          </cell>
          <cell r="H477">
            <v>1</v>
          </cell>
          <cell r="I477">
            <v>142094</v>
          </cell>
          <cell r="K477">
            <v>300</v>
          </cell>
          <cell r="L477">
            <v>2980.6091163046899</v>
          </cell>
          <cell r="M477" t="str">
            <v>I</v>
          </cell>
        </row>
        <row r="478">
          <cell r="E478">
            <v>4161</v>
          </cell>
          <cell r="F478" t="str">
            <v>S/E Unitaria 2,5 MVA</v>
          </cell>
          <cell r="G478" t="str">
            <v>cu</v>
          </cell>
          <cell r="H478">
            <v>1</v>
          </cell>
          <cell r="I478">
            <v>142094</v>
          </cell>
          <cell r="K478">
            <v>300</v>
          </cell>
          <cell r="L478">
            <v>3407.6190167669465</v>
          </cell>
          <cell r="M478" t="str">
            <v>I</v>
          </cell>
        </row>
        <row r="479">
          <cell r="E479">
            <v>4165</v>
          </cell>
          <cell r="F479" t="str">
            <v>S/E Unitaria 750 kVA</v>
          </cell>
          <cell r="G479" t="str">
            <v>cu</v>
          </cell>
          <cell r="H479">
            <v>1</v>
          </cell>
          <cell r="I479">
            <v>60108</v>
          </cell>
          <cell r="K479">
            <v>260</v>
          </cell>
          <cell r="L479">
            <v>2732.6343549994758</v>
          </cell>
          <cell r="M479" t="str">
            <v>I</v>
          </cell>
        </row>
        <row r="480">
          <cell r="E480">
            <v>4166</v>
          </cell>
          <cell r="F480" t="str">
            <v>Transformador 1,5 MVA 13,2/4,16 Kv</v>
          </cell>
          <cell r="G480" t="str">
            <v>cu</v>
          </cell>
          <cell r="H480">
            <v>1</v>
          </cell>
          <cell r="I480">
            <v>43200</v>
          </cell>
          <cell r="K480">
            <v>400</v>
          </cell>
          <cell r="L480">
            <v>7776</v>
          </cell>
          <cell r="M480" t="str">
            <v>I</v>
          </cell>
        </row>
        <row r="481">
          <cell r="E481">
            <v>4170</v>
          </cell>
          <cell r="F481" t="str">
            <v>Switchgear 4,16 kV, 600A, 200MVA</v>
          </cell>
          <cell r="G481" t="str">
            <v>cu</v>
          </cell>
          <cell r="H481">
            <v>1</v>
          </cell>
          <cell r="K481">
            <v>181</v>
          </cell>
          <cell r="L481">
            <v>4513.8350291155175</v>
          </cell>
          <cell r="M481" t="str">
            <v>I</v>
          </cell>
        </row>
        <row r="482">
          <cell r="E482">
            <v>4171</v>
          </cell>
          <cell r="F482" t="str">
            <v>Switchgear 4,16 kV,con 3 celdas</v>
          </cell>
          <cell r="G482" t="str">
            <v>cu</v>
          </cell>
          <cell r="H482">
            <v>1</v>
          </cell>
          <cell r="I482">
            <v>80000</v>
          </cell>
          <cell r="K482">
            <v>181</v>
          </cell>
          <cell r="L482">
            <v>4513.8350291155175</v>
          </cell>
          <cell r="M482" t="str">
            <v>I</v>
          </cell>
        </row>
        <row r="483">
          <cell r="E483">
            <v>4175</v>
          </cell>
          <cell r="F483" t="str">
            <v>Tablero Distribución Alumbrado</v>
          </cell>
          <cell r="G483" t="str">
            <v>cu</v>
          </cell>
          <cell r="H483">
            <v>1</v>
          </cell>
          <cell r="J483">
            <v>560.89911538663307</v>
          </cell>
          <cell r="K483">
            <v>45</v>
          </cell>
          <cell r="L483">
            <v>314.98821149407195</v>
          </cell>
          <cell r="M483" t="str">
            <v>I</v>
          </cell>
        </row>
        <row r="484">
          <cell r="E484">
            <v>4180</v>
          </cell>
          <cell r="F484" t="str">
            <v>Partidor NS6</v>
          </cell>
          <cell r="G484" t="str">
            <v>cu</v>
          </cell>
          <cell r="H484">
            <v>1</v>
          </cell>
          <cell r="I484">
            <v>30000</v>
          </cell>
          <cell r="K484">
            <v>30</v>
          </cell>
          <cell r="L484">
            <v>180</v>
          </cell>
          <cell r="M484" t="str">
            <v>I</v>
          </cell>
        </row>
        <row r="485">
          <cell r="E485">
            <v>4185</v>
          </cell>
          <cell r="F485" t="str">
            <v>Partidor NS2</v>
          </cell>
          <cell r="G485" t="str">
            <v>cu</v>
          </cell>
          <cell r="H485">
            <v>1</v>
          </cell>
          <cell r="I485">
            <v>4500</v>
          </cell>
          <cell r="K485">
            <v>12</v>
          </cell>
          <cell r="L485">
            <v>72</v>
          </cell>
          <cell r="M485" t="str">
            <v>I</v>
          </cell>
        </row>
        <row r="486">
          <cell r="E486">
            <v>4186</v>
          </cell>
          <cell r="F486" t="str">
            <v>Partidor NS3</v>
          </cell>
          <cell r="G486" t="str">
            <v>cu</v>
          </cell>
          <cell r="H486">
            <v>1</v>
          </cell>
          <cell r="I486">
            <v>7000</v>
          </cell>
          <cell r="K486">
            <v>16</v>
          </cell>
          <cell r="L486">
            <v>96</v>
          </cell>
          <cell r="M486" t="str">
            <v>I</v>
          </cell>
        </row>
        <row r="487">
          <cell r="E487">
            <v>4187</v>
          </cell>
          <cell r="F487" t="str">
            <v>Partidor NS4</v>
          </cell>
          <cell r="G487" t="str">
            <v>cu</v>
          </cell>
          <cell r="H487">
            <v>1</v>
          </cell>
          <cell r="I487">
            <v>13000</v>
          </cell>
          <cell r="K487">
            <v>20</v>
          </cell>
          <cell r="L487">
            <v>120</v>
          </cell>
          <cell r="M487" t="str">
            <v>I</v>
          </cell>
        </row>
        <row r="488">
          <cell r="E488">
            <v>4188</v>
          </cell>
          <cell r="F488" t="str">
            <v>Partidor NS5</v>
          </cell>
          <cell r="G488" t="str">
            <v>cu</v>
          </cell>
          <cell r="H488">
            <v>1</v>
          </cell>
          <cell r="I488">
            <v>24200</v>
          </cell>
          <cell r="K488">
            <v>26</v>
          </cell>
          <cell r="L488">
            <v>156</v>
          </cell>
          <cell r="M488" t="str">
            <v>I</v>
          </cell>
        </row>
        <row r="489">
          <cell r="E489">
            <v>4189</v>
          </cell>
          <cell r="F489" t="str">
            <v>Partidor 4,16 KVA, 350 HP</v>
          </cell>
          <cell r="G489" t="str">
            <v>cu</v>
          </cell>
          <cell r="H489">
            <v>1</v>
          </cell>
          <cell r="I489">
            <v>36000</v>
          </cell>
          <cell r="K489">
            <v>350</v>
          </cell>
          <cell r="L489">
            <v>6480</v>
          </cell>
          <cell r="M489" t="str">
            <v>I</v>
          </cell>
        </row>
        <row r="490">
          <cell r="E490">
            <v>4189.1000000000004</v>
          </cell>
          <cell r="F490" t="str">
            <v>Partidor 4,16 KVA, 250 HP</v>
          </cell>
          <cell r="G490" t="str">
            <v>cu</v>
          </cell>
          <cell r="H490">
            <v>1</v>
          </cell>
          <cell r="I490">
            <v>29418.849150652877</v>
          </cell>
          <cell r="K490">
            <v>350</v>
          </cell>
          <cell r="L490">
            <v>6480</v>
          </cell>
          <cell r="M490" t="str">
            <v>I</v>
          </cell>
        </row>
        <row r="491">
          <cell r="E491">
            <v>4190</v>
          </cell>
          <cell r="F491" t="str">
            <v>Variador de frecuencia 300 HP, 400 V</v>
          </cell>
          <cell r="G491" t="str">
            <v>cu</v>
          </cell>
          <cell r="H491">
            <v>1</v>
          </cell>
          <cell r="I491">
            <v>64305.45301098912</v>
          </cell>
          <cell r="K491">
            <v>350</v>
          </cell>
          <cell r="L491">
            <v>3150</v>
          </cell>
          <cell r="M491" t="str">
            <v>I</v>
          </cell>
        </row>
        <row r="492">
          <cell r="E492">
            <v>4191</v>
          </cell>
          <cell r="F492" t="str">
            <v>Variador de frecuencia 200 HP, 400 V</v>
          </cell>
          <cell r="G492" t="str">
            <v>cu</v>
          </cell>
          <cell r="H492">
            <v>1</v>
          </cell>
          <cell r="I492">
            <v>50418.862880113607</v>
          </cell>
          <cell r="K492">
            <v>274.4184385890905</v>
          </cell>
          <cell r="L492">
            <v>2469.7659473018143</v>
          </cell>
          <cell r="M492" t="str">
            <v>I</v>
          </cell>
        </row>
        <row r="493">
          <cell r="E493">
            <v>4192</v>
          </cell>
          <cell r="F493" t="str">
            <v>Variador de frecuencia 125 HP, 400 V</v>
          </cell>
          <cell r="G493" t="str">
            <v>cu</v>
          </cell>
          <cell r="H493">
            <v>1</v>
          </cell>
          <cell r="I493">
            <v>38029.538663337109</v>
          </cell>
          <cell r="K493">
            <v>206.98615605574525</v>
          </cell>
          <cell r="L493">
            <v>1862.8754045017074</v>
          </cell>
          <cell r="M493" t="str">
            <v>I</v>
          </cell>
        </row>
        <row r="494">
          <cell r="E494">
            <v>4192.1000000000004</v>
          </cell>
          <cell r="F494" t="str">
            <v>Variador de frecuencia 150 HP, 400 V</v>
          </cell>
          <cell r="G494" t="str">
            <v>cu</v>
          </cell>
          <cell r="H494">
            <v>1</v>
          </cell>
          <cell r="I494">
            <v>42425.776976917383</v>
          </cell>
          <cell r="K494">
            <v>230.91388438525649</v>
          </cell>
          <cell r="L494">
            <v>2078.2249594673085</v>
          </cell>
          <cell r="M494" t="str">
            <v>I</v>
          </cell>
        </row>
        <row r="495">
          <cell r="E495">
            <v>4193</v>
          </cell>
          <cell r="F495" t="str">
            <v>Variador de frecuencia 300 HP, 4,16 Kv</v>
          </cell>
          <cell r="G495" t="str">
            <v>cu</v>
          </cell>
          <cell r="H495">
            <v>1</v>
          </cell>
          <cell r="I495">
            <v>64148.269526469106</v>
          </cell>
          <cell r="K495">
            <v>400</v>
          </cell>
          <cell r="L495">
            <v>3600</v>
          </cell>
          <cell r="M495" t="str">
            <v>I</v>
          </cell>
        </row>
        <row r="496">
          <cell r="E496">
            <v>4193.1000000000004</v>
          </cell>
          <cell r="F496" t="str">
            <v>Variador de frecuencia 350 HP, 4,16 Kv</v>
          </cell>
          <cell r="G496" t="str">
            <v>cu</v>
          </cell>
          <cell r="H496">
            <v>1</v>
          </cell>
          <cell r="I496">
            <v>70364.404906034499</v>
          </cell>
          <cell r="K496">
            <v>500</v>
          </cell>
          <cell r="L496">
            <v>4500</v>
          </cell>
          <cell r="M496" t="str">
            <v>I</v>
          </cell>
        </row>
        <row r="497">
          <cell r="E497">
            <v>4194</v>
          </cell>
          <cell r="F497" t="str">
            <v>Variador de frecuencia 1125 HP, 4,16 Kv</v>
          </cell>
          <cell r="G497" t="str">
            <v>cu</v>
          </cell>
          <cell r="H497">
            <v>1</v>
          </cell>
          <cell r="I497">
            <v>141776.32210933871</v>
          </cell>
          <cell r="K497">
            <v>950</v>
          </cell>
          <cell r="L497">
            <v>8550</v>
          </cell>
          <cell r="M497" t="str">
            <v>I</v>
          </cell>
        </row>
        <row r="498">
          <cell r="E498">
            <v>4194.1000000000004</v>
          </cell>
          <cell r="F498" t="str">
            <v>Variador de frecuencia 1000 HP, 4,16 Kv</v>
          </cell>
          <cell r="G498" t="str">
            <v>cu</v>
          </cell>
          <cell r="H498">
            <v>1</v>
          </cell>
          <cell r="I498">
            <v>132102.85158626735</v>
          </cell>
          <cell r="K498">
            <v>800</v>
          </cell>
          <cell r="L498">
            <v>7200</v>
          </cell>
          <cell r="M498" t="str">
            <v>I</v>
          </cell>
        </row>
        <row r="499">
          <cell r="E499">
            <v>4195</v>
          </cell>
          <cell r="F499" t="str">
            <v>Interruptor magnético de 1000 A</v>
          </cell>
          <cell r="G499" t="str">
            <v>cu</v>
          </cell>
          <cell r="H499">
            <v>1</v>
          </cell>
          <cell r="I499">
            <v>11000</v>
          </cell>
          <cell r="K499">
            <v>75</v>
          </cell>
          <cell r="L499">
            <v>675</v>
          </cell>
          <cell r="M499" t="str">
            <v>I</v>
          </cell>
        </row>
        <row r="500">
          <cell r="E500">
            <v>4196</v>
          </cell>
          <cell r="F500" t="str">
            <v>Interruptor magnético de 200 A</v>
          </cell>
          <cell r="G500" t="str">
            <v>cu</v>
          </cell>
          <cell r="H500">
            <v>1</v>
          </cell>
          <cell r="I500">
            <v>2895</v>
          </cell>
          <cell r="K500">
            <v>35</v>
          </cell>
          <cell r="L500">
            <v>315</v>
          </cell>
          <cell r="M500" t="str">
            <v>I</v>
          </cell>
        </row>
        <row r="501">
          <cell r="E501">
            <v>4197</v>
          </cell>
          <cell r="F501" t="str">
            <v>Interruptor 300 AF/300 AT</v>
          </cell>
          <cell r="G501" t="str">
            <v>cu</v>
          </cell>
          <cell r="H501">
            <v>1</v>
          </cell>
          <cell r="I501">
            <v>4050.1526986830013</v>
          </cell>
          <cell r="K501">
            <v>35</v>
          </cell>
          <cell r="L501">
            <v>315</v>
          </cell>
          <cell r="M501" t="str">
            <v>I</v>
          </cell>
        </row>
        <row r="502">
          <cell r="E502">
            <v>4197.1000000000004</v>
          </cell>
          <cell r="F502" t="str">
            <v>Interruptor 350 AF/350 AT</v>
          </cell>
          <cell r="G502" t="str">
            <v>cu</v>
          </cell>
          <cell r="H502">
            <v>1</v>
          </cell>
          <cell r="I502">
            <v>4442.623106205644</v>
          </cell>
          <cell r="K502">
            <v>38.391591696717811</v>
          </cell>
          <cell r="L502">
            <v>345.52432527046028</v>
          </cell>
          <cell r="M502" t="str">
            <v>I</v>
          </cell>
        </row>
        <row r="503">
          <cell r="E503">
            <v>4198</v>
          </cell>
          <cell r="F503" t="str">
            <v>Interruptor 1000 AF/1000AT</v>
          </cell>
          <cell r="G503" t="str">
            <v>cu</v>
          </cell>
          <cell r="H503">
            <v>1</v>
          </cell>
          <cell r="I503">
            <v>11000</v>
          </cell>
          <cell r="K503">
            <v>75</v>
          </cell>
          <cell r="L503">
            <v>675</v>
          </cell>
          <cell r="M503" t="str">
            <v>I</v>
          </cell>
        </row>
        <row r="504">
          <cell r="E504">
            <v>4200</v>
          </cell>
          <cell r="F504" t="str">
            <v>Interruptor de 4,16 Kv, 1250A</v>
          </cell>
          <cell r="G504" t="str">
            <v>cu</v>
          </cell>
          <cell r="H504">
            <v>1</v>
          </cell>
          <cell r="I504">
            <v>25200</v>
          </cell>
          <cell r="K504">
            <v>150</v>
          </cell>
          <cell r="L504">
            <v>1350</v>
          </cell>
          <cell r="M504" t="str">
            <v>I</v>
          </cell>
        </row>
        <row r="505">
          <cell r="E505">
            <v>4205</v>
          </cell>
          <cell r="F505" t="str">
            <v>Centro control de motores media tensión 6 celdas</v>
          </cell>
          <cell r="G505" t="str">
            <v>cu</v>
          </cell>
          <cell r="H505">
            <v>1</v>
          </cell>
          <cell r="I505">
            <v>216000</v>
          </cell>
          <cell r="K505">
            <v>908.88888888888891</v>
          </cell>
          <cell r="L505">
            <v>8180</v>
          </cell>
          <cell r="M505" t="str">
            <v>I</v>
          </cell>
        </row>
        <row r="506">
          <cell r="E506">
            <v>4206</v>
          </cell>
          <cell r="F506" t="str">
            <v>Centro control de motores media tensión 5 celdas</v>
          </cell>
          <cell r="G506" t="str">
            <v>cu</v>
          </cell>
          <cell r="H506">
            <v>1</v>
          </cell>
          <cell r="I506">
            <v>180000</v>
          </cell>
          <cell r="K506">
            <v>778.88888888888891</v>
          </cell>
          <cell r="L506">
            <v>7010</v>
          </cell>
          <cell r="M506" t="str">
            <v>I</v>
          </cell>
        </row>
        <row r="507">
          <cell r="E507">
            <v>4210</v>
          </cell>
          <cell r="F507" t="str">
            <v>Centro control de motores media tensión 3 celdas</v>
          </cell>
          <cell r="G507" t="str">
            <v>cu</v>
          </cell>
          <cell r="H507">
            <v>1</v>
          </cell>
          <cell r="I507">
            <v>108000</v>
          </cell>
          <cell r="K507">
            <v>504.66666666666669</v>
          </cell>
          <cell r="L507">
            <v>4542</v>
          </cell>
          <cell r="M507" t="str">
            <v>I</v>
          </cell>
        </row>
        <row r="508">
          <cell r="E508">
            <v>4215</v>
          </cell>
          <cell r="F508" t="str">
            <v>Centro control de motores baja tensión 5 columnas</v>
          </cell>
          <cell r="G508" t="str">
            <v>cu</v>
          </cell>
          <cell r="H508">
            <v>1</v>
          </cell>
          <cell r="I508">
            <v>28315</v>
          </cell>
          <cell r="K508">
            <v>360.55555555555554</v>
          </cell>
          <cell r="L508">
            <v>3245</v>
          </cell>
          <cell r="M508" t="str">
            <v>I</v>
          </cell>
        </row>
        <row r="509">
          <cell r="E509">
            <v>4220</v>
          </cell>
          <cell r="F509" t="str">
            <v>Columna de 4,16 Kv, 250 HP</v>
          </cell>
          <cell r="G509" t="str">
            <v>cu</v>
          </cell>
          <cell r="H509">
            <v>1</v>
          </cell>
          <cell r="I509">
            <v>3000</v>
          </cell>
          <cell r="K509">
            <v>60</v>
          </cell>
          <cell r="L509">
            <v>360</v>
          </cell>
          <cell r="M509" t="str">
            <v>I</v>
          </cell>
        </row>
        <row r="510">
          <cell r="E510">
            <v>4225</v>
          </cell>
          <cell r="F510" t="str">
            <v>Columna de 4,16 Kv, 400 HP</v>
          </cell>
          <cell r="G510" t="str">
            <v>cu</v>
          </cell>
          <cell r="H510">
            <v>1</v>
          </cell>
          <cell r="I510">
            <v>3977.3448208079849</v>
          </cell>
          <cell r="K510">
            <v>80</v>
          </cell>
          <cell r="L510">
            <v>480</v>
          </cell>
          <cell r="M510" t="str">
            <v>I</v>
          </cell>
        </row>
        <row r="512">
          <cell r="E512">
            <v>4500</v>
          </cell>
          <cell r="F512" t="str">
            <v>CANALIZACIONES</v>
          </cell>
        </row>
        <row r="513">
          <cell r="E513">
            <v>4505</v>
          </cell>
          <cell r="F513" t="str">
            <v>Cajas de Conexión</v>
          </cell>
          <cell r="G513" t="str">
            <v>c/u</v>
          </cell>
          <cell r="H513">
            <v>1</v>
          </cell>
          <cell r="J513">
            <v>1.0089969572972406</v>
          </cell>
          <cell r="K513">
            <v>1</v>
          </cell>
          <cell r="L513">
            <v>6.7029502413178053</v>
          </cell>
        </row>
        <row r="514">
          <cell r="E514">
            <v>4510</v>
          </cell>
          <cell r="F514" t="str">
            <v>Conduit Ac. Galv. 3/4"</v>
          </cell>
          <cell r="G514" t="str">
            <v>m</v>
          </cell>
          <cell r="H514">
            <v>1</v>
          </cell>
          <cell r="J514">
            <v>3.763100015738118</v>
          </cell>
          <cell r="K514">
            <v>1</v>
          </cell>
          <cell r="L514">
            <v>6.7235888154443391</v>
          </cell>
        </row>
        <row r="515">
          <cell r="E515">
            <v>4515</v>
          </cell>
          <cell r="F515" t="str">
            <v>Conduit Ac. Galv. 1 1/4"</v>
          </cell>
          <cell r="G515" t="str">
            <v>m</v>
          </cell>
          <cell r="H515">
            <v>1</v>
          </cell>
          <cell r="J515">
            <v>7.241846343510649</v>
          </cell>
          <cell r="K515">
            <v>1.2</v>
          </cell>
          <cell r="L515">
            <v>8.0788551830867696</v>
          </cell>
        </row>
        <row r="516">
          <cell r="E516">
            <v>4520</v>
          </cell>
          <cell r="F516" t="str">
            <v>Conduit Ac. Galv. 1 1/2"</v>
          </cell>
          <cell r="G516" t="str">
            <v>m</v>
          </cell>
          <cell r="H516">
            <v>1</v>
          </cell>
          <cell r="J516">
            <v>7.8976943657538561</v>
          </cell>
          <cell r="K516">
            <v>1.4</v>
          </cell>
          <cell r="L516">
            <v>9.4272420260203535</v>
          </cell>
        </row>
        <row r="517">
          <cell r="E517">
            <v>4525</v>
          </cell>
          <cell r="F517" t="str">
            <v>Conduit Ac. Galv. 2 1/2"</v>
          </cell>
          <cell r="G517" t="str">
            <v>m</v>
          </cell>
          <cell r="H517">
            <v>1</v>
          </cell>
          <cell r="J517">
            <v>13.050458372678627</v>
          </cell>
          <cell r="K517">
            <v>2.3333333333333335</v>
          </cell>
          <cell r="L517">
            <v>16.157710366173539</v>
          </cell>
        </row>
        <row r="518">
          <cell r="E518">
            <v>4530</v>
          </cell>
          <cell r="F518" t="str">
            <v>Conduit Ac. Galv. 3"</v>
          </cell>
          <cell r="G518" t="str">
            <v>m</v>
          </cell>
          <cell r="H518">
            <v>1</v>
          </cell>
          <cell r="J518">
            <v>17.022237304585037</v>
          </cell>
          <cell r="K518">
            <v>2.8026315789473686</v>
          </cell>
          <cell r="L518">
            <v>18.854484052040707</v>
          </cell>
        </row>
        <row r="519">
          <cell r="E519">
            <v>4535</v>
          </cell>
          <cell r="F519" t="str">
            <v>Escalerilla A= 300 mm</v>
          </cell>
          <cell r="G519" t="str">
            <v>m</v>
          </cell>
          <cell r="H519">
            <v>1</v>
          </cell>
          <cell r="J519">
            <v>17.435008787115727</v>
          </cell>
          <cell r="K519">
            <v>2.8</v>
          </cell>
          <cell r="L519">
            <v>18.038113786591126</v>
          </cell>
        </row>
        <row r="520">
          <cell r="E520">
            <v>4540</v>
          </cell>
          <cell r="F520" t="str">
            <v>Escalerilla A= 450 mm</v>
          </cell>
          <cell r="G520" t="str">
            <v>m</v>
          </cell>
          <cell r="H520">
            <v>1</v>
          </cell>
          <cell r="J520">
            <v>19.540143348022244</v>
          </cell>
          <cell r="K520">
            <v>3.5</v>
          </cell>
          <cell r="L520">
            <v>22.583186444234602</v>
          </cell>
        </row>
        <row r="521">
          <cell r="E521">
            <v>4545</v>
          </cell>
          <cell r="F521" t="str">
            <v>Escalerilla A= 600 mm</v>
          </cell>
          <cell r="G521" t="str">
            <v>m</v>
          </cell>
          <cell r="H521">
            <v>1</v>
          </cell>
          <cell r="J521">
            <v>21.608587110481587</v>
          </cell>
          <cell r="K521">
            <v>4.1260000000000003</v>
          </cell>
          <cell r="L521">
            <v>26.646692372258943</v>
          </cell>
        </row>
        <row r="522">
          <cell r="E522">
            <v>4700</v>
          </cell>
          <cell r="F522" t="str">
            <v>CABLES</v>
          </cell>
        </row>
        <row r="523">
          <cell r="E523">
            <v>4705</v>
          </cell>
          <cell r="F523" t="str">
            <v>Conductor armado 250 MCM 15 kV</v>
          </cell>
          <cell r="G523" t="str">
            <v>m</v>
          </cell>
          <cell r="H523">
            <v>1</v>
          </cell>
          <cell r="J523">
            <v>40.42408718917217</v>
          </cell>
          <cell r="K523">
            <v>0.75002977253781111</v>
          </cell>
          <cell r="L523">
            <v>5.1458844822159264</v>
          </cell>
        </row>
        <row r="524">
          <cell r="E524">
            <v>4710</v>
          </cell>
          <cell r="F524" t="str">
            <v>Conductor armado 2 AWG 5 kV</v>
          </cell>
          <cell r="G524" t="str">
            <v>m</v>
          </cell>
          <cell r="H524">
            <v>1</v>
          </cell>
          <cell r="J524">
            <v>18.627459736648831</v>
          </cell>
          <cell r="K524">
            <v>0.48333333333333334</v>
          </cell>
          <cell r="L524">
            <v>3.288412810827825</v>
          </cell>
        </row>
        <row r="525">
          <cell r="E525">
            <v>4715</v>
          </cell>
          <cell r="F525" t="str">
            <v>Cable Cu Desnudo #2 AWG</v>
          </cell>
          <cell r="G525" t="str">
            <v>m</v>
          </cell>
          <cell r="H525">
            <v>1</v>
          </cell>
          <cell r="J525">
            <v>1.0181696569090337</v>
          </cell>
          <cell r="K525">
            <v>0.45754903251283402</v>
          </cell>
          <cell r="L525">
            <v>3.0659748452418425</v>
          </cell>
        </row>
        <row r="526">
          <cell r="E526">
            <v>4720</v>
          </cell>
          <cell r="F526" t="str">
            <v>Term. Cables 350-250 MCM 15 kV</v>
          </cell>
          <cell r="G526" t="str">
            <v>cu</v>
          </cell>
          <cell r="H526">
            <v>1</v>
          </cell>
          <cell r="J526">
            <v>161.42575411814082</v>
          </cell>
          <cell r="K526">
            <v>12</v>
          </cell>
          <cell r="L526">
            <v>125.51004878816495</v>
          </cell>
        </row>
        <row r="527">
          <cell r="E527">
            <v>4725</v>
          </cell>
          <cell r="F527" t="str">
            <v>Term. Cables 350-250 MCM 5 kV</v>
          </cell>
          <cell r="G527" t="str">
            <v>cu</v>
          </cell>
          <cell r="H527">
            <v>1</v>
          </cell>
          <cell r="J527">
            <v>141.87414489560382</v>
          </cell>
          <cell r="K527">
            <v>12</v>
          </cell>
          <cell r="L527">
            <v>125.51004878816495</v>
          </cell>
        </row>
        <row r="528">
          <cell r="E528">
            <v>4730</v>
          </cell>
          <cell r="F528" t="str">
            <v>Cable Cu Desnudo 2/0 AWG</v>
          </cell>
          <cell r="G528" t="str">
            <v>cu</v>
          </cell>
          <cell r="H528">
            <v>1</v>
          </cell>
          <cell r="J528">
            <v>2.0455120134298608</v>
          </cell>
          <cell r="K528">
            <v>0.48813056379821956</v>
          </cell>
          <cell r="L528">
            <v>3.2677742367012907</v>
          </cell>
        </row>
        <row r="529">
          <cell r="E529">
            <v>4735</v>
          </cell>
          <cell r="F529" t="str">
            <v>Union cond 250-350 MCM 15 kV</v>
          </cell>
          <cell r="G529" t="str">
            <v>cu</v>
          </cell>
          <cell r="H529">
            <v>1</v>
          </cell>
          <cell r="J529">
            <v>550.73805739166926</v>
          </cell>
          <cell r="K529">
            <v>36</v>
          </cell>
          <cell r="L529">
            <v>246.18149853110899</v>
          </cell>
        </row>
        <row r="530">
          <cell r="E530">
            <v>4740</v>
          </cell>
          <cell r="F530" t="str">
            <v>Cable XLPE 1x3C, #250 MCM</v>
          </cell>
          <cell r="G530" t="str">
            <v>m</v>
          </cell>
          <cell r="H530">
            <v>1</v>
          </cell>
          <cell r="J530">
            <v>18.159652056447385</v>
          </cell>
          <cell r="K530">
            <v>0.6</v>
          </cell>
          <cell r="L530">
            <v>4.0933172017626696</v>
          </cell>
        </row>
        <row r="531">
          <cell r="E531">
            <v>4745</v>
          </cell>
          <cell r="F531" t="str">
            <v>Cable XLPE 1x3C, 4/0 AWG</v>
          </cell>
          <cell r="G531" t="str">
            <v>m</v>
          </cell>
          <cell r="H531">
            <v>1</v>
          </cell>
          <cell r="J531">
            <v>16.176055765397127</v>
          </cell>
          <cell r="K531">
            <v>0.55000000000000004</v>
          </cell>
          <cell r="L531">
            <v>3.7378750918056869</v>
          </cell>
        </row>
        <row r="532">
          <cell r="E532">
            <v>4750</v>
          </cell>
          <cell r="F532" t="str">
            <v>Cable XLPE 1x4C, 2 AWG</v>
          </cell>
          <cell r="G532" t="str">
            <v>m</v>
          </cell>
          <cell r="H532">
            <v>1</v>
          </cell>
          <cell r="J532">
            <v>7.4046617616199768</v>
          </cell>
          <cell r="K532">
            <v>0.45</v>
          </cell>
          <cell r="L532">
            <v>3.0545089707271011</v>
          </cell>
        </row>
        <row r="533">
          <cell r="E533">
            <v>4755</v>
          </cell>
          <cell r="F533" t="str">
            <v>Cable XLPE 1x4C, #4 AWG</v>
          </cell>
          <cell r="G533" t="str">
            <v>m</v>
          </cell>
          <cell r="H533">
            <v>1</v>
          </cell>
          <cell r="J533">
            <v>5.538017390620082</v>
          </cell>
          <cell r="K533">
            <v>0.3</v>
          </cell>
          <cell r="L533">
            <v>2.0455120134298608</v>
          </cell>
        </row>
        <row r="534">
          <cell r="E534">
            <v>4760</v>
          </cell>
          <cell r="F534" t="str">
            <v>Cable XLPE 1x4C, #6 AWG</v>
          </cell>
          <cell r="G534" t="str">
            <v>m</v>
          </cell>
          <cell r="H534">
            <v>1</v>
          </cell>
          <cell r="J534">
            <v>3.6759593694260837</v>
          </cell>
          <cell r="K534">
            <v>0.2</v>
          </cell>
          <cell r="L534">
            <v>1.3759049417689644</v>
          </cell>
        </row>
        <row r="535">
          <cell r="E535">
            <v>4765</v>
          </cell>
          <cell r="F535" t="str">
            <v>Cable XLPE 1x4C, #8 AWG</v>
          </cell>
          <cell r="G535" t="str">
            <v>m</v>
          </cell>
          <cell r="H535">
            <v>1</v>
          </cell>
          <cell r="J535">
            <v>3.0201113471828771</v>
          </cell>
          <cell r="K535">
            <v>0.18</v>
          </cell>
          <cell r="L535">
            <v>1.2429007973979644</v>
          </cell>
        </row>
        <row r="536">
          <cell r="E536">
            <v>4770</v>
          </cell>
          <cell r="F536" t="str">
            <v>Cable XLPE 1x4C, #12 AWG</v>
          </cell>
          <cell r="G536" t="str">
            <v>m</v>
          </cell>
          <cell r="H536">
            <v>1</v>
          </cell>
          <cell r="J536">
            <v>1.440113839051516</v>
          </cell>
          <cell r="K536">
            <v>0.16</v>
          </cell>
          <cell r="L536">
            <v>1.1076034781240165</v>
          </cell>
        </row>
        <row r="537">
          <cell r="E537">
            <v>4775</v>
          </cell>
          <cell r="F537" t="str">
            <v>Cable XLPE 1x12C, #14 AWG</v>
          </cell>
          <cell r="G537" t="str">
            <v>m</v>
          </cell>
          <cell r="H537">
            <v>1</v>
          </cell>
          <cell r="J537">
            <v>3.9992970307417899</v>
          </cell>
          <cell r="K537">
            <v>0.25</v>
          </cell>
          <cell r="L537">
            <v>1.715294827405309</v>
          </cell>
        </row>
        <row r="538">
          <cell r="E538">
            <v>4780</v>
          </cell>
          <cell r="F538" t="str">
            <v>Cable XLPE 1x5C, #14 AWG</v>
          </cell>
          <cell r="G538" t="str">
            <v>m</v>
          </cell>
          <cell r="H538">
            <v>1</v>
          </cell>
          <cell r="J538">
            <v>1.7336402266288951</v>
          </cell>
          <cell r="K538">
            <v>0.17023255813953489</v>
          </cell>
          <cell r="L538">
            <v>1.1741055503095164</v>
          </cell>
        </row>
        <row r="539">
          <cell r="E539">
            <v>5000</v>
          </cell>
          <cell r="F539" t="str">
            <v>INSTRUMENTACIÓN</v>
          </cell>
        </row>
        <row r="540">
          <cell r="E540">
            <v>5100</v>
          </cell>
          <cell r="F540" t="str">
            <v>INSTRUMENTOS</v>
          </cell>
        </row>
        <row r="541">
          <cell r="E541">
            <v>5105</v>
          </cell>
          <cell r="F541" t="str">
            <v>Densímetro Nuclear 24" electrónica remota</v>
          </cell>
          <cell r="G541" t="str">
            <v>cu</v>
          </cell>
          <cell r="H541">
            <v>1</v>
          </cell>
          <cell r="I541">
            <v>8532.8931066110781</v>
          </cell>
          <cell r="K541">
            <v>45</v>
          </cell>
          <cell r="L541">
            <v>270</v>
          </cell>
          <cell r="M541" t="str">
            <v>I</v>
          </cell>
        </row>
        <row r="542">
          <cell r="E542">
            <v>5110</v>
          </cell>
          <cell r="F542" t="str">
            <v>Flujómetro Magnético 24" flange ANSI 150, electrónica remota</v>
          </cell>
          <cell r="G542" t="str">
            <v>cu</v>
          </cell>
          <cell r="H542">
            <v>1</v>
          </cell>
          <cell r="I542">
            <v>10038.75894675402</v>
          </cell>
          <cell r="K542">
            <v>50</v>
          </cell>
          <cell r="L542">
            <v>300</v>
          </cell>
          <cell r="M542" t="str">
            <v>I</v>
          </cell>
        </row>
        <row r="543">
          <cell r="E543">
            <v>5300</v>
          </cell>
          <cell r="F543" t="str">
            <v>CABLES</v>
          </cell>
        </row>
        <row r="544">
          <cell r="E544">
            <v>5305</v>
          </cell>
          <cell r="F544" t="str">
            <v>Cable multipar 8 pares #18 AWG</v>
          </cell>
          <cell r="G544" t="str">
            <v>m</v>
          </cell>
          <cell r="H544">
            <v>1</v>
          </cell>
          <cell r="J544">
            <v>4.7399925243940828</v>
          </cell>
          <cell r="K544">
            <v>0.21764705882352942</v>
          </cell>
          <cell r="L544">
            <v>1.513495435945861</v>
          </cell>
        </row>
        <row r="545">
          <cell r="E545">
            <v>5310</v>
          </cell>
          <cell r="F545" t="str">
            <v>Cable multicond 19 C #16 AWG</v>
          </cell>
          <cell r="G545" t="str">
            <v>m</v>
          </cell>
          <cell r="H545">
            <v>1</v>
          </cell>
          <cell r="J545">
            <v>4.4602251862343927</v>
          </cell>
          <cell r="K545">
            <v>0.34978723404255319</v>
          </cell>
          <cell r="L545">
            <v>2.3894882488721012</v>
          </cell>
        </row>
        <row r="546">
          <cell r="E546">
            <v>5315</v>
          </cell>
          <cell r="F546" t="str">
            <v>Cable coaxial RG</v>
          </cell>
          <cell r="G546" t="str">
            <v>m</v>
          </cell>
          <cell r="H546">
            <v>1</v>
          </cell>
          <cell r="J546">
            <v>0.40818513272479279</v>
          </cell>
          <cell r="K546">
            <v>0.35003257328990228</v>
          </cell>
          <cell r="L546">
            <v>2.3963677735809461</v>
          </cell>
        </row>
        <row r="547">
          <cell r="E547">
            <v>5320</v>
          </cell>
          <cell r="F547" t="str">
            <v>Cable 2 cond #16 AWG</v>
          </cell>
          <cell r="G547" t="str">
            <v>m</v>
          </cell>
          <cell r="H547">
            <v>1</v>
          </cell>
          <cell r="J547">
            <v>0.71776374462280979</v>
          </cell>
          <cell r="K547">
            <v>0.12</v>
          </cell>
          <cell r="L547">
            <v>0.83471566467317182</v>
          </cell>
        </row>
        <row r="548">
          <cell r="E548">
            <v>5325</v>
          </cell>
          <cell r="F548" t="str">
            <v>Cable 3 cond #14 AWG</v>
          </cell>
          <cell r="G548" t="str">
            <v>m</v>
          </cell>
          <cell r="H548">
            <v>1</v>
          </cell>
          <cell r="J548">
            <v>1.1098966530269647</v>
          </cell>
          <cell r="K548">
            <v>0.12</v>
          </cell>
          <cell r="L548">
            <v>0.83471566467317182</v>
          </cell>
        </row>
        <row r="549">
          <cell r="E549">
            <v>5330</v>
          </cell>
          <cell r="F549" t="str">
            <v>Cable 3 cond #10 AWG</v>
          </cell>
          <cell r="G549" t="str">
            <v>m</v>
          </cell>
          <cell r="H549">
            <v>1</v>
          </cell>
          <cell r="J549">
            <v>1.573117983422516</v>
          </cell>
          <cell r="K549">
            <v>0.12008547008547009</v>
          </cell>
          <cell r="L549">
            <v>0.83471566467317182</v>
          </cell>
        </row>
        <row r="550">
          <cell r="E550">
            <v>5335</v>
          </cell>
          <cell r="F550" t="str">
            <v>Cable 1 par #18 AWG</v>
          </cell>
          <cell r="G550" t="str">
            <v>m</v>
          </cell>
          <cell r="H550">
            <v>1</v>
          </cell>
          <cell r="J550">
            <v>0.81866344035253391</v>
          </cell>
          <cell r="K550">
            <v>0.12</v>
          </cell>
          <cell r="L550">
            <v>0.83471566467317182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LA"/>
      <sheetName val="0. Trabaj prel-SEguri"/>
      <sheetName val="1.4  BOCATOMA-FONDO"/>
      <sheetName val="3. DESARENADOR"/>
      <sheetName val="3.1. FILTRO LENTO"/>
      <sheetName val="4.1 Acero.F.L"/>
      <sheetName val="2. Linea.Cond "/>
      <sheetName val="3. METR. CRP-T6"/>
      <sheetName val="4.1. Val. Aire_LC "/>
      <sheetName val="4.2. Val. Purga_LC "/>
      <sheetName val="6.0 RAP. 12m3 "/>
      <sheetName val="6.1. Cerco Per. Reserv 12m3"/>
      <sheetName val="6.2. Acero. RAP. 12 m3"/>
      <sheetName val="7. Red.Distri"/>
      <sheetName val="8.1. CRP-T7 - 1A"/>
      <sheetName val="8.2.CRP-T7 - 2A"/>
      <sheetName val="7.2. CRP-T7 - 2B"/>
      <sheetName val="9.1. C.Val. control"/>
      <sheetName val="9.2. C.Val. Aire"/>
      <sheetName val="9.3. C.Val. Purga"/>
      <sheetName val="10. Conex.Domic"/>
      <sheetName val="12. Lavadero intr.domic"/>
      <sheetName val="13. FLETE"/>
      <sheetName val="3.1 FILTRO LENTO."/>
      <sheetName val="1.1. CLE_PACSHA"/>
      <sheetName val="1.2. CLP_"/>
      <sheetName val="3. PASE AEREO L= 80.0m"/>
      <sheetName val="5.CASCADA"/>
      <sheetName val="5. SEDIMENTADOR"/>
      <sheetName val="2.1.CAMARA DISTRIBUCION"/>
      <sheetName val="ACERO - C,DIST"/>
      <sheetName val="3.1. PASE AEREO L= 30.0m"/>
      <sheetName val="3.2. PASE AEREO L= 70.0m"/>
      <sheetName val="3.1. PASE AEREO L= 250.0m"/>
      <sheetName val="4.1. Val. Aire_LC"/>
      <sheetName val="4. FILTRO LENTO"/>
      <sheetName val="5.1. RAE, V=12.5 m3"/>
      <sheetName val="5.2. Cerco Per. RAE, V=12.5m3"/>
      <sheetName val="6.1. RAE, V=7.0 m3 "/>
      <sheetName val="6.2. Cerco Per. RAE, V=7.0 m3"/>
      <sheetName val="7.0 RAP, V=17.5 m3"/>
      <sheetName val="7.1. Cerco Per. RAP, V=17.5m3"/>
      <sheetName val="7.2. Acero. RAP, V=17.5 m3"/>
      <sheetName val="7.0 Reserv. 15 m3"/>
      <sheetName val="6.0 RAP. 12.00 m3 "/>
      <sheetName val="7.1. Cerco Per. Reserv 15m3"/>
      <sheetName val="6.1. Cerco Per. Reserv 14m3"/>
      <sheetName val="7.2. Acero. Reserv. 15 m3"/>
      <sheetName val="6.2. Acero. RAP. 14 m3"/>
      <sheetName val="4.Linea.Aducc"/>
      <sheetName val="7.0 RAP_01,V=3 m3 "/>
      <sheetName val="7.1 Acero. RAP_01,V=3 m3"/>
      <sheetName val="7.2 CERCO PER. RAP_01,V=3 m3"/>
      <sheetName val="8.0 RAP_02,V=5 m3"/>
      <sheetName val="8.1 Acero. RAP_02,V=5 m3"/>
      <sheetName val="8.2 CERCO PER. RAP_02,V=5 m3"/>
      <sheetName val="9.0 Reserv. 10 m3"/>
      <sheetName val="9.1. Cerco Per. Reserv 10m3 "/>
      <sheetName val="9.2. Acero. Reserv. 10 m3"/>
      <sheetName val="6.0 RAP. 5m3   "/>
      <sheetName val="6.1. Cerco Per. Reserv 5m3 "/>
      <sheetName val="6.2. Acero. RAP. 5 m3  "/>
      <sheetName val="10.1 PASE AEREO L= 8.0m"/>
      <sheetName val="10.2 PASE AEREO L= 15.0m"/>
      <sheetName val="7.3. CRP-T7-3A "/>
      <sheetName val="11. PILETA PUBL."/>
      <sheetName val="11. PILETA PUBLICA"/>
    </sheetNames>
    <sheetDataSet>
      <sheetData sheetId="0">
        <row r="3">
          <cell r="B3" t="str">
            <v>“AMPLIACION Y MEJORAMIENTO DEL SERVICIO DE AGUA POTABLE E INSTALACION DEL SANEAMIENTO BASICO EN LA LOCALIDAD DE SUPAYACU, DISTRITO DE HUARANGO, PROVINCIA DE SAN IGNACIO - CAJAMARCA”</v>
          </cell>
        </row>
      </sheetData>
      <sheetData sheetId="1"/>
      <sheetData sheetId="2">
        <row r="27">
          <cell r="A27">
            <v>1.0401009999999999</v>
          </cell>
        </row>
      </sheetData>
      <sheetData sheetId="3">
        <row r="29">
          <cell r="A29">
            <v>1.05</v>
          </cell>
        </row>
      </sheetData>
      <sheetData sheetId="4" refreshError="1">
        <row r="36">
          <cell r="A36" t="str">
            <v>ITEM</v>
          </cell>
          <cell r="B36" t="str">
            <v>DESCRIPCION</v>
          </cell>
          <cell r="C36" t="str">
            <v>UND</v>
          </cell>
          <cell r="D36" t="str">
            <v>CANT</v>
          </cell>
          <cell r="E36" t="str">
            <v>Nº DE</v>
          </cell>
          <cell r="F36" t="str">
            <v>DIMENSIONES</v>
          </cell>
          <cell r="G36">
            <v>0</v>
          </cell>
          <cell r="H36">
            <v>0</v>
          </cell>
          <cell r="I36" t="str">
            <v>PARCIAL</v>
          </cell>
          <cell r="J36" t="str">
            <v>TOTAL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VECES</v>
          </cell>
          <cell r="F37" t="str">
            <v>LARGO</v>
          </cell>
          <cell r="G37" t="str">
            <v>ANCHO</v>
          </cell>
          <cell r="H37" t="str">
            <v>ALTURA</v>
          </cell>
          <cell r="I37">
            <v>0</v>
          </cell>
          <cell r="J37">
            <v>0</v>
          </cell>
        </row>
        <row r="38">
          <cell r="A38">
            <v>1.0502</v>
          </cell>
          <cell r="B38" t="str">
            <v xml:space="preserve">FILTRO LENTO (01 UND) 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>
            <v>1.0502009999999999</v>
          </cell>
          <cell r="B39" t="str">
            <v>OBRAS PRELIMINARES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A40">
            <v>1.0502010099999999</v>
          </cell>
          <cell r="B40" t="str">
            <v>LIMPIEZA DE TERRENO MANUAL</v>
          </cell>
          <cell r="C40" t="str">
            <v>m2</v>
          </cell>
          <cell r="D40">
            <v>1</v>
          </cell>
          <cell r="E40">
            <v>1</v>
          </cell>
          <cell r="F40">
            <v>7</v>
          </cell>
          <cell r="G40">
            <v>7.65</v>
          </cell>
          <cell r="H40">
            <v>0</v>
          </cell>
          <cell r="I40">
            <v>53.550000000000004</v>
          </cell>
          <cell r="J40">
            <v>53.550000000000004</v>
          </cell>
        </row>
        <row r="41">
          <cell r="A41">
            <v>1.0502010199999998</v>
          </cell>
          <cell r="B41" t="str">
            <v>TRAZO Y REPLANTEO PRELIMINAR</v>
          </cell>
          <cell r="C41" t="str">
            <v>m2</v>
          </cell>
          <cell r="D41">
            <v>1</v>
          </cell>
          <cell r="E41">
            <v>1</v>
          </cell>
          <cell r="F41">
            <v>7</v>
          </cell>
          <cell r="G41">
            <v>7.65</v>
          </cell>
          <cell r="H41">
            <v>0</v>
          </cell>
          <cell r="I41">
            <v>53.550000000000004</v>
          </cell>
          <cell r="J41">
            <v>53.550000000000004</v>
          </cell>
        </row>
        <row r="42">
          <cell r="A42">
            <v>1.0502019999999999</v>
          </cell>
          <cell r="B42" t="str">
            <v>MOVIMIENTO DE TIERRAS</v>
          </cell>
          <cell r="C42" t="str">
            <v/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A43">
            <v>1.0502020099999998</v>
          </cell>
          <cell r="B43" t="str">
            <v>EXCAVACION EN TERRENO NORMAL</v>
          </cell>
          <cell r="C43" t="str">
            <v>m3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74.169375000000002</v>
          </cell>
          <cell r="J43">
            <v>74.169375000000002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 t="str">
            <v>% MATERIAL SUELTO</v>
          </cell>
          <cell r="F44">
            <v>0</v>
          </cell>
          <cell r="G44">
            <v>0</v>
          </cell>
          <cell r="H44">
            <v>0.7</v>
          </cell>
          <cell r="I44">
            <v>105.95625000000001</v>
          </cell>
          <cell r="J44">
            <v>0</v>
          </cell>
        </row>
        <row r="45">
          <cell r="A45">
            <v>0</v>
          </cell>
          <cell r="B45" t="str">
            <v>ZONA DE ENTRADA</v>
          </cell>
          <cell r="C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A46">
            <v>0</v>
          </cell>
          <cell r="B46" t="str">
            <v>En zona de entrada (caja de válvula)</v>
          </cell>
          <cell r="C46" t="str">
            <v/>
          </cell>
          <cell r="D46">
            <v>1</v>
          </cell>
          <cell r="E46">
            <v>1</v>
          </cell>
          <cell r="F46">
            <v>0.60000000000000009</v>
          </cell>
          <cell r="G46">
            <v>0.7</v>
          </cell>
          <cell r="H46">
            <v>0.75</v>
          </cell>
          <cell r="I46">
            <v>0.31500000000000006</v>
          </cell>
          <cell r="J46">
            <v>0</v>
          </cell>
        </row>
        <row r="47">
          <cell r="A47">
            <v>0</v>
          </cell>
          <cell r="B47" t="str">
            <v>En zona de entrada (compuerta)</v>
          </cell>
          <cell r="C47" t="str">
            <v/>
          </cell>
          <cell r="D47">
            <v>1</v>
          </cell>
          <cell r="E47">
            <v>1</v>
          </cell>
          <cell r="F47">
            <v>0.65</v>
          </cell>
          <cell r="G47">
            <v>2.2999999999999998</v>
          </cell>
          <cell r="H47">
            <v>0.75</v>
          </cell>
          <cell r="I47">
            <v>1.1212499999999999</v>
          </cell>
          <cell r="J47">
            <v>0</v>
          </cell>
        </row>
        <row r="48">
          <cell r="A48">
            <v>0</v>
          </cell>
          <cell r="B48" t="str">
            <v>ZONA DE FILTRO LENTO</v>
          </cell>
          <cell r="C48" t="str">
            <v/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>
            <v>0</v>
          </cell>
          <cell r="B49" t="str">
            <v xml:space="preserve"> zona de filtro</v>
          </cell>
          <cell r="C49" t="str">
            <v/>
          </cell>
          <cell r="D49">
            <v>1</v>
          </cell>
          <cell r="E49">
            <v>1</v>
          </cell>
          <cell r="F49">
            <v>4.2</v>
          </cell>
          <cell r="G49">
            <v>7</v>
          </cell>
          <cell r="H49">
            <v>3</v>
          </cell>
          <cell r="I49">
            <v>88.2</v>
          </cell>
          <cell r="J49">
            <v>0</v>
          </cell>
        </row>
        <row r="50">
          <cell r="A50">
            <v>0</v>
          </cell>
          <cell r="B50" t="str">
            <v>ZONA DE SALIDA</v>
          </cell>
          <cell r="C50" t="str">
            <v/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>
            <v>0</v>
          </cell>
          <cell r="B51" t="str">
            <v>En zona de salida (caja de válvula)</v>
          </cell>
          <cell r="C51" t="str">
            <v/>
          </cell>
          <cell r="D51">
            <v>1</v>
          </cell>
          <cell r="E51">
            <v>1</v>
          </cell>
          <cell r="F51">
            <v>1.7</v>
          </cell>
          <cell r="G51">
            <v>3.2</v>
          </cell>
          <cell r="H51">
            <v>3</v>
          </cell>
          <cell r="I51">
            <v>16.32</v>
          </cell>
          <cell r="J51">
            <v>0</v>
          </cell>
        </row>
        <row r="52">
          <cell r="A52">
            <v>0</v>
          </cell>
          <cell r="B52">
            <v>0</v>
          </cell>
          <cell r="C52" t="str">
            <v/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A53">
            <v>1.0502020199999997</v>
          </cell>
          <cell r="B53" t="str">
            <v>EXCAVACION EN TERRENO SEMI ROCOSO</v>
          </cell>
          <cell r="C53" t="str">
            <v>m3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31.786875000000002</v>
          </cell>
          <cell r="J53">
            <v>31.786875000000002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 t="str">
            <v>% ROCA DURA</v>
          </cell>
          <cell r="F54">
            <v>0</v>
          </cell>
          <cell r="G54">
            <v>0</v>
          </cell>
          <cell r="H54">
            <v>0.3</v>
          </cell>
          <cell r="I54">
            <v>105.95625000000001</v>
          </cell>
          <cell r="J54">
            <v>0</v>
          </cell>
        </row>
        <row r="55">
          <cell r="A55">
            <v>0</v>
          </cell>
          <cell r="B55" t="str">
            <v>ZONA DE ENTRADA</v>
          </cell>
          <cell r="C55" t="str">
            <v/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>
            <v>0</v>
          </cell>
          <cell r="B56" t="str">
            <v>En zona de entrada (caja de válvula)</v>
          </cell>
          <cell r="C56" t="str">
            <v/>
          </cell>
          <cell r="D56">
            <v>1</v>
          </cell>
          <cell r="E56">
            <v>1</v>
          </cell>
          <cell r="F56">
            <v>0.60000000000000009</v>
          </cell>
          <cell r="G56">
            <v>0.7</v>
          </cell>
          <cell r="H56">
            <v>0.75</v>
          </cell>
          <cell r="I56">
            <v>0.31500000000000006</v>
          </cell>
          <cell r="J56">
            <v>0</v>
          </cell>
        </row>
        <row r="57">
          <cell r="A57">
            <v>0</v>
          </cell>
          <cell r="B57" t="str">
            <v>En zona de entrada (compuerta)</v>
          </cell>
          <cell r="C57" t="str">
            <v/>
          </cell>
          <cell r="D57">
            <v>1</v>
          </cell>
          <cell r="E57">
            <v>1</v>
          </cell>
          <cell r="F57">
            <v>0.65</v>
          </cell>
          <cell r="G57">
            <v>2.2999999999999998</v>
          </cell>
          <cell r="H57">
            <v>0.75</v>
          </cell>
          <cell r="I57">
            <v>1.1212499999999999</v>
          </cell>
          <cell r="J57">
            <v>0</v>
          </cell>
        </row>
        <row r="58">
          <cell r="A58">
            <v>0</v>
          </cell>
          <cell r="B58" t="str">
            <v>ZONA DE FILTRO LENTO</v>
          </cell>
          <cell r="C58" t="str">
            <v/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</row>
        <row r="59">
          <cell r="A59">
            <v>0</v>
          </cell>
          <cell r="B59" t="str">
            <v xml:space="preserve"> zona de filtro</v>
          </cell>
          <cell r="C59" t="str">
            <v/>
          </cell>
          <cell r="D59">
            <v>1</v>
          </cell>
          <cell r="E59">
            <v>1</v>
          </cell>
          <cell r="F59">
            <v>4.2</v>
          </cell>
          <cell r="G59">
            <v>7</v>
          </cell>
          <cell r="H59">
            <v>3</v>
          </cell>
          <cell r="I59">
            <v>88.2</v>
          </cell>
          <cell r="J59">
            <v>0</v>
          </cell>
        </row>
        <row r="60">
          <cell r="A60">
            <v>0</v>
          </cell>
          <cell r="B60" t="str">
            <v>ZONA DE SALIDA</v>
          </cell>
          <cell r="C60" t="str">
            <v/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>
            <v>0</v>
          </cell>
          <cell r="B61" t="str">
            <v>En zona de salida (caja de válvula)</v>
          </cell>
          <cell r="C61" t="str">
            <v/>
          </cell>
          <cell r="D61">
            <v>1</v>
          </cell>
          <cell r="E61">
            <v>1</v>
          </cell>
          <cell r="F61">
            <v>1.7</v>
          </cell>
          <cell r="G61">
            <v>3.2</v>
          </cell>
          <cell r="H61">
            <v>3</v>
          </cell>
          <cell r="I61">
            <v>16.32</v>
          </cell>
          <cell r="J61">
            <v>0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>
            <v>1.0502020299999997</v>
          </cell>
          <cell r="B63" t="str">
            <v>NIVELACION Y APISONADO DE FONDOS</v>
          </cell>
          <cell r="C63" t="str">
            <v>m2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36.755000000000003</v>
          </cell>
          <cell r="J63">
            <v>36.755000000000003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1</v>
          </cell>
          <cell r="E64">
            <v>1</v>
          </cell>
          <cell r="F64">
            <v>0.60000000000000009</v>
          </cell>
          <cell r="G64">
            <v>0.7</v>
          </cell>
          <cell r="H64">
            <v>0</v>
          </cell>
          <cell r="I64">
            <v>0.42000000000000004</v>
          </cell>
          <cell r="J64">
            <v>0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1</v>
          </cell>
          <cell r="E65">
            <v>1</v>
          </cell>
          <cell r="F65">
            <v>0.65</v>
          </cell>
          <cell r="G65">
            <v>2.2999999999999998</v>
          </cell>
          <cell r="H65">
            <v>0</v>
          </cell>
          <cell r="I65">
            <v>1.4949999999999999</v>
          </cell>
          <cell r="J65">
            <v>0</v>
          </cell>
        </row>
        <row r="66">
          <cell r="A66">
            <v>0</v>
          </cell>
          <cell r="B66">
            <v>0</v>
          </cell>
          <cell r="C66">
            <v>0</v>
          </cell>
          <cell r="D66">
            <v>1</v>
          </cell>
          <cell r="E66">
            <v>1</v>
          </cell>
          <cell r="F66">
            <v>4.2</v>
          </cell>
          <cell r="G66">
            <v>7</v>
          </cell>
          <cell r="H66">
            <v>0</v>
          </cell>
          <cell r="I66">
            <v>29.400000000000002</v>
          </cell>
          <cell r="J66">
            <v>0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1</v>
          </cell>
          <cell r="E67">
            <v>1</v>
          </cell>
          <cell r="F67">
            <v>1.7</v>
          </cell>
          <cell r="G67">
            <v>3.2</v>
          </cell>
          <cell r="H67">
            <v>0</v>
          </cell>
          <cell r="I67">
            <v>5.44</v>
          </cell>
          <cell r="J67">
            <v>0</v>
          </cell>
        </row>
        <row r="68">
          <cell r="A68">
            <v>0</v>
          </cell>
          <cell r="B68">
            <v>0</v>
          </cell>
          <cell r="C68" t="str">
            <v/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>
            <v>1.0502020399999996</v>
          </cell>
          <cell r="B69" t="str">
            <v>ELIMINACION DE MATERIAL EXCEDENTE DP=30m</v>
          </cell>
          <cell r="C69" t="str">
            <v>m3</v>
          </cell>
          <cell r="D69">
            <v>0</v>
          </cell>
          <cell r="E69" t="str">
            <v>% Esponjamiento</v>
          </cell>
          <cell r="F69">
            <v>0</v>
          </cell>
          <cell r="G69">
            <v>0</v>
          </cell>
          <cell r="H69">
            <v>1.25</v>
          </cell>
          <cell r="I69">
            <v>132.4453125</v>
          </cell>
          <cell r="J69">
            <v>132.4453125</v>
          </cell>
        </row>
        <row r="70">
          <cell r="A70">
            <v>0</v>
          </cell>
          <cell r="B70" t="str">
            <v xml:space="preserve">Eliminación de material excedente </v>
          </cell>
          <cell r="C70" t="str">
            <v/>
          </cell>
          <cell r="D70">
            <v>1</v>
          </cell>
          <cell r="E70">
            <v>1</v>
          </cell>
          <cell r="F70">
            <v>105.95625000000001</v>
          </cell>
          <cell r="G70">
            <v>0</v>
          </cell>
          <cell r="H70">
            <v>0</v>
          </cell>
          <cell r="I70">
            <v>105.95625000000001</v>
          </cell>
          <cell r="J70">
            <v>0</v>
          </cell>
        </row>
        <row r="71">
          <cell r="A71">
            <v>0</v>
          </cell>
          <cell r="B71">
            <v>0</v>
          </cell>
          <cell r="C71" t="str">
            <v/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>
            <v>1.0502029999999998</v>
          </cell>
          <cell r="B72" t="str">
            <v>CONCRETO SIMPLE</v>
          </cell>
          <cell r="C72" t="str">
            <v/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>
            <v>1.0502030099999997</v>
          </cell>
          <cell r="B73" t="str">
            <v>CONCRETO SIMPLE F'C=100 kg/cm2, e=4", S/MEZCLADORA</v>
          </cell>
          <cell r="C73" t="str">
            <v>m2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41.291999999999994</v>
          </cell>
          <cell r="J73">
            <v>41.291999999999994</v>
          </cell>
        </row>
        <row r="74">
          <cell r="A74">
            <v>0</v>
          </cell>
          <cell r="B74" t="str">
            <v>Solado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>
            <v>0</v>
          </cell>
          <cell r="B75" t="str">
            <v>ZONA DE FILTRO LENTO</v>
          </cell>
          <cell r="C75" t="str">
            <v/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</row>
        <row r="76">
          <cell r="A76">
            <v>0</v>
          </cell>
          <cell r="B76" t="str">
            <v>base del filtro lento</v>
          </cell>
          <cell r="C76" t="str">
            <v/>
          </cell>
          <cell r="D76">
            <v>1</v>
          </cell>
          <cell r="E76">
            <v>1</v>
          </cell>
          <cell r="F76">
            <v>7.72</v>
          </cell>
          <cell r="G76">
            <v>4.5999999999999996</v>
          </cell>
          <cell r="H76">
            <v>0</v>
          </cell>
          <cell r="I76">
            <v>35.511999999999993</v>
          </cell>
          <cell r="J76">
            <v>0</v>
          </cell>
        </row>
        <row r="77">
          <cell r="A77">
            <v>0</v>
          </cell>
          <cell r="B77" t="str">
            <v>CAJA DE VALVULAS</v>
          </cell>
          <cell r="C77" t="str">
            <v/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>
            <v>0</v>
          </cell>
          <cell r="B78" t="str">
            <v>En caja de válvulas (Salida)</v>
          </cell>
          <cell r="C78" t="str">
            <v/>
          </cell>
          <cell r="D78">
            <v>0</v>
          </cell>
          <cell r="E78">
            <v>0</v>
          </cell>
          <cell r="F78">
            <v>3.4</v>
          </cell>
          <cell r="G78">
            <v>1.7</v>
          </cell>
          <cell r="H78">
            <v>0</v>
          </cell>
          <cell r="I78">
            <v>5.7799999999999994</v>
          </cell>
          <cell r="J78">
            <v>0</v>
          </cell>
        </row>
        <row r="79">
          <cell r="A79">
            <v>0</v>
          </cell>
          <cell r="B79">
            <v>0</v>
          </cell>
          <cell r="C79" t="str">
            <v/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>
            <v>1.0502039999999997</v>
          </cell>
          <cell r="B80" t="str">
            <v>CONCRETO ARMADO</v>
          </cell>
          <cell r="C80" t="str">
            <v/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>
            <v>1.0502040099999996</v>
          </cell>
          <cell r="B81" t="str">
            <v>CONCRETO FC=210 KG/CM2, S/MEZCLADORA</v>
          </cell>
          <cell r="C81" t="str">
            <v>m3</v>
          </cell>
          <cell r="D81">
            <v>0</v>
          </cell>
          <cell r="E81" t="str">
            <v xml:space="preserve"> </v>
          </cell>
          <cell r="F81">
            <v>0</v>
          </cell>
          <cell r="G81">
            <v>0</v>
          </cell>
          <cell r="H81">
            <v>0</v>
          </cell>
          <cell r="I81">
            <v>43.603100000000005</v>
          </cell>
          <cell r="J81">
            <v>43.603100000000005</v>
          </cell>
        </row>
        <row r="82">
          <cell r="A82">
            <v>0</v>
          </cell>
          <cell r="B82" t="str">
            <v>ZONA DE ENTRADA</v>
          </cell>
          <cell r="C82" t="str">
            <v/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>
            <v>0</v>
          </cell>
          <cell r="B83" t="str">
            <v>En zona de entrada (caja de válvula) - piso</v>
          </cell>
          <cell r="C83" t="str">
            <v/>
          </cell>
          <cell r="D83">
            <v>1</v>
          </cell>
          <cell r="E83">
            <v>1</v>
          </cell>
          <cell r="F83">
            <v>0.60000000000000009</v>
          </cell>
          <cell r="G83">
            <v>0.7</v>
          </cell>
          <cell r="H83">
            <v>0.15</v>
          </cell>
          <cell r="I83">
            <v>6.3E-2</v>
          </cell>
          <cell r="J83">
            <v>0</v>
          </cell>
        </row>
        <row r="84">
          <cell r="A84">
            <v>0</v>
          </cell>
          <cell r="B84" t="str">
            <v>En zona de entrada (compuerta) - piso</v>
          </cell>
          <cell r="C84" t="str">
            <v/>
          </cell>
          <cell r="D84">
            <v>1</v>
          </cell>
          <cell r="E84">
            <v>1</v>
          </cell>
          <cell r="F84">
            <v>2.2999999999999998</v>
          </cell>
          <cell r="G84" t="str">
            <v>Área=</v>
          </cell>
          <cell r="H84">
            <v>0.11</v>
          </cell>
          <cell r="I84">
            <v>0.253</v>
          </cell>
          <cell r="J84">
            <v>0</v>
          </cell>
        </row>
        <row r="85">
          <cell r="A85">
            <v>0</v>
          </cell>
          <cell r="B85" t="str">
            <v>En zona de entrada (caja de válvula) - pared longitudinal</v>
          </cell>
          <cell r="C85" t="str">
            <v/>
          </cell>
          <cell r="D85">
            <v>1</v>
          </cell>
          <cell r="E85">
            <v>1</v>
          </cell>
          <cell r="F85" t="str">
            <v>Área=</v>
          </cell>
          <cell r="G85">
            <v>0.22</v>
          </cell>
          <cell r="H85">
            <v>0.65</v>
          </cell>
          <cell r="I85">
            <v>0.14300000000000002</v>
          </cell>
          <cell r="J85">
            <v>0</v>
          </cell>
        </row>
        <row r="86">
          <cell r="A86">
            <v>0</v>
          </cell>
          <cell r="B86" t="str">
            <v>En zona de entrada (compuerta) - pared transversal</v>
          </cell>
          <cell r="C86" t="str">
            <v/>
          </cell>
          <cell r="D86">
            <v>1</v>
          </cell>
          <cell r="E86">
            <v>1</v>
          </cell>
          <cell r="F86" t="str">
            <v>Área=</v>
          </cell>
          <cell r="G86">
            <v>0.495</v>
          </cell>
          <cell r="H86">
            <v>0.75</v>
          </cell>
          <cell r="I86">
            <v>0.37124999999999997</v>
          </cell>
          <cell r="J86">
            <v>0</v>
          </cell>
        </row>
        <row r="87">
          <cell r="A87">
            <v>0</v>
          </cell>
          <cell r="B87" t="str">
            <v>canal de distribución</v>
          </cell>
          <cell r="C87" t="str">
            <v/>
          </cell>
          <cell r="D87">
            <v>1</v>
          </cell>
          <cell r="E87">
            <v>2</v>
          </cell>
          <cell r="F87" t="str">
            <v>Área=</v>
          </cell>
          <cell r="G87">
            <v>6.6000000000000003E-2</v>
          </cell>
          <cell r="H87">
            <v>0.15</v>
          </cell>
          <cell r="I87">
            <v>1.9800000000000002E-2</v>
          </cell>
          <cell r="J87">
            <v>0</v>
          </cell>
        </row>
        <row r="88">
          <cell r="A88">
            <v>0</v>
          </cell>
          <cell r="B88" t="str">
            <v>ZONA DE FILTRO LENTO</v>
          </cell>
          <cell r="C88" t="str">
            <v/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>
            <v>0</v>
          </cell>
          <cell r="B89" t="str">
            <v>En piso de la zona de filtro</v>
          </cell>
          <cell r="C89" t="str">
            <v/>
          </cell>
          <cell r="D89">
            <v>1</v>
          </cell>
          <cell r="E89">
            <v>1</v>
          </cell>
          <cell r="F89">
            <v>4.5999999999999996</v>
          </cell>
          <cell r="G89">
            <v>7.72</v>
          </cell>
          <cell r="H89">
            <v>0.4</v>
          </cell>
          <cell r="I89">
            <v>14.204799999999999</v>
          </cell>
          <cell r="J89">
            <v>0</v>
          </cell>
        </row>
        <row r="90">
          <cell r="A90">
            <v>0</v>
          </cell>
          <cell r="B90" t="str">
            <v>En pared longitudinal superior</v>
          </cell>
          <cell r="C90" t="str">
            <v/>
          </cell>
          <cell r="D90">
            <v>1</v>
          </cell>
          <cell r="E90">
            <v>3</v>
          </cell>
          <cell r="F90">
            <v>4.5999999999999996</v>
          </cell>
          <cell r="G90">
            <v>0.2</v>
          </cell>
          <cell r="H90">
            <v>3.3</v>
          </cell>
          <cell r="I90">
            <v>9.1079999999999988</v>
          </cell>
          <cell r="J90">
            <v>0</v>
          </cell>
        </row>
        <row r="91">
          <cell r="A91">
            <v>0</v>
          </cell>
          <cell r="B91" t="str">
            <v>En pared longitudinal inferior</v>
          </cell>
          <cell r="C91" t="str">
            <v/>
          </cell>
          <cell r="D91">
            <v>1</v>
          </cell>
          <cell r="E91">
            <v>4</v>
          </cell>
          <cell r="F91">
            <v>3.2</v>
          </cell>
          <cell r="G91">
            <v>0.2</v>
          </cell>
          <cell r="H91">
            <v>3.3</v>
          </cell>
          <cell r="I91">
            <v>8.4480000000000004</v>
          </cell>
          <cell r="J91">
            <v>0</v>
          </cell>
        </row>
        <row r="92">
          <cell r="A92">
            <v>0</v>
          </cell>
          <cell r="B92" t="str">
            <v>Menos zona de vertedero (entrada)</v>
          </cell>
          <cell r="C92" t="str">
            <v/>
          </cell>
          <cell r="D92">
            <v>1</v>
          </cell>
          <cell r="E92">
            <v>-2</v>
          </cell>
          <cell r="F92">
            <v>0.6</v>
          </cell>
          <cell r="G92">
            <v>0.2</v>
          </cell>
          <cell r="H92">
            <v>0.4</v>
          </cell>
          <cell r="I92">
            <v>-9.6000000000000002E-2</v>
          </cell>
          <cell r="J92">
            <v>0</v>
          </cell>
        </row>
        <row r="93">
          <cell r="A93">
            <v>0</v>
          </cell>
          <cell r="B93" t="str">
            <v>Menos zona de vertedero (Salida)</v>
          </cell>
          <cell r="C93" t="str">
            <v/>
          </cell>
          <cell r="D93">
            <v>1</v>
          </cell>
          <cell r="E93">
            <v>-2</v>
          </cell>
          <cell r="F93">
            <v>0.6</v>
          </cell>
          <cell r="G93">
            <v>0.2</v>
          </cell>
          <cell r="H93">
            <v>0.55000000000000004</v>
          </cell>
          <cell r="I93">
            <v>-0.13200000000000001</v>
          </cell>
          <cell r="J93">
            <v>0</v>
          </cell>
        </row>
        <row r="94">
          <cell r="A94">
            <v>0</v>
          </cell>
          <cell r="B94" t="str">
            <v>canaleta principal</v>
          </cell>
          <cell r="C94" t="str">
            <v/>
          </cell>
          <cell r="D94">
            <v>1</v>
          </cell>
          <cell r="E94">
            <v>4</v>
          </cell>
          <cell r="F94">
            <v>4.2</v>
          </cell>
          <cell r="G94">
            <v>0.09</v>
          </cell>
          <cell r="H94">
            <v>0.25</v>
          </cell>
          <cell r="I94">
            <v>0.378</v>
          </cell>
          <cell r="J94">
            <v>0</v>
          </cell>
        </row>
        <row r="95">
          <cell r="A95">
            <v>0</v>
          </cell>
          <cell r="B95" t="str">
            <v>canal lateral</v>
          </cell>
          <cell r="C95" t="str">
            <v/>
          </cell>
          <cell r="D95">
            <v>1</v>
          </cell>
          <cell r="E95">
            <v>34</v>
          </cell>
          <cell r="F95">
            <v>2.85</v>
          </cell>
          <cell r="G95">
            <v>0.09</v>
          </cell>
          <cell r="H95">
            <v>0.25</v>
          </cell>
          <cell r="I95">
            <v>2.18025</v>
          </cell>
          <cell r="J95">
            <v>0</v>
          </cell>
        </row>
        <row r="96">
          <cell r="A96">
            <v>0</v>
          </cell>
          <cell r="B96" t="str">
            <v>ZONA DE SALIDA</v>
          </cell>
          <cell r="C96" t="str">
            <v/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</row>
        <row r="97">
          <cell r="A97">
            <v>0</v>
          </cell>
          <cell r="B97" t="str">
            <v>En zona de entrada (caja de válvula) - piso</v>
          </cell>
          <cell r="C97" t="str">
            <v/>
          </cell>
          <cell r="D97">
            <v>1</v>
          </cell>
          <cell r="E97">
            <v>1</v>
          </cell>
          <cell r="F97">
            <v>1.7</v>
          </cell>
          <cell r="G97" t="str">
            <v>Área=</v>
          </cell>
          <cell r="H97">
            <v>0.77</v>
          </cell>
          <cell r="I97">
            <v>1.3089999999999999</v>
          </cell>
          <cell r="J97">
            <v>0</v>
          </cell>
        </row>
        <row r="98">
          <cell r="A98">
            <v>0</v>
          </cell>
          <cell r="B98" t="str">
            <v>En zona de entrada (caja de válvula) - pared longitudinal</v>
          </cell>
          <cell r="C98" t="str">
            <v/>
          </cell>
          <cell r="D98">
            <v>1</v>
          </cell>
          <cell r="E98">
            <v>4</v>
          </cell>
          <cell r="F98">
            <v>1.7</v>
          </cell>
          <cell r="G98">
            <v>0.15</v>
          </cell>
          <cell r="H98">
            <v>3.39</v>
          </cell>
          <cell r="I98">
            <v>3.4578000000000002</v>
          </cell>
          <cell r="J98">
            <v>0</v>
          </cell>
        </row>
        <row r="99">
          <cell r="A99">
            <v>0</v>
          </cell>
          <cell r="B99" t="str">
            <v>En zona de entrada (caja de válvulas) - pared transversal</v>
          </cell>
          <cell r="C99" t="str">
            <v/>
          </cell>
          <cell r="D99">
            <v>1</v>
          </cell>
          <cell r="E99">
            <v>1</v>
          </cell>
          <cell r="F99">
            <v>3.2</v>
          </cell>
          <cell r="G99">
            <v>0.15</v>
          </cell>
          <cell r="H99">
            <v>3.39</v>
          </cell>
          <cell r="I99">
            <v>1.6272</v>
          </cell>
          <cell r="J99">
            <v>0</v>
          </cell>
        </row>
        <row r="100">
          <cell r="A100">
            <v>0</v>
          </cell>
          <cell r="B100" t="str">
            <v>vertedero de control</v>
          </cell>
          <cell r="C100" t="str">
            <v/>
          </cell>
          <cell r="D100">
            <v>1</v>
          </cell>
          <cell r="E100">
            <v>2</v>
          </cell>
          <cell r="F100">
            <v>0.6</v>
          </cell>
          <cell r="G100">
            <v>0.7</v>
          </cell>
          <cell r="H100">
            <v>1.7</v>
          </cell>
          <cell r="I100">
            <v>1.4279999999999999</v>
          </cell>
          <cell r="J100">
            <v>0</v>
          </cell>
        </row>
        <row r="101">
          <cell r="A101">
            <v>0</v>
          </cell>
          <cell r="B101" t="str">
            <v>sello de concreto</v>
          </cell>
          <cell r="C101" t="str">
            <v/>
          </cell>
          <cell r="D101">
            <v>1</v>
          </cell>
          <cell r="E101">
            <v>2</v>
          </cell>
          <cell r="F101">
            <v>0.7</v>
          </cell>
          <cell r="G101">
            <v>0.6</v>
          </cell>
          <cell r="H101">
            <v>1</v>
          </cell>
          <cell r="I101">
            <v>0.84</v>
          </cell>
          <cell r="J101">
            <v>0</v>
          </cell>
        </row>
        <row r="102">
          <cell r="A102">
            <v>0</v>
          </cell>
          <cell r="B102">
            <v>0</v>
          </cell>
          <cell r="C102" t="str">
            <v/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03">
          <cell r="A103">
            <v>1.0502040199999996</v>
          </cell>
          <cell r="B103" t="str">
            <v>ENCOFRADO Y DESENCOFRADO NORMAL</v>
          </cell>
          <cell r="C103" t="str">
            <v>m2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311.637</v>
          </cell>
          <cell r="J103">
            <v>311.637</v>
          </cell>
        </row>
        <row r="104">
          <cell r="A104">
            <v>0</v>
          </cell>
          <cell r="B104" t="str">
            <v>ZONA DE ENTRADA</v>
          </cell>
          <cell r="C104" t="str">
            <v/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>
            <v>0</v>
          </cell>
          <cell r="B105" t="str">
            <v>En zona de entrada (caja de válvula) - pared longitudinal</v>
          </cell>
          <cell r="C105" t="str">
            <v/>
          </cell>
          <cell r="D105">
            <v>1</v>
          </cell>
          <cell r="E105">
            <v>1</v>
          </cell>
          <cell r="F105">
            <v>4</v>
          </cell>
          <cell r="G105">
            <v>0.65</v>
          </cell>
          <cell r="H105">
            <v>0</v>
          </cell>
          <cell r="I105">
            <v>2.6</v>
          </cell>
          <cell r="J105">
            <v>0</v>
          </cell>
        </row>
        <row r="106">
          <cell r="A106">
            <v>0</v>
          </cell>
          <cell r="B106" t="str">
            <v>En zona de entrada (compuerta) - pared transversal</v>
          </cell>
          <cell r="C106">
            <v>0</v>
          </cell>
          <cell r="D106">
            <v>0</v>
          </cell>
          <cell r="E106">
            <v>1</v>
          </cell>
          <cell r="F106">
            <v>3.6</v>
          </cell>
          <cell r="G106">
            <v>0.65</v>
          </cell>
          <cell r="H106">
            <v>0</v>
          </cell>
          <cell r="I106">
            <v>2.3400000000000003</v>
          </cell>
          <cell r="J106">
            <v>0</v>
          </cell>
        </row>
        <row r="107">
          <cell r="A107">
            <v>0</v>
          </cell>
          <cell r="B107" t="str">
            <v>En zona de entrada (compuerta) - pared transversal</v>
          </cell>
          <cell r="C107">
            <v>0</v>
          </cell>
          <cell r="D107">
            <v>0</v>
          </cell>
          <cell r="E107">
            <v>1</v>
          </cell>
          <cell r="F107">
            <v>3</v>
          </cell>
          <cell r="G107">
            <v>0.65</v>
          </cell>
          <cell r="H107">
            <v>0</v>
          </cell>
          <cell r="I107">
            <v>1.9500000000000002</v>
          </cell>
          <cell r="J107">
            <v>0</v>
          </cell>
        </row>
        <row r="108">
          <cell r="A108">
            <v>0</v>
          </cell>
          <cell r="B108" t="str">
            <v>ZONA DE FILTRO LENTO</v>
          </cell>
          <cell r="C108" t="str">
            <v/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</row>
        <row r="109">
          <cell r="A109">
            <v>0</v>
          </cell>
          <cell r="B109" t="str">
            <v>En piso de la zona de filtro</v>
          </cell>
          <cell r="C109" t="str">
            <v/>
          </cell>
          <cell r="D109">
            <v>1</v>
          </cell>
          <cell r="E109">
            <v>2</v>
          </cell>
          <cell r="F109">
            <v>7</v>
          </cell>
          <cell r="G109">
            <v>0.4</v>
          </cell>
          <cell r="H109">
            <v>0</v>
          </cell>
          <cell r="I109">
            <v>5.6000000000000005</v>
          </cell>
          <cell r="J109">
            <v>0</v>
          </cell>
        </row>
        <row r="110">
          <cell r="A110">
            <v>0</v>
          </cell>
          <cell r="B110">
            <v>0</v>
          </cell>
          <cell r="C110" t="str">
            <v/>
          </cell>
          <cell r="D110">
            <v>0</v>
          </cell>
          <cell r="E110">
            <v>2</v>
          </cell>
          <cell r="F110">
            <v>4.5999999999999996</v>
          </cell>
          <cell r="G110">
            <v>0.4</v>
          </cell>
          <cell r="H110">
            <v>0</v>
          </cell>
          <cell r="I110">
            <v>3.6799999999999997</v>
          </cell>
          <cell r="J110">
            <v>0</v>
          </cell>
        </row>
        <row r="111">
          <cell r="A111">
            <v>0</v>
          </cell>
          <cell r="B111" t="str">
            <v>En pared longitudinal superior</v>
          </cell>
          <cell r="C111" t="str">
            <v/>
          </cell>
          <cell r="D111">
            <v>1</v>
          </cell>
          <cell r="E111">
            <v>2</v>
          </cell>
          <cell r="F111">
            <v>7</v>
          </cell>
          <cell r="G111">
            <v>3.3</v>
          </cell>
          <cell r="H111">
            <v>0</v>
          </cell>
          <cell r="I111">
            <v>46.199999999999996</v>
          </cell>
          <cell r="J111">
            <v>0</v>
          </cell>
        </row>
        <row r="112">
          <cell r="A112">
            <v>0</v>
          </cell>
          <cell r="B112">
            <v>0</v>
          </cell>
          <cell r="C112" t="str">
            <v/>
          </cell>
          <cell r="D112">
            <v>0</v>
          </cell>
          <cell r="E112">
            <v>2</v>
          </cell>
          <cell r="F112">
            <v>4.5999999999999996</v>
          </cell>
          <cell r="G112">
            <v>3.3</v>
          </cell>
          <cell r="H112">
            <v>0</v>
          </cell>
          <cell r="I112">
            <v>30.359999999999996</v>
          </cell>
          <cell r="J112">
            <v>0</v>
          </cell>
        </row>
        <row r="113">
          <cell r="A113">
            <v>0</v>
          </cell>
          <cell r="B113" t="str">
            <v>En pared longitudinal inferior</v>
          </cell>
          <cell r="C113" t="str">
            <v/>
          </cell>
          <cell r="D113">
            <v>1</v>
          </cell>
          <cell r="E113">
            <v>2</v>
          </cell>
          <cell r="F113">
            <v>6.6</v>
          </cell>
          <cell r="G113">
            <v>3.3</v>
          </cell>
          <cell r="H113">
            <v>0</v>
          </cell>
          <cell r="I113">
            <v>43.559999999999995</v>
          </cell>
          <cell r="J113">
            <v>0</v>
          </cell>
        </row>
        <row r="114">
          <cell r="A114">
            <v>0</v>
          </cell>
          <cell r="B114">
            <v>0</v>
          </cell>
          <cell r="C114" t="str">
            <v/>
          </cell>
          <cell r="D114">
            <v>0</v>
          </cell>
          <cell r="E114">
            <v>4</v>
          </cell>
          <cell r="F114">
            <v>4.2</v>
          </cell>
          <cell r="G114">
            <v>3.3</v>
          </cell>
          <cell r="H114">
            <v>0</v>
          </cell>
          <cell r="I114">
            <v>55.44</v>
          </cell>
          <cell r="J114">
            <v>0</v>
          </cell>
        </row>
        <row r="115">
          <cell r="A115">
            <v>0</v>
          </cell>
          <cell r="B115" t="str">
            <v>canaleta principal</v>
          </cell>
          <cell r="C115" t="str">
            <v/>
          </cell>
          <cell r="D115">
            <v>1</v>
          </cell>
          <cell r="E115">
            <v>4</v>
          </cell>
          <cell r="F115">
            <v>4.2</v>
          </cell>
          <cell r="G115">
            <v>0.25</v>
          </cell>
          <cell r="H115">
            <v>0</v>
          </cell>
          <cell r="I115">
            <v>4.2</v>
          </cell>
          <cell r="J115">
            <v>0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1</v>
          </cell>
          <cell r="E116">
            <v>2</v>
          </cell>
          <cell r="F116">
            <v>3.2</v>
          </cell>
          <cell r="G116">
            <v>0.25</v>
          </cell>
          <cell r="H116">
            <v>0</v>
          </cell>
          <cell r="I116">
            <v>1.6</v>
          </cell>
          <cell r="J116">
            <v>0</v>
          </cell>
        </row>
        <row r="117">
          <cell r="A117">
            <v>0</v>
          </cell>
          <cell r="B117" t="str">
            <v>canal lateral</v>
          </cell>
          <cell r="C117" t="str">
            <v/>
          </cell>
          <cell r="D117">
            <v>1</v>
          </cell>
          <cell r="E117">
            <v>62</v>
          </cell>
          <cell r="F117">
            <v>2.85</v>
          </cell>
          <cell r="G117">
            <v>0.25</v>
          </cell>
          <cell r="H117">
            <v>0</v>
          </cell>
          <cell r="I117">
            <v>44.175000000000004</v>
          </cell>
          <cell r="J117">
            <v>0</v>
          </cell>
        </row>
        <row r="118">
          <cell r="A118">
            <v>0</v>
          </cell>
          <cell r="B118">
            <v>0</v>
          </cell>
          <cell r="C118" t="str">
            <v/>
          </cell>
          <cell r="D118">
            <v>1</v>
          </cell>
          <cell r="E118">
            <v>32</v>
          </cell>
          <cell r="F118">
            <v>0.09</v>
          </cell>
          <cell r="G118">
            <v>0.25</v>
          </cell>
          <cell r="H118">
            <v>0</v>
          </cell>
          <cell r="I118">
            <v>0.72</v>
          </cell>
          <cell r="J118">
            <v>0</v>
          </cell>
        </row>
        <row r="119">
          <cell r="A119">
            <v>0</v>
          </cell>
          <cell r="B119" t="str">
            <v>ZONA DE SALIDA</v>
          </cell>
          <cell r="C119" t="str">
            <v/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>
            <v>0</v>
          </cell>
          <cell r="B120" t="str">
            <v>En zona de entrada (caja de válvula) - piso</v>
          </cell>
          <cell r="C120" t="str">
            <v/>
          </cell>
          <cell r="D120">
            <v>1</v>
          </cell>
          <cell r="E120">
            <v>1</v>
          </cell>
          <cell r="F120">
            <v>1.7</v>
          </cell>
          <cell r="G120">
            <v>0.2</v>
          </cell>
          <cell r="H120">
            <v>0</v>
          </cell>
          <cell r="I120">
            <v>0.34</v>
          </cell>
          <cell r="J120">
            <v>0</v>
          </cell>
        </row>
        <row r="121">
          <cell r="A121">
            <v>0</v>
          </cell>
          <cell r="B121">
            <v>0</v>
          </cell>
          <cell r="C121" t="str">
            <v/>
          </cell>
          <cell r="D121">
            <v>0</v>
          </cell>
          <cell r="E121">
            <v>0</v>
          </cell>
          <cell r="F121">
            <v>3.2</v>
          </cell>
          <cell r="G121">
            <v>0.2</v>
          </cell>
          <cell r="H121">
            <v>0</v>
          </cell>
          <cell r="I121">
            <v>0.64000000000000012</v>
          </cell>
          <cell r="J121">
            <v>0</v>
          </cell>
        </row>
        <row r="122">
          <cell r="A122">
            <v>0</v>
          </cell>
          <cell r="B122" t="str">
            <v>En zona de salida (caja de válvula) - pared longitudinal</v>
          </cell>
          <cell r="C122" t="str">
            <v/>
          </cell>
          <cell r="D122">
            <v>1</v>
          </cell>
          <cell r="E122">
            <v>2</v>
          </cell>
          <cell r="F122">
            <v>3.2</v>
          </cell>
          <cell r="G122">
            <v>3.39</v>
          </cell>
          <cell r="H122">
            <v>0</v>
          </cell>
          <cell r="I122">
            <v>21.696000000000002</v>
          </cell>
          <cell r="J122">
            <v>0</v>
          </cell>
        </row>
        <row r="123">
          <cell r="A123">
            <v>0</v>
          </cell>
          <cell r="B123" t="str">
            <v>En zona de salida (caja de válvulas) - pared transversal</v>
          </cell>
          <cell r="C123" t="str">
            <v/>
          </cell>
          <cell r="D123">
            <v>1</v>
          </cell>
          <cell r="E123">
            <v>8</v>
          </cell>
          <cell r="F123">
            <v>1.55</v>
          </cell>
          <cell r="G123">
            <v>3.39</v>
          </cell>
          <cell r="H123">
            <v>0</v>
          </cell>
          <cell r="I123">
            <v>42.036000000000001</v>
          </cell>
          <cell r="J123">
            <v>0</v>
          </cell>
        </row>
        <row r="124">
          <cell r="A124">
            <v>0</v>
          </cell>
          <cell r="B124" t="str">
            <v>vertedero de control</v>
          </cell>
          <cell r="C124" t="str">
            <v/>
          </cell>
          <cell r="D124">
            <v>1</v>
          </cell>
          <cell r="E124">
            <v>4</v>
          </cell>
          <cell r="F124">
            <v>0.6</v>
          </cell>
          <cell r="G124">
            <v>1.7</v>
          </cell>
          <cell r="H124">
            <v>0</v>
          </cell>
          <cell r="I124">
            <v>4.08</v>
          </cell>
          <cell r="J124">
            <v>0</v>
          </cell>
        </row>
        <row r="125">
          <cell r="A125">
            <v>0</v>
          </cell>
          <cell r="B125">
            <v>0</v>
          </cell>
          <cell r="C125" t="str">
            <v/>
          </cell>
          <cell r="D125">
            <v>1</v>
          </cell>
          <cell r="E125">
            <v>1</v>
          </cell>
          <cell r="F125">
            <v>0.6</v>
          </cell>
          <cell r="G125">
            <v>0.7</v>
          </cell>
          <cell r="H125">
            <v>0</v>
          </cell>
          <cell r="I125">
            <v>0.42</v>
          </cell>
          <cell r="J125">
            <v>0</v>
          </cell>
        </row>
        <row r="126">
          <cell r="A126">
            <v>0</v>
          </cell>
          <cell r="B126">
            <v>0</v>
          </cell>
          <cell r="C126" t="str">
            <v/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</row>
        <row r="127">
          <cell r="A127">
            <v>1.0502040299999995</v>
          </cell>
          <cell r="B127" t="str">
            <v>ACERO CORRUGADO fy=4200 kg/cm2 GRADO 60</v>
          </cell>
          <cell r="C127" t="str">
            <v>kg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2852.2527000000005</v>
          </cell>
        </row>
        <row r="128">
          <cell r="A128">
            <v>0</v>
          </cell>
          <cell r="B128">
            <v>0</v>
          </cell>
          <cell r="C128" t="str">
            <v/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</row>
        <row r="129">
          <cell r="A129">
            <v>1.0502049999999996</v>
          </cell>
          <cell r="B129" t="str">
            <v>REVOQUES Y ENLUCIDOS</v>
          </cell>
          <cell r="C129" t="str">
            <v/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>
            <v>1.0502050099999996</v>
          </cell>
          <cell r="B130" t="str">
            <v>TARRAJEO C/IMPERMEBILIZANTE  M=1:2 C:A E=1.5 cm</v>
          </cell>
          <cell r="C130" t="str">
            <v>m2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285.28899999999999</v>
          </cell>
          <cell r="J130">
            <v>285.28899999999999</v>
          </cell>
        </row>
        <row r="131">
          <cell r="A131">
            <v>0</v>
          </cell>
          <cell r="B131" t="str">
            <v>ZONA DE ENTRADA</v>
          </cell>
          <cell r="C131" t="str">
            <v/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>
            <v>0</v>
          </cell>
          <cell r="B132" t="str">
            <v>En zona de entrada (caja de válvula) - piso</v>
          </cell>
          <cell r="C132" t="str">
            <v/>
          </cell>
          <cell r="D132">
            <v>1</v>
          </cell>
          <cell r="E132">
            <v>1</v>
          </cell>
          <cell r="F132">
            <v>0.6</v>
          </cell>
          <cell r="G132">
            <v>0.7</v>
          </cell>
          <cell r="H132">
            <v>0</v>
          </cell>
          <cell r="I132">
            <v>0.42</v>
          </cell>
          <cell r="J132">
            <v>0</v>
          </cell>
        </row>
        <row r="133">
          <cell r="A133">
            <v>0</v>
          </cell>
          <cell r="B133" t="str">
            <v>En zona de entrada (compuerta) - piso</v>
          </cell>
          <cell r="C133" t="str">
            <v/>
          </cell>
          <cell r="D133">
            <v>1</v>
          </cell>
          <cell r="E133">
            <v>1</v>
          </cell>
          <cell r="F133">
            <v>2</v>
          </cell>
          <cell r="G133">
            <v>0.5</v>
          </cell>
          <cell r="H133">
            <v>0</v>
          </cell>
          <cell r="I133">
            <v>1</v>
          </cell>
          <cell r="J133">
            <v>0</v>
          </cell>
        </row>
        <row r="134">
          <cell r="A134">
            <v>0</v>
          </cell>
          <cell r="B134" t="str">
            <v>En zona de entrada (caja de válvula) - pared longitudinal</v>
          </cell>
          <cell r="C134" t="str">
            <v/>
          </cell>
          <cell r="D134">
            <v>1</v>
          </cell>
          <cell r="E134">
            <v>1</v>
          </cell>
          <cell r="F134">
            <v>4</v>
          </cell>
          <cell r="G134">
            <v>0.65</v>
          </cell>
          <cell r="H134">
            <v>0</v>
          </cell>
          <cell r="I134">
            <v>2.6</v>
          </cell>
          <cell r="J134">
            <v>0</v>
          </cell>
        </row>
        <row r="135">
          <cell r="A135">
            <v>0</v>
          </cell>
          <cell r="B135" t="str">
            <v>En zona de entrada (compuerta) - pared transversal</v>
          </cell>
          <cell r="C135" t="str">
            <v/>
          </cell>
          <cell r="D135">
            <v>1</v>
          </cell>
          <cell r="E135">
            <v>1</v>
          </cell>
          <cell r="F135">
            <v>3.6</v>
          </cell>
          <cell r="G135">
            <v>0.65</v>
          </cell>
          <cell r="H135">
            <v>0</v>
          </cell>
          <cell r="I135">
            <v>2.3400000000000003</v>
          </cell>
          <cell r="J135">
            <v>0</v>
          </cell>
        </row>
        <row r="136">
          <cell r="A136">
            <v>0</v>
          </cell>
          <cell r="B136" t="str">
            <v>En zona de entrada (compuerta) - pared transversal</v>
          </cell>
          <cell r="C136" t="str">
            <v/>
          </cell>
          <cell r="D136">
            <v>1</v>
          </cell>
          <cell r="E136">
            <v>1</v>
          </cell>
          <cell r="F136">
            <v>3</v>
          </cell>
          <cell r="G136">
            <v>0.65</v>
          </cell>
          <cell r="H136">
            <v>0</v>
          </cell>
          <cell r="I136">
            <v>1.9500000000000002</v>
          </cell>
          <cell r="J136">
            <v>0</v>
          </cell>
        </row>
        <row r="137">
          <cell r="A137">
            <v>0</v>
          </cell>
          <cell r="B137" t="str">
            <v>ZONA DE FILTRO LENTO</v>
          </cell>
          <cell r="C137" t="str">
            <v/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>
            <v>0</v>
          </cell>
          <cell r="B138" t="str">
            <v>En piso de la zona de filtro</v>
          </cell>
          <cell r="C138" t="str">
            <v/>
          </cell>
          <cell r="D138">
            <v>1</v>
          </cell>
          <cell r="E138">
            <v>1</v>
          </cell>
          <cell r="F138">
            <v>4.5999999999999996</v>
          </cell>
          <cell r="G138">
            <v>7.72</v>
          </cell>
          <cell r="H138">
            <v>0</v>
          </cell>
          <cell r="I138">
            <v>35.511999999999993</v>
          </cell>
          <cell r="J138">
            <v>0</v>
          </cell>
        </row>
        <row r="139">
          <cell r="A139">
            <v>0</v>
          </cell>
          <cell r="B139" t="str">
            <v>En pared longitudinal superior</v>
          </cell>
          <cell r="C139" t="str">
            <v/>
          </cell>
          <cell r="D139">
            <v>1</v>
          </cell>
          <cell r="E139">
            <v>2</v>
          </cell>
          <cell r="F139">
            <v>7</v>
          </cell>
          <cell r="G139">
            <v>1</v>
          </cell>
          <cell r="H139">
            <v>0</v>
          </cell>
          <cell r="I139">
            <v>14</v>
          </cell>
          <cell r="J139">
            <v>0</v>
          </cell>
        </row>
        <row r="140">
          <cell r="A140">
            <v>0</v>
          </cell>
          <cell r="B140">
            <v>0</v>
          </cell>
          <cell r="C140" t="str">
            <v/>
          </cell>
          <cell r="D140">
            <v>0</v>
          </cell>
          <cell r="E140">
            <v>2</v>
          </cell>
          <cell r="F140">
            <v>4.5999999999999996</v>
          </cell>
          <cell r="G140">
            <v>1</v>
          </cell>
          <cell r="H140">
            <v>0</v>
          </cell>
          <cell r="I140">
            <v>9.1999999999999993</v>
          </cell>
          <cell r="J140">
            <v>0</v>
          </cell>
        </row>
        <row r="141">
          <cell r="A141">
            <v>0</v>
          </cell>
          <cell r="B141" t="str">
            <v>En pared longitudinal inferior</v>
          </cell>
          <cell r="C141" t="str">
            <v/>
          </cell>
          <cell r="D141">
            <v>1</v>
          </cell>
          <cell r="E141">
            <v>2</v>
          </cell>
          <cell r="F141">
            <v>6.6</v>
          </cell>
          <cell r="G141">
            <v>3.3</v>
          </cell>
          <cell r="H141">
            <v>0</v>
          </cell>
          <cell r="I141">
            <v>43.559999999999995</v>
          </cell>
          <cell r="J141">
            <v>0</v>
          </cell>
        </row>
        <row r="142">
          <cell r="A142">
            <v>0</v>
          </cell>
          <cell r="B142">
            <v>0</v>
          </cell>
          <cell r="C142" t="str">
            <v/>
          </cell>
          <cell r="D142">
            <v>0</v>
          </cell>
          <cell r="E142">
            <v>4</v>
          </cell>
          <cell r="F142">
            <v>4.2</v>
          </cell>
          <cell r="G142">
            <v>3.3</v>
          </cell>
          <cell r="H142">
            <v>0</v>
          </cell>
          <cell r="I142">
            <v>55.44</v>
          </cell>
          <cell r="J142">
            <v>0</v>
          </cell>
        </row>
        <row r="143">
          <cell r="A143">
            <v>0</v>
          </cell>
          <cell r="B143" t="str">
            <v>canaleta principal</v>
          </cell>
          <cell r="C143" t="str">
            <v/>
          </cell>
          <cell r="D143">
            <v>1</v>
          </cell>
          <cell r="E143">
            <v>4</v>
          </cell>
          <cell r="F143">
            <v>4.2</v>
          </cell>
          <cell r="G143">
            <v>0.25</v>
          </cell>
          <cell r="H143">
            <v>0</v>
          </cell>
          <cell r="I143">
            <v>4.2</v>
          </cell>
          <cell r="J143">
            <v>0</v>
          </cell>
        </row>
        <row r="144">
          <cell r="A144">
            <v>0</v>
          </cell>
          <cell r="B144">
            <v>0</v>
          </cell>
          <cell r="C144">
            <v>0</v>
          </cell>
          <cell r="D144">
            <v>1</v>
          </cell>
          <cell r="E144">
            <v>2</v>
          </cell>
          <cell r="F144">
            <v>3.2</v>
          </cell>
          <cell r="G144">
            <v>0.25</v>
          </cell>
          <cell r="H144">
            <v>0</v>
          </cell>
          <cell r="I144">
            <v>1.6</v>
          </cell>
          <cell r="J144">
            <v>0</v>
          </cell>
        </row>
        <row r="145">
          <cell r="A145">
            <v>0</v>
          </cell>
          <cell r="B145" t="str">
            <v>canal lateral</v>
          </cell>
          <cell r="C145" t="str">
            <v/>
          </cell>
          <cell r="D145">
            <v>1</v>
          </cell>
          <cell r="E145">
            <v>62</v>
          </cell>
          <cell r="F145">
            <v>2.85</v>
          </cell>
          <cell r="G145">
            <v>0.25</v>
          </cell>
          <cell r="H145">
            <v>0</v>
          </cell>
          <cell r="I145">
            <v>44.175000000000004</v>
          </cell>
          <cell r="J145">
            <v>0</v>
          </cell>
        </row>
        <row r="146">
          <cell r="A146">
            <v>0</v>
          </cell>
          <cell r="B146">
            <v>0</v>
          </cell>
          <cell r="C146" t="str">
            <v/>
          </cell>
          <cell r="D146">
            <v>1</v>
          </cell>
          <cell r="E146">
            <v>32</v>
          </cell>
          <cell r="F146">
            <v>0.09</v>
          </cell>
          <cell r="G146">
            <v>0.25</v>
          </cell>
          <cell r="H146">
            <v>0</v>
          </cell>
          <cell r="I146">
            <v>0.72</v>
          </cell>
          <cell r="J146">
            <v>0</v>
          </cell>
        </row>
        <row r="147">
          <cell r="A147">
            <v>0</v>
          </cell>
          <cell r="B147" t="str">
            <v>ZONA DE SALIDA</v>
          </cell>
          <cell r="C147" t="str">
            <v/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>
            <v>0</v>
          </cell>
          <cell r="B148" t="str">
            <v>En zona de entrada (caja de válvula) - piso</v>
          </cell>
          <cell r="C148" t="str">
            <v/>
          </cell>
          <cell r="D148">
            <v>1</v>
          </cell>
          <cell r="E148">
            <v>1</v>
          </cell>
          <cell r="F148">
            <v>1.7</v>
          </cell>
          <cell r="G148">
            <v>0.2</v>
          </cell>
          <cell r="H148">
            <v>0</v>
          </cell>
          <cell r="I148">
            <v>0.34</v>
          </cell>
          <cell r="J148">
            <v>0</v>
          </cell>
        </row>
        <row r="149">
          <cell r="A149">
            <v>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3.2</v>
          </cell>
          <cell r="G149">
            <v>0.2</v>
          </cell>
          <cell r="H149">
            <v>0</v>
          </cell>
          <cell r="I149">
            <v>0</v>
          </cell>
          <cell r="J149">
            <v>0</v>
          </cell>
        </row>
        <row r="150">
          <cell r="A150">
            <v>0</v>
          </cell>
          <cell r="B150" t="str">
            <v>En zona de salida (caja de válvula) - pared longitudinal</v>
          </cell>
          <cell r="C150" t="str">
            <v/>
          </cell>
          <cell r="D150">
            <v>1</v>
          </cell>
          <cell r="E150">
            <v>2</v>
          </cell>
          <cell r="F150">
            <v>3.2</v>
          </cell>
          <cell r="G150">
            <v>3.39</v>
          </cell>
          <cell r="H150">
            <v>0</v>
          </cell>
          <cell r="I150">
            <v>21.696000000000002</v>
          </cell>
          <cell r="J150">
            <v>0</v>
          </cell>
        </row>
        <row r="151">
          <cell r="A151">
            <v>0</v>
          </cell>
          <cell r="B151" t="str">
            <v>En zona de salida (caja de válvulas) - pared transversal</v>
          </cell>
          <cell r="C151" t="str">
            <v/>
          </cell>
          <cell r="D151">
            <v>1</v>
          </cell>
          <cell r="E151">
            <v>8</v>
          </cell>
          <cell r="F151">
            <v>1.55</v>
          </cell>
          <cell r="G151">
            <v>3.39</v>
          </cell>
          <cell r="H151">
            <v>0</v>
          </cell>
          <cell r="I151">
            <v>42.036000000000001</v>
          </cell>
          <cell r="J151">
            <v>0</v>
          </cell>
        </row>
        <row r="152">
          <cell r="A152">
            <v>0</v>
          </cell>
          <cell r="B152" t="str">
            <v>vertedero de control</v>
          </cell>
          <cell r="C152" t="str">
            <v/>
          </cell>
          <cell r="D152">
            <v>1</v>
          </cell>
          <cell r="E152">
            <v>4</v>
          </cell>
          <cell r="F152">
            <v>0.6</v>
          </cell>
          <cell r="G152">
            <v>1.7</v>
          </cell>
          <cell r="H152">
            <v>0</v>
          </cell>
          <cell r="I152">
            <v>4.08</v>
          </cell>
          <cell r="J152">
            <v>0</v>
          </cell>
        </row>
        <row r="153">
          <cell r="A153">
            <v>0</v>
          </cell>
          <cell r="B153">
            <v>0</v>
          </cell>
          <cell r="C153" t="str">
            <v/>
          </cell>
          <cell r="D153">
            <v>1</v>
          </cell>
          <cell r="E153">
            <v>1</v>
          </cell>
          <cell r="F153">
            <v>0.6</v>
          </cell>
          <cell r="G153">
            <v>0.7</v>
          </cell>
          <cell r="H153">
            <v>0</v>
          </cell>
          <cell r="I153">
            <v>0.42</v>
          </cell>
          <cell r="J153">
            <v>0</v>
          </cell>
        </row>
        <row r="154">
          <cell r="A154">
            <v>1.0502059999999995</v>
          </cell>
          <cell r="B154" t="str">
            <v>MATERIAL FILTRANTE</v>
          </cell>
          <cell r="C154" t="str">
            <v/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</row>
        <row r="155">
          <cell r="A155">
            <v>1.0502060099999995</v>
          </cell>
          <cell r="B155" t="str">
            <v>GRAVA PARA FILTROS</v>
          </cell>
          <cell r="C155" t="str">
            <v>m3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7.08</v>
          </cell>
          <cell r="J155">
            <v>7.08</v>
          </cell>
        </row>
        <row r="156">
          <cell r="A156">
            <v>0</v>
          </cell>
          <cell r="B156" t="str">
            <v>Grava 1  de 19 a 50mm</v>
          </cell>
          <cell r="C156" t="str">
            <v/>
          </cell>
          <cell r="D156">
            <v>1</v>
          </cell>
          <cell r="E156">
            <v>1</v>
          </cell>
          <cell r="F156" t="str">
            <v>vol=</v>
          </cell>
          <cell r="G156">
            <v>4.47</v>
          </cell>
          <cell r="H156">
            <v>0</v>
          </cell>
          <cell r="I156">
            <v>4.47</v>
          </cell>
          <cell r="J156">
            <v>0</v>
          </cell>
        </row>
        <row r="157">
          <cell r="A157">
            <v>0</v>
          </cell>
          <cell r="B157" t="str">
            <v>Grava 2 de 9.5 a 19mm</v>
          </cell>
          <cell r="C157" t="str">
            <v/>
          </cell>
          <cell r="D157">
            <v>1</v>
          </cell>
          <cell r="E157">
            <v>1</v>
          </cell>
          <cell r="F157" t="str">
            <v>vol=</v>
          </cell>
          <cell r="G157">
            <v>1.34</v>
          </cell>
          <cell r="H157">
            <v>0</v>
          </cell>
          <cell r="I157">
            <v>1.34</v>
          </cell>
          <cell r="J157">
            <v>0</v>
          </cell>
        </row>
        <row r="158">
          <cell r="A158">
            <v>0</v>
          </cell>
          <cell r="B158" t="str">
            <v>Grava 3 de 3 a 9.5mm</v>
          </cell>
          <cell r="C158" t="str">
            <v/>
          </cell>
          <cell r="D158">
            <v>1</v>
          </cell>
          <cell r="E158">
            <v>1</v>
          </cell>
          <cell r="F158" t="str">
            <v>vol=</v>
          </cell>
          <cell r="G158">
            <v>1.27</v>
          </cell>
          <cell r="H158">
            <v>0</v>
          </cell>
          <cell r="I158">
            <v>1.27</v>
          </cell>
          <cell r="J158">
            <v>0</v>
          </cell>
        </row>
        <row r="159">
          <cell r="A159">
            <v>1.0502060199999994</v>
          </cell>
          <cell r="B159" t="str">
            <v>ARENA PARA FILTROS</v>
          </cell>
          <cell r="C159" t="str">
            <v>m2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33.17</v>
          </cell>
          <cell r="J159">
            <v>33.17</v>
          </cell>
        </row>
        <row r="160">
          <cell r="A160">
            <v>0</v>
          </cell>
          <cell r="B160" t="str">
            <v>Arena</v>
          </cell>
          <cell r="C160" t="str">
            <v/>
          </cell>
          <cell r="D160">
            <v>1</v>
          </cell>
          <cell r="E160">
            <v>1</v>
          </cell>
          <cell r="F160" t="str">
            <v>vol=</v>
          </cell>
          <cell r="G160">
            <v>33.17</v>
          </cell>
          <cell r="H160">
            <v>0</v>
          </cell>
          <cell r="I160">
            <v>33.17</v>
          </cell>
          <cell r="J160">
            <v>0</v>
          </cell>
        </row>
        <row r="161">
          <cell r="A161">
            <v>1.0502069999999994</v>
          </cell>
          <cell r="B161" t="str">
            <v>LADRILLOS K.K. PARA FILTRO</v>
          </cell>
          <cell r="C161" t="str">
            <v/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A162">
            <v>1.0502070099999994</v>
          </cell>
          <cell r="B162" t="str">
            <v>SUMINISTRO E INST. DE LADRILLOS K.K DE (0.09 x 0.14 x 0.24)</v>
          </cell>
          <cell r="C162" t="str">
            <v>und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812</v>
          </cell>
        </row>
        <row r="163">
          <cell r="A163">
            <v>0</v>
          </cell>
          <cell r="B163" t="str">
            <v>Asentado sobre canaletas laterales</v>
          </cell>
          <cell r="C163" t="str">
            <v/>
          </cell>
          <cell r="D163">
            <v>1</v>
          </cell>
          <cell r="E163">
            <v>812</v>
          </cell>
          <cell r="F163">
            <v>0</v>
          </cell>
          <cell r="G163">
            <v>0</v>
          </cell>
          <cell r="H163">
            <v>0</v>
          </cell>
          <cell r="I163">
            <v>812</v>
          </cell>
          <cell r="J163">
            <v>0</v>
          </cell>
        </row>
        <row r="164">
          <cell r="A164">
            <v>1.0502079999999994</v>
          </cell>
          <cell r="B164" t="str">
            <v xml:space="preserve">CARPINTERIA </v>
          </cell>
          <cell r="C164" t="str">
            <v/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>
            <v>1.0502080099999993</v>
          </cell>
          <cell r="B165" t="str">
            <v>SUMINISTRO E INST. DE COMPUERTA DE MADERA TRATADA</v>
          </cell>
          <cell r="C165" t="str">
            <v>und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2</v>
          </cell>
        </row>
        <row r="166">
          <cell r="A166">
            <v>0</v>
          </cell>
          <cell r="B166" t="str">
            <v>Compuerta de madera  de 0.60 x  0.50  e=1"</v>
          </cell>
          <cell r="C166" t="str">
            <v/>
          </cell>
          <cell r="D166">
            <v>2</v>
          </cell>
          <cell r="E166">
            <v>1</v>
          </cell>
          <cell r="F166">
            <v>0</v>
          </cell>
          <cell r="G166">
            <v>0</v>
          </cell>
          <cell r="H166">
            <v>0</v>
          </cell>
          <cell r="I166">
            <v>2</v>
          </cell>
          <cell r="J166">
            <v>0</v>
          </cell>
        </row>
        <row r="167">
          <cell r="A167">
            <v>1.0502089999999993</v>
          </cell>
          <cell r="B167" t="str">
            <v>PINTURA</v>
          </cell>
          <cell r="C167" t="str">
            <v/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>
            <v>1.0502090099999992</v>
          </cell>
          <cell r="B168" t="str">
            <v>PINTURA C/ESMALTE 02 MANOS (Exterior)</v>
          </cell>
          <cell r="C168" t="str">
            <v>m2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38.187499999999993</v>
          </cell>
          <cell r="J168">
            <v>38.187499999999993</v>
          </cell>
        </row>
        <row r="169">
          <cell r="A169">
            <v>0</v>
          </cell>
          <cell r="B169" t="str">
            <v>ZONA DE ENTRADA</v>
          </cell>
          <cell r="C169" t="str">
            <v/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>
            <v>0</v>
          </cell>
          <cell r="B170" t="str">
            <v>En zona de entrada (caja de válvula) - pared longitudinal</v>
          </cell>
          <cell r="C170" t="str">
            <v/>
          </cell>
          <cell r="D170">
            <v>1</v>
          </cell>
          <cell r="E170">
            <v>2</v>
          </cell>
          <cell r="F170">
            <v>0.60000000000000009</v>
          </cell>
          <cell r="G170">
            <v>0.65</v>
          </cell>
          <cell r="H170">
            <v>0</v>
          </cell>
          <cell r="I170">
            <v>0.78000000000000014</v>
          </cell>
          <cell r="J170">
            <v>0</v>
          </cell>
        </row>
        <row r="171">
          <cell r="A171">
            <v>0</v>
          </cell>
          <cell r="B171" t="str">
            <v>En zona de entrada (compuerta) - pared transversal</v>
          </cell>
          <cell r="C171" t="str">
            <v/>
          </cell>
          <cell r="D171">
            <v>1</v>
          </cell>
          <cell r="E171">
            <v>2</v>
          </cell>
          <cell r="F171">
            <v>0.7</v>
          </cell>
          <cell r="G171">
            <v>0.65</v>
          </cell>
          <cell r="H171">
            <v>0</v>
          </cell>
          <cell r="I171">
            <v>0.90999999999999992</v>
          </cell>
          <cell r="J171">
            <v>0</v>
          </cell>
        </row>
        <row r="172">
          <cell r="A172">
            <v>0</v>
          </cell>
          <cell r="B172" t="str">
            <v>En zona de entrada (compuerta) - pared transversal</v>
          </cell>
          <cell r="C172" t="str">
            <v/>
          </cell>
          <cell r="D172">
            <v>1</v>
          </cell>
          <cell r="E172">
            <v>1</v>
          </cell>
          <cell r="F172">
            <v>3.6</v>
          </cell>
          <cell r="G172">
            <v>0.65</v>
          </cell>
          <cell r="H172">
            <v>0</v>
          </cell>
          <cell r="I172">
            <v>2.3400000000000003</v>
          </cell>
          <cell r="J172">
            <v>0</v>
          </cell>
        </row>
        <row r="173">
          <cell r="A173">
            <v>0</v>
          </cell>
          <cell r="B173" t="str">
            <v>Tapa cámara de entrada</v>
          </cell>
          <cell r="C173" t="str">
            <v/>
          </cell>
          <cell r="D173">
            <v>1</v>
          </cell>
          <cell r="E173">
            <v>1</v>
          </cell>
          <cell r="F173">
            <v>0.4</v>
          </cell>
          <cell r="G173">
            <v>0.5</v>
          </cell>
          <cell r="H173">
            <v>0</v>
          </cell>
          <cell r="I173">
            <v>0.2</v>
          </cell>
          <cell r="J173">
            <v>0</v>
          </cell>
        </row>
        <row r="174">
          <cell r="A174">
            <v>0</v>
          </cell>
          <cell r="B174" t="str">
            <v>ZONA DE FILTRO LENTO</v>
          </cell>
          <cell r="C174" t="str">
            <v/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>
            <v>0</v>
          </cell>
          <cell r="B175" t="str">
            <v>En pared longitudinal superior</v>
          </cell>
          <cell r="C175" t="str">
            <v/>
          </cell>
          <cell r="D175">
            <v>1</v>
          </cell>
          <cell r="E175">
            <v>2</v>
          </cell>
          <cell r="F175">
            <v>7</v>
          </cell>
          <cell r="G175">
            <v>1</v>
          </cell>
          <cell r="H175">
            <v>0</v>
          </cell>
          <cell r="I175">
            <v>14</v>
          </cell>
          <cell r="J175">
            <v>0</v>
          </cell>
        </row>
        <row r="176">
          <cell r="A176">
            <v>0</v>
          </cell>
          <cell r="B176">
            <v>0</v>
          </cell>
          <cell r="C176" t="str">
            <v/>
          </cell>
          <cell r="D176">
            <v>0</v>
          </cell>
          <cell r="E176">
            <v>2</v>
          </cell>
          <cell r="F176">
            <v>4.5999999999999996</v>
          </cell>
          <cell r="G176">
            <v>1</v>
          </cell>
          <cell r="H176">
            <v>0</v>
          </cell>
          <cell r="I176">
            <v>9.1999999999999993</v>
          </cell>
          <cell r="J176">
            <v>0</v>
          </cell>
        </row>
        <row r="177">
          <cell r="A177">
            <v>0</v>
          </cell>
          <cell r="B177" t="str">
            <v>ZONA DE SALIDA</v>
          </cell>
          <cell r="C177" t="str">
            <v/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>
            <v>0</v>
          </cell>
          <cell r="B178" t="str">
            <v>En pared  exterior</v>
          </cell>
          <cell r="C178" t="str">
            <v/>
          </cell>
          <cell r="D178">
            <v>1</v>
          </cell>
          <cell r="E178">
            <v>1</v>
          </cell>
          <cell r="F178">
            <v>4.9000000000000004</v>
          </cell>
          <cell r="G178">
            <v>1</v>
          </cell>
          <cell r="H178">
            <v>0</v>
          </cell>
          <cell r="I178">
            <v>4.9000000000000004</v>
          </cell>
          <cell r="J178">
            <v>0</v>
          </cell>
        </row>
        <row r="179">
          <cell r="A179">
            <v>0</v>
          </cell>
          <cell r="B179" t="str">
            <v>tapa  de canal</v>
          </cell>
          <cell r="C179" t="str">
            <v/>
          </cell>
          <cell r="D179">
            <v>1</v>
          </cell>
          <cell r="E179">
            <v>1</v>
          </cell>
          <cell r="F179">
            <v>0.85</v>
          </cell>
          <cell r="G179">
            <v>0.7</v>
          </cell>
          <cell r="H179">
            <v>0</v>
          </cell>
          <cell r="I179">
            <v>0.59499999999999997</v>
          </cell>
          <cell r="J179">
            <v>0</v>
          </cell>
        </row>
        <row r="180">
          <cell r="A180">
            <v>0</v>
          </cell>
          <cell r="B180" t="str">
            <v>CAMARA DE CARGA</v>
          </cell>
          <cell r="C180" t="str">
            <v/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>
            <v>0</v>
          </cell>
          <cell r="B181" t="str">
            <v>pared exterior</v>
          </cell>
          <cell r="C181" t="str">
            <v/>
          </cell>
          <cell r="D181">
            <v>1</v>
          </cell>
          <cell r="E181">
            <v>1</v>
          </cell>
          <cell r="F181">
            <v>2.75</v>
          </cell>
          <cell r="G181">
            <v>1.35</v>
          </cell>
          <cell r="H181">
            <v>0</v>
          </cell>
          <cell r="I181">
            <v>3.7125000000000004</v>
          </cell>
          <cell r="J181">
            <v>0</v>
          </cell>
        </row>
        <row r="182">
          <cell r="A182">
            <v>0</v>
          </cell>
          <cell r="B182" t="str">
            <v>tapa cámara de carga</v>
          </cell>
          <cell r="C182" t="str">
            <v/>
          </cell>
          <cell r="D182">
            <v>1</v>
          </cell>
          <cell r="E182">
            <v>1</v>
          </cell>
          <cell r="F182">
            <v>1.55</v>
          </cell>
          <cell r="G182">
            <v>1</v>
          </cell>
          <cell r="H182">
            <v>0</v>
          </cell>
          <cell r="I182">
            <v>1.55</v>
          </cell>
          <cell r="J182">
            <v>0</v>
          </cell>
        </row>
        <row r="183">
          <cell r="A183">
            <v>1.0502099999999992</v>
          </cell>
          <cell r="B183" t="str">
            <v>VALVULAS Y ACCESORIOS - FILTRO LENTO</v>
          </cell>
          <cell r="C183" t="str">
            <v/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>
            <v>1.0502100099999991</v>
          </cell>
          <cell r="B184" t="str">
            <v>SUMINISTRO E INST. DE ACCESORIOS EN FILTRO LENTO</v>
          </cell>
          <cell r="C184" t="str">
            <v>und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1</v>
          </cell>
        </row>
        <row r="185">
          <cell r="A185">
            <v>0</v>
          </cell>
          <cell r="B185" t="str">
            <v>LIMPIA Y REBOSE</v>
          </cell>
          <cell r="C185" t="str">
            <v/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>
            <v>0</v>
          </cell>
          <cell r="B186" t="str">
            <v xml:space="preserve">Niple de acero de 150mm de diámetro, Schedule 40, longitud 0.30m
</v>
          </cell>
          <cell r="C186" t="str">
            <v>und</v>
          </cell>
          <cell r="D186">
            <v>2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>
            <v>0</v>
          </cell>
          <cell r="B187" t="str">
            <v xml:space="preserve">Brida de acero rompe agua , diámetro 150mm, PN10
</v>
          </cell>
          <cell r="C187" t="str">
            <v>und</v>
          </cell>
          <cell r="D187">
            <v>2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>
            <v>0</v>
          </cell>
          <cell r="B188" t="str">
            <v xml:space="preserve">Brida de acero, diámetro 150mm, PN10
</v>
          </cell>
          <cell r="C188" t="str">
            <v>und</v>
          </cell>
          <cell r="D188">
            <v>2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>
            <v>0</v>
          </cell>
          <cell r="B189" t="str">
            <v>Valvula de compuerta de hierro fundido ductil diametro 6"</v>
          </cell>
          <cell r="C189" t="str">
            <v>und</v>
          </cell>
          <cell r="D189">
            <v>2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>
            <v>0</v>
          </cell>
          <cell r="B190" t="str">
            <v>Codo PVC SAL 6"</v>
          </cell>
          <cell r="C190" t="str">
            <v>und</v>
          </cell>
          <cell r="D190">
            <v>1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>
            <v>0</v>
          </cell>
          <cell r="B191" t="str">
            <v xml:space="preserve">Tubería de PVC SAL 6"
</v>
          </cell>
          <cell r="C191" t="str">
            <v>m</v>
          </cell>
          <cell r="D191">
            <v>2.5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>
            <v>0</v>
          </cell>
          <cell r="B192" t="str">
            <v>SALIDA</v>
          </cell>
          <cell r="C192" t="str">
            <v/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</row>
        <row r="193">
          <cell r="A193">
            <v>0</v>
          </cell>
          <cell r="B193" t="str">
            <v>Tuberia F°G° clase estandar roscada 2"</v>
          </cell>
          <cell r="C193" t="str">
            <v>m</v>
          </cell>
          <cell r="D193">
            <v>3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>
            <v>0</v>
          </cell>
          <cell r="B194" t="str">
            <v xml:space="preserve">Union universal F°G° clase estandar  2"  </v>
          </cell>
          <cell r="C194" t="str">
            <v>und</v>
          </cell>
          <cell r="D194">
            <v>6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>
            <v>0</v>
          </cell>
          <cell r="B195" t="str">
            <v xml:space="preserve">Niple de rosca F°G°  2"x 3"  </v>
          </cell>
          <cell r="C195" t="str">
            <v>und</v>
          </cell>
          <cell r="D195">
            <v>12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>
            <v>0</v>
          </cell>
          <cell r="B196" t="str">
            <v>valvula compuerta de bronce  2"</v>
          </cell>
          <cell r="C196" t="str">
            <v>und</v>
          </cell>
          <cell r="D196">
            <v>5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</row>
        <row r="197">
          <cell r="A197">
            <v>0</v>
          </cell>
          <cell r="B197" t="str">
            <v>codo F°G°  2"</v>
          </cell>
          <cell r="C197" t="str">
            <v>und</v>
          </cell>
          <cell r="D197">
            <v>2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</row>
        <row r="198">
          <cell r="A198">
            <v>0</v>
          </cell>
          <cell r="B198" t="str">
            <v>Brida rompe agua de acero  2"</v>
          </cell>
          <cell r="C198" t="str">
            <v>und</v>
          </cell>
          <cell r="D198">
            <v>2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</row>
        <row r="199">
          <cell r="A199">
            <v>0</v>
          </cell>
          <cell r="B199" t="str">
            <v>Cruz F°G°  2"X 2"</v>
          </cell>
          <cell r="C199" t="str">
            <v>und</v>
          </cell>
          <cell r="D199">
            <v>2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>
            <v>0</v>
          </cell>
          <cell r="B200" t="str">
            <v>ENTRADA</v>
          </cell>
          <cell r="C200" t="str">
            <v/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>
            <v>0</v>
          </cell>
          <cell r="B201" t="str">
            <v xml:space="preserve">Adaptador PR PVC SAP  2"
</v>
          </cell>
          <cell r="C201" t="str">
            <v>und</v>
          </cell>
          <cell r="D201">
            <v>2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>
            <v>0</v>
          </cell>
          <cell r="B202" t="str">
            <v xml:space="preserve">Unión universal PVC 2"
</v>
          </cell>
          <cell r="C202" t="str">
            <v>und</v>
          </cell>
          <cell r="D202">
            <v>2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>
            <v>0</v>
          </cell>
          <cell r="B203" t="str">
            <v xml:space="preserve">Niple PVC SAP  2"x 3"
</v>
          </cell>
          <cell r="C203" t="str">
            <v>und</v>
          </cell>
          <cell r="D203">
            <v>2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</row>
        <row r="204">
          <cell r="A204">
            <v>0</v>
          </cell>
          <cell r="B204" t="str">
            <v xml:space="preserve">Válvula de compuerta de bronce  2"
</v>
          </cell>
          <cell r="C204" t="str">
            <v>und</v>
          </cell>
          <cell r="D204">
            <v>1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</row>
        <row r="205">
          <cell r="A205">
            <v>0</v>
          </cell>
          <cell r="B205" t="str">
            <v>Tuberia PVC SAP  2"</v>
          </cell>
          <cell r="C205" t="str">
            <v>m</v>
          </cell>
          <cell r="D205">
            <v>2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</row>
        <row r="206">
          <cell r="A206">
            <v>1.0502100199999991</v>
          </cell>
          <cell r="B206" t="str">
            <v>SUMINISTRO E INST. DE GEOTEXTIL AISLANTE</v>
          </cell>
          <cell r="C206" t="str">
            <v>m2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94.5</v>
          </cell>
        </row>
        <row r="207">
          <cell r="A207">
            <v>0</v>
          </cell>
          <cell r="B207" t="str">
            <v xml:space="preserve">Geotextil aislante  </v>
          </cell>
          <cell r="C207" t="str">
            <v/>
          </cell>
          <cell r="D207">
            <v>3</v>
          </cell>
          <cell r="E207">
            <v>2</v>
          </cell>
          <cell r="F207">
            <v>4.5</v>
          </cell>
          <cell r="G207">
            <v>3.5</v>
          </cell>
          <cell r="H207">
            <v>0</v>
          </cell>
          <cell r="I207">
            <v>94.5</v>
          </cell>
          <cell r="J207">
            <v>0</v>
          </cell>
        </row>
        <row r="208">
          <cell r="A208">
            <v>1.050210029999999</v>
          </cell>
          <cell r="B208" t="str">
            <v>SUMINISTRO E INST. DE LOSA SALPICADORA</v>
          </cell>
          <cell r="C208" t="str">
            <v>und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2</v>
          </cell>
        </row>
        <row r="209">
          <cell r="A209">
            <v>0</v>
          </cell>
          <cell r="B209" t="str">
            <v>Losa salpicadora pre fabricada sobrepuesta de 050 x 0.90  e=0.05</v>
          </cell>
          <cell r="C209" t="str">
            <v/>
          </cell>
          <cell r="D209">
            <v>2</v>
          </cell>
          <cell r="E209">
            <v>1</v>
          </cell>
          <cell r="F209">
            <v>0</v>
          </cell>
          <cell r="G209">
            <v>0</v>
          </cell>
          <cell r="H209">
            <v>0</v>
          </cell>
          <cell r="I209">
            <v>2</v>
          </cell>
          <cell r="J209">
            <v>0</v>
          </cell>
        </row>
        <row r="210">
          <cell r="A210">
            <v>0</v>
          </cell>
          <cell r="B210">
            <v>0</v>
          </cell>
          <cell r="C210" t="str">
            <v/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</row>
        <row r="211">
          <cell r="A211">
            <v>1.0502109999999991</v>
          </cell>
          <cell r="B211" t="str">
            <v>CERCO PERIMETRICO  -  FILTRO LENTO</v>
          </cell>
          <cell r="C211" t="str">
            <v/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</row>
        <row r="212">
          <cell r="A212">
            <v>1.0502110099999991</v>
          </cell>
          <cell r="B212" t="str">
            <v>TRABAJOS PRELIMINARES</v>
          </cell>
          <cell r="C212" t="str">
            <v/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>
            <v>1.0502110100999991</v>
          </cell>
          <cell r="B213" t="str">
            <v>TRAZO Y REPLANTEO PRELIMINAR</v>
          </cell>
          <cell r="C213" t="str">
            <v>m2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23.183999999999997</v>
          </cell>
          <cell r="J213">
            <v>23.183999999999997</v>
          </cell>
        </row>
        <row r="214">
          <cell r="A214">
            <v>0</v>
          </cell>
          <cell r="B214" t="str">
            <v>Transversal</v>
          </cell>
          <cell r="C214" t="str">
            <v/>
          </cell>
          <cell r="D214">
            <v>1</v>
          </cell>
          <cell r="E214">
            <v>2</v>
          </cell>
          <cell r="F214">
            <v>10.199999999999999</v>
          </cell>
          <cell r="G214">
            <v>0.6</v>
          </cell>
          <cell r="H214">
            <v>0</v>
          </cell>
          <cell r="I214">
            <v>12.239999999999998</v>
          </cell>
          <cell r="J214">
            <v>0</v>
          </cell>
        </row>
        <row r="215">
          <cell r="A215">
            <v>0</v>
          </cell>
          <cell r="B215" t="str">
            <v>Longitudinal</v>
          </cell>
          <cell r="C215" t="str">
            <v/>
          </cell>
          <cell r="D215">
            <v>1</v>
          </cell>
          <cell r="E215">
            <v>2</v>
          </cell>
          <cell r="F215">
            <v>9.1199999999999992</v>
          </cell>
          <cell r="G215">
            <v>0.6</v>
          </cell>
          <cell r="H215">
            <v>0</v>
          </cell>
          <cell r="I215">
            <v>10.943999999999999</v>
          </cell>
          <cell r="J215">
            <v>0</v>
          </cell>
        </row>
        <row r="216">
          <cell r="A216">
            <v>1.050211019999999</v>
          </cell>
          <cell r="B216" t="str">
            <v>MOVIMIENTO DE TIERRAS</v>
          </cell>
          <cell r="C216" t="str">
            <v/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</row>
        <row r="217">
          <cell r="A217">
            <v>1.050211020099999</v>
          </cell>
          <cell r="B217" t="str">
            <v>EXCAVACION EN TERRENO NORMAL</v>
          </cell>
          <cell r="C217" t="str">
            <v>m3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0.85499999999999998</v>
          </cell>
        </row>
        <row r="218">
          <cell r="A218">
            <v>0</v>
          </cell>
          <cell r="B218" t="str">
            <v>excavación manual</v>
          </cell>
          <cell r="C218" t="str">
            <v/>
          </cell>
          <cell r="D218">
            <v>1</v>
          </cell>
          <cell r="E218">
            <v>19</v>
          </cell>
          <cell r="F218">
            <v>0.3</v>
          </cell>
          <cell r="G218">
            <v>0.3</v>
          </cell>
          <cell r="H218">
            <v>0.5</v>
          </cell>
          <cell r="I218">
            <v>0.85499999999999998</v>
          </cell>
          <cell r="J218">
            <v>0</v>
          </cell>
        </row>
        <row r="219">
          <cell r="A219">
            <v>0</v>
          </cell>
          <cell r="B219">
            <v>0</v>
          </cell>
          <cell r="C219" t="str">
            <v/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</row>
        <row r="220">
          <cell r="A220">
            <v>1.050211020199999</v>
          </cell>
          <cell r="B220" t="str">
            <v>ELIMINACION DE MATERIAL EXCEDENTE  DP=30m.</v>
          </cell>
          <cell r="C220" t="str">
            <v>m3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1.0687500000000001</v>
          </cell>
        </row>
        <row r="221">
          <cell r="A221">
            <v>0</v>
          </cell>
          <cell r="B221" t="str">
            <v>esponjamiento = 1.25</v>
          </cell>
          <cell r="C221" t="str">
            <v/>
          </cell>
          <cell r="D221">
            <v>0</v>
          </cell>
          <cell r="E221">
            <v>0</v>
          </cell>
          <cell r="F221">
            <v>0.85499999999999998</v>
          </cell>
          <cell r="G221">
            <v>1.25</v>
          </cell>
          <cell r="H221">
            <v>0</v>
          </cell>
          <cell r="I221">
            <v>1.0687500000000001</v>
          </cell>
          <cell r="J221">
            <v>0</v>
          </cell>
        </row>
        <row r="222">
          <cell r="A222">
            <v>1.0502110299999989</v>
          </cell>
          <cell r="B222" t="str">
            <v>CONCRETO SIMPLE</v>
          </cell>
          <cell r="C222" t="str">
            <v/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</row>
        <row r="223">
          <cell r="A223">
            <v>1.0502110300999989</v>
          </cell>
          <cell r="B223" t="str">
            <v>CONCRETO F'C=140 KG/CM2 + 30% PM, S/MEZCLADORA</v>
          </cell>
          <cell r="C223" t="str">
            <v>m3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0.85499999999999998</v>
          </cell>
        </row>
        <row r="224">
          <cell r="A224">
            <v>0</v>
          </cell>
          <cell r="B224" t="str">
            <v>Dados de anclaje de postes de madera tratada</v>
          </cell>
          <cell r="C224" t="str">
            <v/>
          </cell>
          <cell r="D224">
            <v>1</v>
          </cell>
          <cell r="E224">
            <v>19</v>
          </cell>
          <cell r="F224">
            <v>0.3</v>
          </cell>
          <cell r="G224">
            <v>0.3</v>
          </cell>
          <cell r="H224">
            <v>0.5</v>
          </cell>
          <cell r="I224">
            <v>0.85499999999999998</v>
          </cell>
          <cell r="J224">
            <v>0</v>
          </cell>
        </row>
        <row r="225">
          <cell r="A225">
            <v>1.0502110399999989</v>
          </cell>
          <cell r="B225" t="str">
            <v>VARIOS - CERCO FILTRO LENTO</v>
          </cell>
          <cell r="C225" t="str">
            <v/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>
            <v>1.0502110400999989</v>
          </cell>
          <cell r="B226" t="str">
            <v xml:space="preserve">SUMINISTRO Y COLOCACION DE POSTES DE MADERA TRATADA </v>
          </cell>
          <cell r="C226" t="str">
            <v>und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19</v>
          </cell>
        </row>
        <row r="227">
          <cell r="A227">
            <v>0</v>
          </cell>
          <cell r="B227">
            <v>0</v>
          </cell>
          <cell r="C227" t="str">
            <v/>
          </cell>
          <cell r="D227">
            <v>0</v>
          </cell>
          <cell r="E227">
            <v>19</v>
          </cell>
          <cell r="F227">
            <v>0</v>
          </cell>
          <cell r="G227">
            <v>0</v>
          </cell>
          <cell r="H227">
            <v>0</v>
          </cell>
          <cell r="I227">
            <v>19</v>
          </cell>
          <cell r="J227">
            <v>0</v>
          </cell>
        </row>
        <row r="228">
          <cell r="A228">
            <v>1.0502110401999989</v>
          </cell>
          <cell r="B228" t="str">
            <v>SUMINISTRO Y COLOCACION DE ALAMBRE DE PUAS</v>
          </cell>
          <cell r="C228" t="str">
            <v>m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231.84</v>
          </cell>
        </row>
        <row r="229">
          <cell r="A229">
            <v>0</v>
          </cell>
          <cell r="B229" t="str">
            <v xml:space="preserve">cinco hileras </v>
          </cell>
          <cell r="C229" t="str">
            <v/>
          </cell>
          <cell r="D229">
            <v>1</v>
          </cell>
          <cell r="E229">
            <v>6</v>
          </cell>
          <cell r="F229">
            <v>38.64</v>
          </cell>
          <cell r="G229">
            <v>0</v>
          </cell>
          <cell r="H229">
            <v>0</v>
          </cell>
          <cell r="I229">
            <v>231.84</v>
          </cell>
          <cell r="J229">
            <v>0</v>
          </cell>
        </row>
        <row r="230">
          <cell r="A230">
            <v>1.0502110402999989</v>
          </cell>
          <cell r="B230" t="str">
            <v xml:space="preserve">SUMINISTRO Y COLOCACION DE PUERTA </v>
          </cell>
          <cell r="C230" t="str">
            <v>und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1</v>
          </cell>
        </row>
        <row r="231">
          <cell r="A231">
            <v>0</v>
          </cell>
          <cell r="B231" t="str">
            <v>suministro y colocación de puerta de madera tratada inc. Candado</v>
          </cell>
          <cell r="C231" t="str">
            <v/>
          </cell>
          <cell r="D231">
            <v>1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1</v>
          </cell>
          <cell r="J231">
            <v>0</v>
          </cell>
        </row>
        <row r="232">
          <cell r="A232">
            <v>0</v>
          </cell>
          <cell r="B232">
            <v>0</v>
          </cell>
          <cell r="C232" t="str">
            <v/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</sheetData>
      <sheetData sheetId="5"/>
      <sheetData sheetId="6">
        <row r="10">
          <cell r="B10">
            <v>1.06</v>
          </cell>
          <cell r="C10" t="str">
            <v xml:space="preserve">LINEA DE CONDUCCION 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 t="str">
            <v xml:space="preserve"> L=</v>
          </cell>
          <cell r="J10">
            <v>3615</v>
          </cell>
          <cell r="K10">
            <v>0</v>
          </cell>
          <cell r="L10">
            <v>0</v>
          </cell>
          <cell r="M10" t="str">
            <v>PLANO :</v>
          </cell>
          <cell r="N10" t="str">
            <v>AP</v>
          </cell>
        </row>
        <row r="11">
          <cell r="C11" t="str">
            <v xml:space="preserve">LINEA DE CONDUCCION </v>
          </cell>
        </row>
        <row r="12">
          <cell r="B12" t="str">
            <v>ITEM</v>
          </cell>
          <cell r="C12" t="str">
            <v>DESCRIPCION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 t="str">
            <v>UND</v>
          </cell>
          <cell r="I12" t="str">
            <v>CANT.</v>
          </cell>
          <cell r="J12" t="str">
            <v>DIMENSIONES</v>
          </cell>
          <cell r="K12">
            <v>0</v>
          </cell>
          <cell r="L12">
            <v>0</v>
          </cell>
          <cell r="M12" t="str">
            <v>PARCIAL</v>
          </cell>
          <cell r="N12" t="str">
            <v>TOTAL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LARGO</v>
          </cell>
          <cell r="K13" t="str">
            <v>ANCHO</v>
          </cell>
          <cell r="L13" t="str">
            <v>ALTO</v>
          </cell>
          <cell r="M13">
            <v>0</v>
          </cell>
          <cell r="N13">
            <v>0</v>
          </cell>
        </row>
        <row r="14">
          <cell r="B14">
            <v>1.0601</v>
          </cell>
          <cell r="C14" t="str">
            <v>LINEA DE CONDUCCION  L=3615 m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B15">
            <v>1.060101</v>
          </cell>
          <cell r="C15" t="str">
            <v>OBRAS PRELIMINARES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B16">
            <v>1.0601010099999999</v>
          </cell>
          <cell r="C16" t="str">
            <v>LIMPIEZA DE TERRENO MANUAL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 t="str">
            <v>m</v>
          </cell>
          <cell r="I16">
            <v>1</v>
          </cell>
          <cell r="J16">
            <v>3615</v>
          </cell>
          <cell r="K16">
            <v>0</v>
          </cell>
          <cell r="L16">
            <v>0</v>
          </cell>
          <cell r="M16">
            <v>3615</v>
          </cell>
          <cell r="N16">
            <v>3615</v>
          </cell>
        </row>
        <row r="17">
          <cell r="B17">
            <v>1.0601010199999998</v>
          </cell>
          <cell r="C17" t="str">
            <v>TRAZO, NIVELACION Y REPLANTEO DE ZANJAS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 t="str">
            <v>m</v>
          </cell>
          <cell r="I17">
            <v>1</v>
          </cell>
          <cell r="J17">
            <v>3615</v>
          </cell>
          <cell r="K17">
            <v>0</v>
          </cell>
          <cell r="L17">
            <v>0</v>
          </cell>
          <cell r="M17">
            <v>0</v>
          </cell>
          <cell r="N17">
            <v>3615</v>
          </cell>
        </row>
        <row r="18">
          <cell r="B18">
            <v>1.0601019999999999</v>
          </cell>
          <cell r="C18" t="str">
            <v>MOVIMIENTO DE TIERRAS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B19">
            <v>1.0601020099999998</v>
          </cell>
          <cell r="C19" t="str">
            <v>EXCAVACION EN TERRENO NORMAL DE 0.40 x 0.60 m P/TUB. AGUA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 t="str">
            <v>m</v>
          </cell>
          <cell r="I19">
            <v>1</v>
          </cell>
          <cell r="J19">
            <v>2892</v>
          </cell>
          <cell r="K19">
            <v>0</v>
          </cell>
          <cell r="L19">
            <v>0</v>
          </cell>
          <cell r="M19">
            <v>0</v>
          </cell>
          <cell r="N19">
            <v>2892</v>
          </cell>
        </row>
        <row r="20">
          <cell r="B20">
            <v>1.0601020199999998</v>
          </cell>
          <cell r="C20" t="str">
            <v>EXCAVACION EN TERRENO SEMIROCOSO DE 0.40 x 0.60 m P/TUB. AGUA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 t="str">
            <v>m</v>
          </cell>
          <cell r="I20">
            <v>1</v>
          </cell>
          <cell r="J20">
            <v>723</v>
          </cell>
          <cell r="K20">
            <v>0</v>
          </cell>
          <cell r="L20">
            <v>0</v>
          </cell>
          <cell r="M20">
            <v>0</v>
          </cell>
          <cell r="N20">
            <v>723</v>
          </cell>
        </row>
        <row r="21">
          <cell r="B21">
            <v>1.0601020299999997</v>
          </cell>
          <cell r="C21" t="str">
            <v>REFINE Y NIVELACION DE FONDOS PARA ZANJA P/TUB. AGUA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 t="str">
            <v>m</v>
          </cell>
          <cell r="I21">
            <v>1</v>
          </cell>
          <cell r="J21">
            <v>3615</v>
          </cell>
          <cell r="K21">
            <v>0</v>
          </cell>
          <cell r="L21">
            <v>0</v>
          </cell>
          <cell r="M21">
            <v>0</v>
          </cell>
          <cell r="N21">
            <v>3615</v>
          </cell>
        </row>
        <row r="22">
          <cell r="B22">
            <v>1.0601020399999996</v>
          </cell>
          <cell r="C22" t="str">
            <v xml:space="preserve">CAMA DE APOYO C/MAT. PROP. ZARANDEADO PARA TUBERIA  DE AGUA e=0.10 m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 t="str">
            <v>m</v>
          </cell>
          <cell r="I22">
            <v>1</v>
          </cell>
          <cell r="J22">
            <v>3615</v>
          </cell>
          <cell r="K22">
            <v>0</v>
          </cell>
          <cell r="L22">
            <v>0</v>
          </cell>
          <cell r="M22">
            <v>0</v>
          </cell>
          <cell r="N22">
            <v>3615</v>
          </cell>
        </row>
        <row r="23">
          <cell r="B23">
            <v>1.0601020499999996</v>
          </cell>
          <cell r="C23" t="str">
            <v>PRIMER RELLENO COMPACTADO DE ZANJA CON MAT. PROPIO  ZARANDEADO e=0.30 m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 t="str">
            <v>m</v>
          </cell>
          <cell r="I23">
            <v>1</v>
          </cell>
          <cell r="J23">
            <v>3615</v>
          </cell>
          <cell r="K23">
            <v>0</v>
          </cell>
          <cell r="L23">
            <v>0</v>
          </cell>
          <cell r="M23">
            <v>0</v>
          </cell>
          <cell r="N23">
            <v>3615</v>
          </cell>
        </row>
        <row r="24">
          <cell r="B24">
            <v>1.0601020599999995</v>
          </cell>
          <cell r="C24" t="str">
            <v>SEGUNDO RELLENO CON MATERIAL PROPIO COMPACTADO e=0.20 m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m</v>
          </cell>
          <cell r="I24">
            <v>1</v>
          </cell>
          <cell r="J24">
            <v>3615</v>
          </cell>
          <cell r="K24">
            <v>0</v>
          </cell>
          <cell r="L24">
            <v>0</v>
          </cell>
          <cell r="M24">
            <v>0</v>
          </cell>
          <cell r="N24">
            <v>3615</v>
          </cell>
        </row>
        <row r="25">
          <cell r="B25">
            <v>1.0601020699999995</v>
          </cell>
          <cell r="C25" t="str">
            <v>ELIMINACION DE MATERIAL EXCEDENTE DP=30m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 t="str">
            <v>m3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166.3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 t="str">
            <v>Detalle de la Zanja en terreno Normal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 t="str">
            <v>Volumen de Excavación: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 t="str">
            <v>Vol.Exc. = 0.6 x 0.4 x 2892 = 694.08 m3</v>
          </cell>
          <cell r="J30">
            <v>0</v>
          </cell>
          <cell r="K30">
            <v>0</v>
          </cell>
          <cell r="L30">
            <v>0</v>
          </cell>
          <cell r="M30">
            <v>694.08000000000015</v>
          </cell>
          <cell r="N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B32">
            <v>0</v>
          </cell>
          <cell r="C32" t="str">
            <v>N.T.N.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 t="str">
            <v>Esponjamiento: 15%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 t="str">
            <v>Vol.Esp. = 1.15 x 694.08 = 798.19 m3</v>
          </cell>
          <cell r="J33">
            <v>0</v>
          </cell>
          <cell r="K33">
            <v>0</v>
          </cell>
          <cell r="L33">
            <v>0</v>
          </cell>
          <cell r="M33">
            <v>798.19</v>
          </cell>
          <cell r="N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0.2</v>
          </cell>
          <cell r="H35">
            <v>0</v>
          </cell>
          <cell r="I35" t="str">
            <v>Primer relleno con material propio zarandeado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 t="str">
            <v>Relleno Mat. Propio Zar. = 0.4 x 0.3 x 1 x 15 % esponj = 0.14 m3/ml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 t="str">
            <v>Vol.Cam. = 0.14 x 2892 = 404.88 m3</v>
          </cell>
          <cell r="J37">
            <v>0</v>
          </cell>
          <cell r="K37">
            <v>0</v>
          </cell>
          <cell r="L37">
            <v>0</v>
          </cell>
          <cell r="M37">
            <v>404.88000000000005</v>
          </cell>
          <cell r="N37">
            <v>0</v>
          </cell>
        </row>
        <row r="38">
          <cell r="B38">
            <v>0</v>
          </cell>
          <cell r="C38">
            <v>0.60000000000000009</v>
          </cell>
          <cell r="D38">
            <v>0</v>
          </cell>
          <cell r="E38">
            <v>0</v>
          </cell>
          <cell r="F38">
            <v>0</v>
          </cell>
          <cell r="G38">
            <v>0.5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 t="str">
            <v>Segundo Relleno Propio Compactado: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0.3</v>
          </cell>
          <cell r="H40">
            <v>0</v>
          </cell>
          <cell r="I40" t="str">
            <v>Vol.Prop. = 0.4 x 0.2 x 1 x 15% esponj = 0.09 m3/ml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 t="str">
            <v>Vol.Prop. = 0.09 x 2892 = 260.28 m3</v>
          </cell>
          <cell r="J41">
            <v>0</v>
          </cell>
          <cell r="K41">
            <v>0</v>
          </cell>
          <cell r="L41">
            <v>0</v>
          </cell>
          <cell r="M41">
            <v>260.27999999999997</v>
          </cell>
          <cell r="N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0.1</v>
          </cell>
          <cell r="H43">
            <v>0</v>
          </cell>
          <cell r="I43" t="str">
            <v>Volumen de acarreo: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 t="str">
            <v>Vol.Elim. = 798.19 - 665.16 = 133.03 m3</v>
          </cell>
          <cell r="J44">
            <v>0</v>
          </cell>
          <cell r="K44">
            <v>0</v>
          </cell>
          <cell r="L44">
            <v>0</v>
          </cell>
          <cell r="M44">
            <v>133.03000000000009</v>
          </cell>
          <cell r="N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0.4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 t="str">
            <v>Detalle de la Zanja en terreno Semirocoso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 t="str">
            <v>Volumen de Excavación: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</sheetData>
      <sheetData sheetId="7"/>
      <sheetData sheetId="8"/>
      <sheetData sheetId="9"/>
      <sheetData sheetId="10">
        <row r="88">
          <cell r="A88">
            <v>1.07</v>
          </cell>
          <cell r="B88" t="str">
            <v>RESERVORIO APOYADO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A89">
            <v>1.0701000000000001</v>
          </cell>
          <cell r="B89" t="str">
            <v>RESERVORIO APOYADO V=12m3 (01 UND)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0">
          <cell r="A90">
            <v>1.070101</v>
          </cell>
          <cell r="B90" t="str">
            <v>TRABAJOS PRELIMINARES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A91">
            <v>1.0701010099999999</v>
          </cell>
          <cell r="B91" t="str">
            <v>LIMPIEZA DE TERRENO MANUAL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16.374423602330989</v>
          </cell>
          <cell r="J91" t="str">
            <v>m2</v>
          </cell>
        </row>
        <row r="92">
          <cell r="A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>
            <v>0</v>
          </cell>
          <cell r="B93" t="str">
            <v>DESCRIPCION</v>
          </cell>
          <cell r="C93">
            <v>0</v>
          </cell>
          <cell r="D93" t="str">
            <v>N° VECES</v>
          </cell>
          <cell r="E93" t="str">
            <v>LARGO</v>
          </cell>
          <cell r="F93" t="str">
            <v>ANCHO</v>
          </cell>
          <cell r="G93" t="str">
            <v>ALTO</v>
          </cell>
          <cell r="H93" t="str">
            <v>PARCIAL</v>
          </cell>
          <cell r="I93" t="str">
            <v>TOTAL</v>
          </cell>
          <cell r="J93" t="str">
            <v>UNIDAD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16.374423602330989</v>
          </cell>
          <cell r="J94" t="str">
            <v>m2</v>
          </cell>
        </row>
        <row r="95">
          <cell r="A95">
            <v>0</v>
          </cell>
          <cell r="B95" t="str">
            <v>RESERVORIO + ENROCADO</v>
          </cell>
          <cell r="C95">
            <v>0</v>
          </cell>
          <cell r="D95">
            <v>1</v>
          </cell>
          <cell r="E95">
            <v>4.2</v>
          </cell>
          <cell r="F95">
            <v>0</v>
          </cell>
          <cell r="G95">
            <v>0</v>
          </cell>
          <cell r="H95">
            <v>13.854423602330987</v>
          </cell>
          <cell r="I95">
            <v>0</v>
          </cell>
          <cell r="J95">
            <v>0</v>
          </cell>
        </row>
        <row r="96">
          <cell r="A96">
            <v>0</v>
          </cell>
          <cell r="B96" t="str">
            <v>CASETA DE VALVULAS</v>
          </cell>
          <cell r="C96">
            <v>0</v>
          </cell>
          <cell r="D96">
            <v>1</v>
          </cell>
          <cell r="E96">
            <v>1.8</v>
          </cell>
          <cell r="F96">
            <v>1.4</v>
          </cell>
          <cell r="G96">
            <v>0</v>
          </cell>
          <cell r="H96">
            <v>2.52</v>
          </cell>
          <cell r="I96">
            <v>0</v>
          </cell>
          <cell r="J96">
            <v>0</v>
          </cell>
        </row>
        <row r="97">
          <cell r="A97">
            <v>0</v>
          </cell>
          <cell r="C97">
            <v>0</v>
          </cell>
          <cell r="E97">
            <v>0</v>
          </cell>
          <cell r="F97">
            <v>0</v>
          </cell>
        </row>
        <row r="98">
          <cell r="A98">
            <v>0</v>
          </cell>
          <cell r="C98">
            <v>0</v>
          </cell>
          <cell r="E98">
            <v>0</v>
          </cell>
          <cell r="F98">
            <v>0</v>
          </cell>
        </row>
        <row r="99">
          <cell r="A99">
            <v>0</v>
          </cell>
          <cell r="C99">
            <v>0</v>
          </cell>
          <cell r="E99">
            <v>0</v>
          </cell>
          <cell r="F99">
            <v>0</v>
          </cell>
        </row>
        <row r="100">
          <cell r="A100">
            <v>0</v>
          </cell>
          <cell r="C100">
            <v>0</v>
          </cell>
          <cell r="E100">
            <v>0</v>
          </cell>
          <cell r="F100">
            <v>0</v>
          </cell>
        </row>
        <row r="101">
          <cell r="A101">
            <v>1.0701010199999998</v>
          </cell>
          <cell r="B101" t="str">
            <v>TRAZO Y REPLANTEO PRELIMINAR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16.374423602330989</v>
          </cell>
          <cell r="J101" t="str">
            <v>m2</v>
          </cell>
        </row>
        <row r="102">
          <cell r="A102">
            <v>0</v>
          </cell>
        </row>
        <row r="103">
          <cell r="A103">
            <v>0</v>
          </cell>
          <cell r="B103" t="str">
            <v>DESCRIPCION</v>
          </cell>
          <cell r="C103">
            <v>0</v>
          </cell>
          <cell r="D103" t="str">
            <v>N° VECES</v>
          </cell>
          <cell r="E103" t="str">
            <v>LARGO</v>
          </cell>
          <cell r="F103" t="str">
            <v>ANCHO</v>
          </cell>
          <cell r="G103" t="str">
            <v>ALTO</v>
          </cell>
          <cell r="H103" t="str">
            <v>PARCIAL</v>
          </cell>
          <cell r="I103" t="str">
            <v>TOTAL</v>
          </cell>
          <cell r="J103" t="str">
            <v>UNIDAD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16.374423602330989</v>
          </cell>
          <cell r="J104" t="str">
            <v>m2</v>
          </cell>
        </row>
        <row r="105">
          <cell r="A105">
            <v>0</v>
          </cell>
          <cell r="B105" t="str">
            <v>RESERVORIO + ENROCADO</v>
          </cell>
          <cell r="C105">
            <v>0</v>
          </cell>
          <cell r="D105">
            <v>1</v>
          </cell>
          <cell r="E105">
            <v>4.2</v>
          </cell>
          <cell r="F105">
            <v>0</v>
          </cell>
          <cell r="G105">
            <v>0</v>
          </cell>
          <cell r="H105">
            <v>13.854423602330987</v>
          </cell>
          <cell r="I105">
            <v>0</v>
          </cell>
          <cell r="J105">
            <v>0</v>
          </cell>
        </row>
        <row r="106">
          <cell r="A106">
            <v>0</v>
          </cell>
          <cell r="B106" t="str">
            <v>CASETA DE VALVULAS</v>
          </cell>
          <cell r="C106">
            <v>0</v>
          </cell>
          <cell r="D106">
            <v>1</v>
          </cell>
          <cell r="E106">
            <v>1.8</v>
          </cell>
          <cell r="F106">
            <v>1.4</v>
          </cell>
          <cell r="G106">
            <v>0</v>
          </cell>
          <cell r="H106">
            <v>2.52</v>
          </cell>
          <cell r="I106">
            <v>0</v>
          </cell>
          <cell r="J106">
            <v>0</v>
          </cell>
        </row>
        <row r="107">
          <cell r="A107">
            <v>0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</row>
        <row r="109">
          <cell r="A109">
            <v>1.0701019999999999</v>
          </cell>
          <cell r="B109" t="str">
            <v>ESTRUCTURAS</v>
          </cell>
        </row>
        <row r="110">
          <cell r="A110">
            <v>1.0701020099999998</v>
          </cell>
          <cell r="B110" t="str">
            <v>MOVIMIENTO DE TIERRAS</v>
          </cell>
        </row>
        <row r="111">
          <cell r="A111">
            <v>1.0701020100999998</v>
          </cell>
          <cell r="B111" t="str">
            <v>EXCAVACIÓN EN TERRENO NORMAL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6.8550094378628836</v>
          </cell>
          <cell r="J111" t="str">
            <v>m3</v>
          </cell>
        </row>
        <row r="112">
          <cell r="A112">
            <v>0</v>
          </cell>
          <cell r="I112">
            <v>0</v>
          </cell>
        </row>
        <row r="113">
          <cell r="A113">
            <v>0</v>
          </cell>
          <cell r="B113" t="str">
            <v>DESCRIPCION</v>
          </cell>
          <cell r="C113">
            <v>0</v>
          </cell>
          <cell r="D113" t="str">
            <v>N° VECES</v>
          </cell>
          <cell r="E113" t="str">
            <v>LARGO</v>
          </cell>
          <cell r="F113" t="str">
            <v>ANCHO</v>
          </cell>
          <cell r="G113" t="str">
            <v>ALTO</v>
          </cell>
          <cell r="H113" t="str">
            <v>PARCIAL</v>
          </cell>
          <cell r="I113" t="str">
            <v>TOTAL</v>
          </cell>
          <cell r="J113" t="str">
            <v>UNIDAD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6.8550094378628836</v>
          </cell>
          <cell r="J114" t="str">
            <v>m3</v>
          </cell>
        </row>
        <row r="115">
          <cell r="A115">
            <v>0</v>
          </cell>
          <cell r="B115" t="str">
            <v>Explanación</v>
          </cell>
          <cell r="C115">
            <v>0</v>
          </cell>
          <cell r="D115">
            <v>1</v>
          </cell>
          <cell r="E115">
            <v>16.374423602330989</v>
          </cell>
          <cell r="F115">
            <v>0</v>
          </cell>
          <cell r="G115">
            <v>0.1</v>
          </cell>
          <cell r="H115">
            <v>1.637442360233099</v>
          </cell>
          <cell r="I115">
            <v>0</v>
          </cell>
        </row>
        <row r="116">
          <cell r="A116">
            <v>0</v>
          </cell>
          <cell r="B116" t="str">
            <v>Para el reservorio</v>
          </cell>
          <cell r="C116">
            <v>0</v>
          </cell>
          <cell r="D116">
            <v>1</v>
          </cell>
          <cell r="E116">
            <v>3.3</v>
          </cell>
          <cell r="F116">
            <v>0</v>
          </cell>
          <cell r="G116">
            <v>0.5</v>
          </cell>
          <cell r="H116">
            <v>4.276492999699105</v>
          </cell>
          <cell r="I116">
            <v>0</v>
          </cell>
          <cell r="J116">
            <v>0</v>
          </cell>
        </row>
        <row r="117">
          <cell r="A117">
            <v>0</v>
          </cell>
          <cell r="B117" t="str">
            <v>Enrocado</v>
          </cell>
          <cell r="C117">
            <v>0</v>
          </cell>
          <cell r="D117">
            <v>1</v>
          </cell>
          <cell r="E117">
            <v>7.8214376029327788</v>
          </cell>
          <cell r="F117">
            <v>0</v>
          </cell>
          <cell r="G117">
            <v>0.2</v>
          </cell>
          <cell r="H117">
            <v>1.5642875205865558</v>
          </cell>
          <cell r="I117">
            <v>0</v>
          </cell>
          <cell r="J117">
            <v>0</v>
          </cell>
        </row>
        <row r="118">
          <cell r="A118">
            <v>0</v>
          </cell>
          <cell r="B118" t="str">
            <v>Descuento por cimiento</v>
          </cell>
          <cell r="C118">
            <v>0</v>
          </cell>
          <cell r="D118">
            <v>-1</v>
          </cell>
          <cell r="E118">
            <v>2.2999999999999998</v>
          </cell>
          <cell r="F118">
            <v>0</v>
          </cell>
          <cell r="G118">
            <v>0.15</v>
          </cell>
          <cell r="H118">
            <v>-0.62321344265587508</v>
          </cell>
          <cell r="I118">
            <v>0</v>
          </cell>
          <cell r="J118">
            <v>0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I120">
            <v>0</v>
          </cell>
        </row>
        <row r="121">
          <cell r="A121">
            <v>1.0701020101999998</v>
          </cell>
          <cell r="B121" t="str">
            <v>RELLENO CON MATERIAL PROPIO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1.3656503265154829</v>
          </cell>
          <cell r="J121" t="str">
            <v>m3</v>
          </cell>
        </row>
        <row r="122">
          <cell r="A122">
            <v>0</v>
          </cell>
          <cell r="I122">
            <v>0</v>
          </cell>
        </row>
        <row r="123">
          <cell r="A123">
            <v>0</v>
          </cell>
          <cell r="B123" t="str">
            <v>DESCRIPCION</v>
          </cell>
          <cell r="C123">
            <v>0</v>
          </cell>
          <cell r="D123" t="str">
            <v>N° VECES</v>
          </cell>
          <cell r="E123" t="str">
            <v>LARGO</v>
          </cell>
          <cell r="F123" t="str">
            <v>AREA</v>
          </cell>
          <cell r="G123" t="str">
            <v>FACTOR</v>
          </cell>
          <cell r="H123" t="str">
            <v>PARCIAL</v>
          </cell>
          <cell r="I123" t="str">
            <v>TOTAL</v>
          </cell>
          <cell r="J123" t="str">
            <v>UNIDAD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1.3656503265154829</v>
          </cell>
          <cell r="J124" t="str">
            <v>m3</v>
          </cell>
        </row>
        <row r="125">
          <cell r="A125">
            <v>0</v>
          </cell>
          <cell r="B125" t="str">
            <v>Para el reservorio</v>
          </cell>
          <cell r="C125">
            <v>0</v>
          </cell>
          <cell r="D125">
            <v>1</v>
          </cell>
          <cell r="E125">
            <v>10.838494654884785</v>
          </cell>
          <cell r="F125">
            <v>0.03</v>
          </cell>
          <cell r="G125">
            <v>1.2</v>
          </cell>
          <cell r="H125">
            <v>0.39018580757585225</v>
          </cell>
          <cell r="I125">
            <v>0</v>
          </cell>
          <cell r="J125">
            <v>0</v>
          </cell>
        </row>
        <row r="126">
          <cell r="A126">
            <v>0</v>
          </cell>
          <cell r="B126" t="str">
            <v>Extra por encofrado de cimiento</v>
          </cell>
          <cell r="C126">
            <v>0</v>
          </cell>
          <cell r="D126">
            <v>1</v>
          </cell>
          <cell r="E126">
            <v>10.838494654884785</v>
          </cell>
          <cell r="F126">
            <v>7.4999999999999997E-2</v>
          </cell>
          <cell r="G126">
            <v>1.2</v>
          </cell>
          <cell r="H126">
            <v>0.97546451893963071</v>
          </cell>
          <cell r="I126">
            <v>0</v>
          </cell>
          <cell r="J126">
            <v>0</v>
          </cell>
        </row>
        <row r="127">
          <cell r="A127">
            <v>0</v>
          </cell>
          <cell r="I127">
            <v>0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I128">
            <v>0</v>
          </cell>
        </row>
        <row r="129">
          <cell r="A129">
            <v>1.0701020102999999</v>
          </cell>
          <cell r="B129" t="str">
            <v>RELLENO CON MATERIAL DE PRÉSTAMO (AFIRMADO)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2.2770263553218824</v>
          </cell>
          <cell r="J129" t="str">
            <v>m3</v>
          </cell>
        </row>
        <row r="130">
          <cell r="A130">
            <v>0</v>
          </cell>
          <cell r="F130">
            <v>0</v>
          </cell>
          <cell r="I130">
            <v>0</v>
          </cell>
        </row>
        <row r="131">
          <cell r="A131">
            <v>0</v>
          </cell>
          <cell r="B131" t="str">
            <v>DESCRIPCION</v>
          </cell>
          <cell r="C131">
            <v>0</v>
          </cell>
          <cell r="D131" t="str">
            <v>N° VECES</v>
          </cell>
          <cell r="E131" t="str">
            <v>AREA</v>
          </cell>
          <cell r="F131" t="str">
            <v>ALTURA</v>
          </cell>
          <cell r="G131" t="str">
            <v>FACTOR</v>
          </cell>
          <cell r="H131" t="str">
            <v>PARCIAL</v>
          </cell>
          <cell r="I131" t="str">
            <v>TOTAL</v>
          </cell>
          <cell r="J131" t="str">
            <v>UNIDAD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2.2770263553218824</v>
          </cell>
          <cell r="J132" t="str">
            <v>m3</v>
          </cell>
        </row>
        <row r="133">
          <cell r="A133">
            <v>0</v>
          </cell>
          <cell r="B133" t="str">
            <v>Para el reservorio</v>
          </cell>
          <cell r="C133">
            <v>0</v>
          </cell>
          <cell r="D133">
            <v>1</v>
          </cell>
          <cell r="E133">
            <v>10.178760197630931</v>
          </cell>
          <cell r="F133">
            <v>0.1</v>
          </cell>
          <cell r="G133">
            <v>1.2</v>
          </cell>
          <cell r="H133">
            <v>1.2214512237157118</v>
          </cell>
          <cell r="I133">
            <v>0</v>
          </cell>
          <cell r="J133">
            <v>0</v>
          </cell>
        </row>
        <row r="134">
          <cell r="A134">
            <v>0</v>
          </cell>
          <cell r="B134" t="str">
            <v>Para enrocado</v>
          </cell>
          <cell r="C134">
            <v>0</v>
          </cell>
          <cell r="D134">
            <v>1</v>
          </cell>
          <cell r="E134">
            <v>8.7964594300514243</v>
          </cell>
          <cell r="F134">
            <v>0.1</v>
          </cell>
          <cell r="G134">
            <v>1.2</v>
          </cell>
          <cell r="H134">
            <v>1.0555751316061708</v>
          </cell>
          <cell r="I134">
            <v>0</v>
          </cell>
          <cell r="J134">
            <v>0</v>
          </cell>
        </row>
        <row r="135">
          <cell r="A135">
            <v>0</v>
          </cell>
          <cell r="F135">
            <v>0</v>
          </cell>
          <cell r="I135">
            <v>0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I136">
            <v>0</v>
          </cell>
        </row>
        <row r="137">
          <cell r="A137">
            <v>1.0701020103999999</v>
          </cell>
          <cell r="B137" t="str">
            <v>RELLENO CON MATERIAL DE PRESTAMO (GRAVA DE 4")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2.239327243478805</v>
          </cell>
          <cell r="J137" t="str">
            <v>m3</v>
          </cell>
        </row>
        <row r="138">
          <cell r="A138">
            <v>0</v>
          </cell>
          <cell r="F138">
            <v>0</v>
          </cell>
          <cell r="I138">
            <v>0</v>
          </cell>
        </row>
        <row r="139">
          <cell r="A139">
            <v>0</v>
          </cell>
          <cell r="B139" t="str">
            <v>DESCRIPCION</v>
          </cell>
          <cell r="C139">
            <v>0</v>
          </cell>
          <cell r="D139" t="str">
            <v>N° VECES</v>
          </cell>
          <cell r="E139" t="str">
            <v>AREA</v>
          </cell>
          <cell r="F139" t="str">
            <v>ALTURA</v>
          </cell>
          <cell r="G139" t="str">
            <v>FACTOR</v>
          </cell>
          <cell r="H139" t="str">
            <v>PARCIAL</v>
          </cell>
          <cell r="I139" t="str">
            <v>TOTAL</v>
          </cell>
          <cell r="J139" t="str">
            <v>UNIDAD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2.239327243478805</v>
          </cell>
          <cell r="J140" t="str">
            <v>m3</v>
          </cell>
        </row>
        <row r="141">
          <cell r="A141">
            <v>0</v>
          </cell>
          <cell r="B141" t="str">
            <v>Para el reservorio</v>
          </cell>
          <cell r="C141">
            <v>0</v>
          </cell>
          <cell r="D141">
            <v>1</v>
          </cell>
          <cell r="E141">
            <v>10.178760197630931</v>
          </cell>
          <cell r="F141">
            <v>0.2</v>
          </cell>
          <cell r="G141">
            <v>1.1000000000000001</v>
          </cell>
          <cell r="H141">
            <v>2.239327243478805</v>
          </cell>
          <cell r="I141">
            <v>0</v>
          </cell>
          <cell r="J141">
            <v>0</v>
          </cell>
        </row>
        <row r="142">
          <cell r="A142">
            <v>0</v>
          </cell>
          <cell r="F142">
            <v>0</v>
          </cell>
          <cell r="I142">
            <v>0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I143">
            <v>0</v>
          </cell>
        </row>
        <row r="144">
          <cell r="A144">
            <v>1.0701020104999999</v>
          </cell>
          <cell r="B144" t="str">
            <v>NIVELACIÓN INTERIOR Y APISONADO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18.975219627682357</v>
          </cell>
          <cell r="J144" t="str">
            <v>m2</v>
          </cell>
        </row>
        <row r="145">
          <cell r="A145">
            <v>0</v>
          </cell>
        </row>
        <row r="146">
          <cell r="A146">
            <v>0</v>
          </cell>
          <cell r="B146" t="str">
            <v>DESCRIPCION</v>
          </cell>
          <cell r="C146">
            <v>0</v>
          </cell>
          <cell r="D146" t="str">
            <v>N° VECES</v>
          </cell>
          <cell r="E146" t="str">
            <v>AREA</v>
          </cell>
          <cell r="F146" t="str">
            <v>ANCHO</v>
          </cell>
          <cell r="G146" t="str">
            <v>ALTURA</v>
          </cell>
          <cell r="H146" t="str">
            <v>PARCIAL</v>
          </cell>
          <cell r="I146" t="str">
            <v>TOTAL</v>
          </cell>
          <cell r="J146" t="str">
            <v>UNIDAD</v>
          </cell>
        </row>
        <row r="147">
          <cell r="A147">
            <v>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18.975219627682357</v>
          </cell>
          <cell r="J147" t="str">
            <v>m2</v>
          </cell>
        </row>
        <row r="148">
          <cell r="A148">
            <v>0</v>
          </cell>
          <cell r="B148" t="str">
            <v>Para el reservorio</v>
          </cell>
          <cell r="C148">
            <v>0</v>
          </cell>
          <cell r="D148">
            <v>1</v>
          </cell>
          <cell r="E148">
            <v>10.178760197630931</v>
          </cell>
          <cell r="F148">
            <v>0</v>
          </cell>
          <cell r="G148">
            <v>0</v>
          </cell>
          <cell r="H148">
            <v>10.178760197630931</v>
          </cell>
          <cell r="I148">
            <v>0</v>
          </cell>
          <cell r="J148">
            <v>0</v>
          </cell>
        </row>
        <row r="149">
          <cell r="A149">
            <v>0</v>
          </cell>
          <cell r="B149" t="str">
            <v>Para enrocado</v>
          </cell>
          <cell r="C149">
            <v>0</v>
          </cell>
          <cell r="D149">
            <v>1</v>
          </cell>
          <cell r="E149">
            <v>8.7964594300514243</v>
          </cell>
          <cell r="F149">
            <v>0</v>
          </cell>
          <cell r="G149">
            <v>0</v>
          </cell>
          <cell r="H149">
            <v>8.7964594300514243</v>
          </cell>
          <cell r="I149">
            <v>0</v>
          </cell>
          <cell r="J149">
            <v>0</v>
          </cell>
        </row>
        <row r="150">
          <cell r="A150">
            <v>0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</row>
        <row r="152">
          <cell r="A152">
            <v>1.0701020105999999</v>
          </cell>
          <cell r="B152" t="str">
            <v>ELIMINACION DE MATERIAL EXCEDENTE DP=30m.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6.860360998919977</v>
          </cell>
          <cell r="J152" t="str">
            <v>m3</v>
          </cell>
        </row>
        <row r="153">
          <cell r="A153">
            <v>0</v>
          </cell>
        </row>
        <row r="154">
          <cell r="A154">
            <v>0</v>
          </cell>
          <cell r="B154" t="str">
            <v>DESCRIPCION</v>
          </cell>
          <cell r="C154">
            <v>0</v>
          </cell>
          <cell r="D154" t="str">
            <v>N° VECES</v>
          </cell>
          <cell r="E154" t="str">
            <v>EXC.</v>
          </cell>
          <cell r="F154" t="str">
            <v>RELLENO</v>
          </cell>
          <cell r="G154" t="str">
            <v>ALTURA</v>
          </cell>
          <cell r="H154" t="str">
            <v>PARCIAL</v>
          </cell>
          <cell r="I154" t="str">
            <v>TOTAL</v>
          </cell>
          <cell r="J154" t="str">
            <v>UNIDAD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6.860360998919977</v>
          </cell>
          <cell r="J155" t="str">
            <v>m3</v>
          </cell>
        </row>
        <row r="156">
          <cell r="A156">
            <v>0</v>
          </cell>
          <cell r="B156" t="str">
            <v>Volumen descontado</v>
          </cell>
          <cell r="C156">
            <v>0</v>
          </cell>
          <cell r="D156">
            <v>1</v>
          </cell>
          <cell r="E156">
            <v>8.2260113254354597</v>
          </cell>
          <cell r="F156">
            <v>1.3656503265154829</v>
          </cell>
          <cell r="G156">
            <v>0</v>
          </cell>
          <cell r="H156">
            <v>6.860360998919977</v>
          </cell>
          <cell r="I156">
            <v>0</v>
          </cell>
          <cell r="J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1.0701020199999998</v>
          </cell>
          <cell r="B159" t="str">
            <v>CONCRETO SIMPLE</v>
          </cell>
        </row>
        <row r="160">
          <cell r="A160">
            <v>0</v>
          </cell>
        </row>
        <row r="161">
          <cell r="A161">
            <v>1.0701020200999998</v>
          </cell>
          <cell r="B161" t="str">
            <v>FALSA ZAPATA</v>
          </cell>
          <cell r="I161">
            <v>0</v>
          </cell>
        </row>
        <row r="162">
          <cell r="A162">
            <v>1.0701020201009999</v>
          </cell>
          <cell r="B162" t="str">
            <v>CONCRETO f'c=140 kg/cm2, S/MEZCLADORA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10.178760197630927</v>
          </cell>
          <cell r="J162" t="str">
            <v>m2</v>
          </cell>
        </row>
        <row r="163">
          <cell r="A163">
            <v>0</v>
          </cell>
          <cell r="B163">
            <v>0</v>
          </cell>
          <cell r="I163">
            <v>0</v>
          </cell>
          <cell r="J163">
            <v>0</v>
          </cell>
        </row>
        <row r="164">
          <cell r="A164">
            <v>0</v>
          </cell>
          <cell r="B164" t="str">
            <v>DESCRIPCION</v>
          </cell>
          <cell r="C164">
            <v>0</v>
          </cell>
          <cell r="D164" t="str">
            <v>N° VECES</v>
          </cell>
          <cell r="E164" t="str">
            <v>LARGO</v>
          </cell>
          <cell r="F164" t="str">
            <v>ANCHO</v>
          </cell>
          <cell r="G164" t="str">
            <v>ALTURA</v>
          </cell>
          <cell r="H164" t="str">
            <v>PARCIAL</v>
          </cell>
          <cell r="I164" t="str">
            <v>TOTAL</v>
          </cell>
          <cell r="J164" t="str">
            <v>UNIDAD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10.178760197630927</v>
          </cell>
          <cell r="J165" t="str">
            <v>m2</v>
          </cell>
        </row>
        <row r="166">
          <cell r="A166">
            <v>0</v>
          </cell>
          <cell r="B166" t="str">
            <v>Área de solado</v>
          </cell>
          <cell r="C166">
            <v>0</v>
          </cell>
          <cell r="D166">
            <v>1</v>
          </cell>
          <cell r="E166">
            <v>3.5999999999999996</v>
          </cell>
          <cell r="F166">
            <v>0</v>
          </cell>
          <cell r="G166">
            <v>0</v>
          </cell>
          <cell r="H166">
            <v>10.178760197630927</v>
          </cell>
          <cell r="I166">
            <v>0</v>
          </cell>
          <cell r="J166">
            <v>0</v>
          </cell>
        </row>
        <row r="167">
          <cell r="A167">
            <v>0</v>
          </cell>
          <cell r="B167">
            <v>0</v>
          </cell>
          <cell r="I167">
            <v>0</v>
          </cell>
          <cell r="J167">
            <v>0</v>
          </cell>
        </row>
        <row r="168">
          <cell r="A168">
            <v>0</v>
          </cell>
          <cell r="I168">
            <v>0</v>
          </cell>
        </row>
        <row r="169">
          <cell r="A169">
            <v>1.070102020102</v>
          </cell>
          <cell r="B169" t="str">
            <v>ENCOFRADO Y DESENCOFRADO NORMAL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3.0536280592892782</v>
          </cell>
          <cell r="J169" t="str">
            <v>m2</v>
          </cell>
        </row>
        <row r="170">
          <cell r="A170">
            <v>0</v>
          </cell>
          <cell r="B170">
            <v>0</v>
          </cell>
          <cell r="I170">
            <v>0</v>
          </cell>
          <cell r="J170">
            <v>0</v>
          </cell>
        </row>
        <row r="171">
          <cell r="A171">
            <v>0</v>
          </cell>
          <cell r="B171" t="str">
            <v>DESCRIPCION</v>
          </cell>
          <cell r="C171">
            <v>0</v>
          </cell>
          <cell r="D171" t="str">
            <v>N° VECES</v>
          </cell>
          <cell r="E171" t="str">
            <v>LARGO</v>
          </cell>
          <cell r="F171" t="str">
            <v>ANCHO</v>
          </cell>
          <cell r="G171" t="str">
            <v>ALTURA</v>
          </cell>
          <cell r="H171" t="str">
            <v>PARCIAL</v>
          </cell>
          <cell r="I171" t="str">
            <v>TOTAL</v>
          </cell>
          <cell r="J171" t="str">
            <v>UNIDAD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3.0536280592892782</v>
          </cell>
          <cell r="J172" t="str">
            <v>m2</v>
          </cell>
        </row>
        <row r="173">
          <cell r="A173">
            <v>0</v>
          </cell>
          <cell r="B173" t="str">
            <v>Frisos</v>
          </cell>
          <cell r="C173">
            <v>0</v>
          </cell>
          <cell r="D173">
            <v>1</v>
          </cell>
          <cell r="E173">
            <v>3.5999999999999996</v>
          </cell>
          <cell r="F173">
            <v>0</v>
          </cell>
          <cell r="G173">
            <v>0.3</v>
          </cell>
          <cell r="H173">
            <v>3.0536280592892782</v>
          </cell>
          <cell r="I173">
            <v>0</v>
          </cell>
          <cell r="J173">
            <v>0</v>
          </cell>
        </row>
        <row r="174">
          <cell r="A174">
            <v>0</v>
          </cell>
          <cell r="B174">
            <v>0</v>
          </cell>
          <cell r="I174">
            <v>0</v>
          </cell>
          <cell r="J174">
            <v>0</v>
          </cell>
        </row>
        <row r="175">
          <cell r="A175">
            <v>1.0701020201999998</v>
          </cell>
          <cell r="B175" t="str">
            <v>VEREDAS</v>
          </cell>
          <cell r="I175">
            <v>0</v>
          </cell>
        </row>
        <row r="176">
          <cell r="A176">
            <v>1.0701020202009999</v>
          </cell>
          <cell r="B176" t="str">
            <v>CONCRETO f'c=140 kg/cm2, S/MEZCLADORA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1.1592476891746333</v>
          </cell>
          <cell r="J176" t="str">
            <v>m3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</row>
        <row r="178">
          <cell r="A178">
            <v>0</v>
          </cell>
          <cell r="B178" t="str">
            <v>DESCRIPCION</v>
          </cell>
          <cell r="C178">
            <v>0</v>
          </cell>
          <cell r="D178" t="str">
            <v>N° VECES</v>
          </cell>
          <cell r="E178" t="str">
            <v>LARGO</v>
          </cell>
          <cell r="F178" t="str">
            <v>ANCHO</v>
          </cell>
          <cell r="G178" t="str">
            <v>ALTURA</v>
          </cell>
          <cell r="H178" t="str">
            <v>PARCIAL</v>
          </cell>
          <cell r="I178" t="str">
            <v>TOTAL</v>
          </cell>
          <cell r="J178" t="str">
            <v>UNIDAD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1.1592476891746333</v>
          </cell>
          <cell r="J179" t="str">
            <v>m3</v>
          </cell>
        </row>
        <row r="180">
          <cell r="A180">
            <v>0</v>
          </cell>
          <cell r="B180" t="str">
            <v>Volumen de veredas</v>
          </cell>
          <cell r="C180">
            <v>0</v>
          </cell>
          <cell r="D180">
            <v>1</v>
          </cell>
          <cell r="E180">
            <v>12.88052987971815</v>
          </cell>
          <cell r="F180">
            <v>0.89999999999999991</v>
          </cell>
          <cell r="G180">
            <v>0.1</v>
          </cell>
          <cell r="H180">
            <v>1.1592476891746333</v>
          </cell>
          <cell r="I180">
            <v>0</v>
          </cell>
          <cell r="J180">
            <v>0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</row>
        <row r="183">
          <cell r="A183">
            <v>1.070102020202</v>
          </cell>
          <cell r="B183" t="str">
            <v>ENCOFRADO Y DESENCOFRADO NORMAL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10.283185005736053</v>
          </cell>
          <cell r="J183" t="str">
            <v>m2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</row>
        <row r="185">
          <cell r="A185">
            <v>0</v>
          </cell>
          <cell r="B185" t="str">
            <v>DESCRIPCION</v>
          </cell>
          <cell r="C185">
            <v>0</v>
          </cell>
          <cell r="D185" t="str">
            <v>N° VECES</v>
          </cell>
          <cell r="E185" t="str">
            <v>LARGO</v>
          </cell>
          <cell r="F185" t="str">
            <v>ANCHO</v>
          </cell>
          <cell r="G185" t="str">
            <v>ALTURA</v>
          </cell>
          <cell r="H185" t="str">
            <v>PARCIAL</v>
          </cell>
          <cell r="I185" t="str">
            <v>TOTAL</v>
          </cell>
          <cell r="J185" t="str">
            <v>UNIDAD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10.283185005736053</v>
          </cell>
          <cell r="J186" t="str">
            <v>m2</v>
          </cell>
        </row>
        <row r="187">
          <cell r="A187">
            <v>0</v>
          </cell>
          <cell r="B187" t="str">
            <v>Encofrado de juntas</v>
          </cell>
          <cell r="C187">
            <v>0</v>
          </cell>
          <cell r="D187">
            <v>5</v>
          </cell>
          <cell r="E187">
            <v>0.9</v>
          </cell>
          <cell r="F187">
            <v>0</v>
          </cell>
          <cell r="G187">
            <v>0.1</v>
          </cell>
          <cell r="H187">
            <v>0.45</v>
          </cell>
          <cell r="I187">
            <v>0</v>
          </cell>
          <cell r="J187">
            <v>0</v>
          </cell>
        </row>
        <row r="188">
          <cell r="A188">
            <v>0</v>
          </cell>
          <cell r="B188" t="str">
            <v>Altura exterior</v>
          </cell>
          <cell r="C188">
            <v>0</v>
          </cell>
          <cell r="D188">
            <v>1</v>
          </cell>
          <cell r="E188">
            <v>4.7</v>
          </cell>
          <cell r="F188">
            <v>0</v>
          </cell>
          <cell r="G188">
            <v>0.30000000000000004</v>
          </cell>
          <cell r="H188">
            <v>4.429645641561609</v>
          </cell>
          <cell r="I188">
            <v>0</v>
          </cell>
          <cell r="J188">
            <v>0</v>
          </cell>
        </row>
        <row r="189">
          <cell r="A189">
            <v>0</v>
          </cell>
          <cell r="B189" t="str">
            <v>Altura interior izquierda</v>
          </cell>
          <cell r="C189">
            <v>0</v>
          </cell>
          <cell r="D189">
            <v>1</v>
          </cell>
          <cell r="E189">
            <v>4.5</v>
          </cell>
          <cell r="F189">
            <v>0</v>
          </cell>
          <cell r="G189">
            <v>0.2</v>
          </cell>
          <cell r="H189">
            <v>2.8274333882308138</v>
          </cell>
          <cell r="I189">
            <v>0</v>
          </cell>
          <cell r="J189">
            <v>0</v>
          </cell>
        </row>
        <row r="190">
          <cell r="A190">
            <v>0</v>
          </cell>
          <cell r="B190" t="str">
            <v>Altura interior derecha</v>
          </cell>
          <cell r="C190">
            <v>0</v>
          </cell>
          <cell r="D190">
            <v>1</v>
          </cell>
          <cell r="E190">
            <v>4.0999999999999996</v>
          </cell>
          <cell r="F190">
            <v>0</v>
          </cell>
          <cell r="G190">
            <v>0.2</v>
          </cell>
          <cell r="H190">
            <v>2.57610597594363</v>
          </cell>
          <cell r="I190">
            <v>0</v>
          </cell>
          <cell r="J190">
            <v>0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</row>
        <row r="193">
          <cell r="A193">
            <v>1.070102020203</v>
          </cell>
          <cell r="B193" t="str">
            <v>JUNTAS CON TEKNOPOR E=1"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1.0447052210247498</v>
          </cell>
          <cell r="J193" t="str">
            <v>m2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</row>
        <row r="195">
          <cell r="A195">
            <v>0</v>
          </cell>
          <cell r="B195" t="str">
            <v>DESCRIPCION</v>
          </cell>
          <cell r="C195">
            <v>0</v>
          </cell>
          <cell r="D195" t="str">
            <v>N° VECES</v>
          </cell>
          <cell r="E195" t="str">
            <v>LARGO</v>
          </cell>
          <cell r="F195" t="str">
            <v>ANCHO</v>
          </cell>
          <cell r="G195" t="str">
            <v>ALTURA</v>
          </cell>
          <cell r="H195" t="str">
            <v>PARCIAL</v>
          </cell>
          <cell r="I195" t="str">
            <v>TOTAL</v>
          </cell>
          <cell r="J195" t="str">
            <v>UNIDAD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1.0447052210247498</v>
          </cell>
          <cell r="J196" t="str">
            <v>m2</v>
          </cell>
        </row>
        <row r="197">
          <cell r="A197">
            <v>0</v>
          </cell>
          <cell r="B197" t="str">
            <v>Juntas</v>
          </cell>
          <cell r="C197">
            <v>0</v>
          </cell>
          <cell r="D197">
            <v>1</v>
          </cell>
          <cell r="E197">
            <v>10.447052210247497</v>
          </cell>
          <cell r="F197">
            <v>0</v>
          </cell>
          <cell r="G197">
            <v>0.1</v>
          </cell>
          <cell r="H197">
            <v>1.0447052210247498</v>
          </cell>
          <cell r="I197">
            <v>0</v>
          </cell>
          <cell r="J197">
            <v>0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</row>
        <row r="199">
          <cell r="A199">
            <v>1.0701020202040001</v>
          </cell>
          <cell r="B199" t="str">
            <v>SELLADO DE JUNTAS CON MASILLA DE POLIURETANO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15.947052210247497</v>
          </cell>
          <cell r="J199" t="str">
            <v>m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</row>
        <row r="201">
          <cell r="A201">
            <v>0</v>
          </cell>
          <cell r="B201" t="str">
            <v>DESCRIPCION</v>
          </cell>
          <cell r="C201">
            <v>0</v>
          </cell>
          <cell r="D201" t="str">
            <v>N° VECES</v>
          </cell>
          <cell r="E201" t="str">
            <v>LARGO</v>
          </cell>
          <cell r="F201" t="str">
            <v>ANCHO</v>
          </cell>
          <cell r="G201" t="str">
            <v>ALTURA</v>
          </cell>
          <cell r="H201" t="str">
            <v>PARCIAL</v>
          </cell>
          <cell r="I201" t="str">
            <v>TOTAL</v>
          </cell>
          <cell r="J201" t="str">
            <v>UNIDAD</v>
          </cell>
        </row>
        <row r="202">
          <cell r="A202">
            <v>0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15.947052210247497</v>
          </cell>
          <cell r="J202" t="str">
            <v>m</v>
          </cell>
        </row>
        <row r="203">
          <cell r="A203">
            <v>0</v>
          </cell>
          <cell r="B203" t="str">
            <v>Radial enrocado</v>
          </cell>
          <cell r="C203">
            <v>0</v>
          </cell>
          <cell r="D203">
            <v>5</v>
          </cell>
          <cell r="E203">
            <v>1.1000000000000001</v>
          </cell>
          <cell r="F203">
            <v>0</v>
          </cell>
          <cell r="G203">
            <v>0</v>
          </cell>
          <cell r="H203">
            <v>5.5</v>
          </cell>
          <cell r="I203">
            <v>0</v>
          </cell>
          <cell r="J203">
            <v>0</v>
          </cell>
        </row>
        <row r="204">
          <cell r="A204">
            <v>0</v>
          </cell>
          <cell r="B204" t="str">
            <v>Circunferencia reservorio</v>
          </cell>
          <cell r="C204">
            <v>0</v>
          </cell>
          <cell r="D204">
            <v>1</v>
          </cell>
          <cell r="E204">
            <v>10.447052210247497</v>
          </cell>
          <cell r="F204">
            <v>0</v>
          </cell>
          <cell r="G204">
            <v>0</v>
          </cell>
          <cell r="H204">
            <v>10.447052210247497</v>
          </cell>
          <cell r="I204">
            <v>0</v>
          </cell>
          <cell r="J204">
            <v>0</v>
          </cell>
        </row>
        <row r="205">
          <cell r="A205">
            <v>0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</row>
        <row r="206">
          <cell r="A206">
            <v>1.0701020202999998</v>
          </cell>
          <cell r="B206" t="str">
            <v>DADO DE CONCRETO EN REBOSE</v>
          </cell>
          <cell r="I206">
            <v>0</v>
          </cell>
        </row>
        <row r="207">
          <cell r="A207">
            <v>1.0701020203009999</v>
          </cell>
          <cell r="B207" t="str">
            <v>CONCRETO f'c=140 kg/cm2,S/MEZCLADORA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1.2E-2</v>
          </cell>
          <cell r="J207" t="str">
            <v>m3</v>
          </cell>
        </row>
        <row r="208">
          <cell r="A208">
            <v>0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>
            <v>0</v>
          </cell>
          <cell r="B209" t="str">
            <v>DESCRIPCION</v>
          </cell>
          <cell r="C209">
            <v>0</v>
          </cell>
          <cell r="D209" t="str">
            <v>N° VECES</v>
          </cell>
          <cell r="E209" t="str">
            <v>LARGO</v>
          </cell>
          <cell r="F209" t="str">
            <v>ANCHO</v>
          </cell>
          <cell r="G209" t="str">
            <v>ALTURA</v>
          </cell>
          <cell r="H209" t="str">
            <v>PARCIAL</v>
          </cell>
          <cell r="I209" t="str">
            <v>TOTAL</v>
          </cell>
          <cell r="J209" t="str">
            <v>UNIDAD</v>
          </cell>
        </row>
        <row r="210">
          <cell r="A210">
            <v>0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1.2E-2</v>
          </cell>
          <cell r="J210" t="str">
            <v>m3</v>
          </cell>
        </row>
        <row r="211">
          <cell r="A211">
            <v>0</v>
          </cell>
          <cell r="B211" t="str">
            <v>Concreto en dado</v>
          </cell>
          <cell r="C211">
            <v>0</v>
          </cell>
          <cell r="D211">
            <v>1</v>
          </cell>
          <cell r="E211">
            <v>0.3</v>
          </cell>
          <cell r="F211">
            <v>0.2</v>
          </cell>
          <cell r="G211">
            <v>0.2</v>
          </cell>
          <cell r="H211">
            <v>1.2E-2</v>
          </cell>
          <cell r="I211">
            <v>0</v>
          </cell>
          <cell r="J211">
            <v>0</v>
          </cell>
        </row>
        <row r="212">
          <cell r="A212">
            <v>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>
            <v>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</row>
        <row r="214">
          <cell r="A214">
            <v>1.070102020302</v>
          </cell>
          <cell r="B214" t="str">
            <v>CONCRETO  f'c=140 kg/cm2 + 30 PM, S/MEZCLADORA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0.15</v>
          </cell>
          <cell r="J214" t="str">
            <v>m3</v>
          </cell>
        </row>
        <row r="215">
          <cell r="A215">
            <v>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>
            <v>0</v>
          </cell>
          <cell r="B216" t="str">
            <v>DESCRIPCION</v>
          </cell>
          <cell r="C216">
            <v>0</v>
          </cell>
          <cell r="D216" t="str">
            <v>N° VECES</v>
          </cell>
          <cell r="E216" t="str">
            <v>LARGO</v>
          </cell>
          <cell r="F216" t="str">
            <v>ANCHO</v>
          </cell>
          <cell r="G216" t="str">
            <v>ALTURA</v>
          </cell>
          <cell r="H216" t="str">
            <v>PARCIAL</v>
          </cell>
          <cell r="I216" t="str">
            <v>TOTAL</v>
          </cell>
          <cell r="J216" t="str">
            <v>UNIDAD</v>
          </cell>
        </row>
        <row r="217">
          <cell r="A217">
            <v>0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0.15</v>
          </cell>
          <cell r="J217" t="str">
            <v>m3</v>
          </cell>
        </row>
        <row r="218">
          <cell r="A218">
            <v>0</v>
          </cell>
          <cell r="B218" t="str">
            <v>Concreto en zona de rebose</v>
          </cell>
          <cell r="C218">
            <v>0</v>
          </cell>
          <cell r="D218">
            <v>1</v>
          </cell>
          <cell r="E218">
            <v>1</v>
          </cell>
          <cell r="F218">
            <v>0.5</v>
          </cell>
          <cell r="G218">
            <v>0.3</v>
          </cell>
          <cell r="H218">
            <v>0.15</v>
          </cell>
          <cell r="I218">
            <v>0</v>
          </cell>
          <cell r="J218">
            <v>0</v>
          </cell>
        </row>
        <row r="219">
          <cell r="A219">
            <v>0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</row>
        <row r="220">
          <cell r="A220">
            <v>0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>
            <v>0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>
            <v>1.0701020203030001</v>
          </cell>
          <cell r="B222" t="str">
            <v>ENCOFRADO Y DESENCOFRADO NORMAL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0.24</v>
          </cell>
          <cell r="J222" t="str">
            <v>m2</v>
          </cell>
        </row>
        <row r="223">
          <cell r="A223">
            <v>0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</row>
        <row r="224">
          <cell r="A224">
            <v>0</v>
          </cell>
          <cell r="B224" t="str">
            <v>DESCRIPCION</v>
          </cell>
          <cell r="C224">
            <v>0</v>
          </cell>
          <cell r="D224" t="str">
            <v>N° VECES</v>
          </cell>
          <cell r="E224" t="str">
            <v>LARGO</v>
          </cell>
          <cell r="F224" t="str">
            <v>ANCHO</v>
          </cell>
          <cell r="G224" t="str">
            <v>ALTURA</v>
          </cell>
          <cell r="H224" t="str">
            <v>PARCIAL</v>
          </cell>
          <cell r="I224" t="str">
            <v>TOTAL</v>
          </cell>
          <cell r="J224" t="str">
            <v>UNIDAD</v>
          </cell>
        </row>
        <row r="225">
          <cell r="A225">
            <v>0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0.24</v>
          </cell>
          <cell r="J225" t="str">
            <v>m3</v>
          </cell>
        </row>
        <row r="226">
          <cell r="A226">
            <v>0</v>
          </cell>
          <cell r="B226" t="str">
            <v>Encofrado y desencofrado</v>
          </cell>
          <cell r="C226">
            <v>0</v>
          </cell>
          <cell r="D226">
            <v>4</v>
          </cell>
          <cell r="E226">
            <v>0.3</v>
          </cell>
          <cell r="F226">
            <v>0.2</v>
          </cell>
          <cell r="G226">
            <v>0</v>
          </cell>
          <cell r="H226">
            <v>0.24</v>
          </cell>
          <cell r="I226">
            <v>0</v>
          </cell>
          <cell r="J226">
            <v>0</v>
          </cell>
        </row>
        <row r="227">
          <cell r="A227">
            <v>0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A228">
            <v>0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>
            <v>1.0701020299999997</v>
          </cell>
          <cell r="B229" t="str">
            <v>CONCRETO ARMADO</v>
          </cell>
        </row>
        <row r="230">
          <cell r="A230">
            <v>1.0701020300999997</v>
          </cell>
          <cell r="B230" t="str">
            <v>ZAPATA CORRIDA</v>
          </cell>
          <cell r="I230">
            <v>0</v>
          </cell>
        </row>
        <row r="231">
          <cell r="A231">
            <v>1.0701020301009998</v>
          </cell>
          <cell r="B231" t="str">
            <v>CONCRETO f'c=210 kg/cm2 S/MEZCLADORA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1.4608405839192538</v>
          </cell>
          <cell r="J231" t="str">
            <v>m3</v>
          </cell>
        </row>
        <row r="232">
          <cell r="A232">
            <v>0</v>
          </cell>
        </row>
        <row r="233">
          <cell r="A233">
            <v>0</v>
          </cell>
          <cell r="B233" t="str">
            <v>DESCRIPCION</v>
          </cell>
          <cell r="C233">
            <v>0</v>
          </cell>
          <cell r="D233" t="str">
            <v>N° VECES</v>
          </cell>
          <cell r="E233" t="str">
            <v>LARGO</v>
          </cell>
          <cell r="F233" t="str">
            <v>ANCHO</v>
          </cell>
          <cell r="G233" t="str">
            <v>ALTURA</v>
          </cell>
          <cell r="H233" t="str">
            <v>PARCIAL</v>
          </cell>
          <cell r="I233" t="str">
            <v>TOTAL</v>
          </cell>
          <cell r="J233" t="str">
            <v>UNIDAD</v>
          </cell>
        </row>
        <row r="234">
          <cell r="A234">
            <v>0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1.4608405839192538</v>
          </cell>
          <cell r="J234" t="str">
            <v>m3</v>
          </cell>
        </row>
        <row r="235">
          <cell r="A235">
            <v>0</v>
          </cell>
          <cell r="B235" t="str">
            <v>zapata corrida</v>
          </cell>
          <cell r="C235">
            <v>0</v>
          </cell>
          <cell r="D235">
            <v>1</v>
          </cell>
          <cell r="E235">
            <v>9.7389372261283587</v>
          </cell>
          <cell r="F235">
            <v>0.5</v>
          </cell>
          <cell r="G235">
            <v>0.3</v>
          </cell>
          <cell r="H235">
            <v>1.4608405839192538</v>
          </cell>
          <cell r="I235">
            <v>0</v>
          </cell>
          <cell r="J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1.0701020301019999</v>
          </cell>
          <cell r="B238" t="str">
            <v>ENCOFRADO Y DESENCOFRADO NORMAL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3.3929200658769765</v>
          </cell>
          <cell r="J238" t="str">
            <v>m2</v>
          </cell>
        </row>
        <row r="239">
          <cell r="A239">
            <v>0</v>
          </cell>
        </row>
        <row r="240">
          <cell r="A240">
            <v>0</v>
          </cell>
          <cell r="B240" t="str">
            <v>DESCRIPCION</v>
          </cell>
          <cell r="C240">
            <v>0</v>
          </cell>
          <cell r="D240" t="str">
            <v>N° VECES</v>
          </cell>
          <cell r="E240" t="str">
            <v>LARGO</v>
          </cell>
          <cell r="F240" t="str">
            <v>ANCHO</v>
          </cell>
          <cell r="G240" t="str">
            <v>ALTURA</v>
          </cell>
          <cell r="H240" t="str">
            <v>PARCIAL</v>
          </cell>
          <cell r="I240" t="str">
            <v>TOTAL</v>
          </cell>
          <cell r="J240" t="str">
            <v>UNIDAD</v>
          </cell>
        </row>
        <row r="241">
          <cell r="A241">
            <v>0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3.3929200658769765</v>
          </cell>
          <cell r="J241" t="str">
            <v>m3</v>
          </cell>
        </row>
        <row r="242">
          <cell r="A242">
            <v>0</v>
          </cell>
          <cell r="B242" t="str">
            <v>Frisos</v>
          </cell>
          <cell r="C242">
            <v>0</v>
          </cell>
          <cell r="D242">
            <v>1</v>
          </cell>
          <cell r="E242">
            <v>11.309733552923255</v>
          </cell>
          <cell r="F242">
            <v>0</v>
          </cell>
          <cell r="G242">
            <v>0.3</v>
          </cell>
          <cell r="H242">
            <v>3.3929200658769765</v>
          </cell>
          <cell r="I242">
            <v>0</v>
          </cell>
          <cell r="J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1.070102030103</v>
          </cell>
          <cell r="B245" t="str">
            <v>ACERO CORRUGADO fy=4200 kg/cm2 GRADO 60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80.239101366060581</v>
          </cell>
          <cell r="J245" t="str">
            <v>kg</v>
          </cell>
        </row>
        <row r="246">
          <cell r="A246">
            <v>0</v>
          </cell>
        </row>
        <row r="247">
          <cell r="A247">
            <v>1.0701020301999997</v>
          </cell>
          <cell r="B247" t="str">
            <v>LOSA DE CIMENTACIÓN</v>
          </cell>
          <cell r="I247">
            <v>0</v>
          </cell>
        </row>
        <row r="248">
          <cell r="A248">
            <v>1.0701020302009998</v>
          </cell>
          <cell r="B248" t="str">
            <v>CONCRETO f'c=210 kg/cm2 S/MEZCLADORA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1.1645491267775665</v>
          </cell>
          <cell r="J248" t="str">
            <v>m3</v>
          </cell>
        </row>
        <row r="249">
          <cell r="A249">
            <v>0</v>
          </cell>
        </row>
        <row r="250">
          <cell r="A250">
            <v>0</v>
          </cell>
          <cell r="B250" t="str">
            <v>DESCRIPCION</v>
          </cell>
          <cell r="C250">
            <v>0</v>
          </cell>
          <cell r="D250" t="str">
            <v>N° VECES</v>
          </cell>
          <cell r="E250" t="str">
            <v>LARGO</v>
          </cell>
          <cell r="F250" t="str">
            <v>AREA</v>
          </cell>
          <cell r="G250" t="str">
            <v>ALTURA</v>
          </cell>
          <cell r="H250" t="str">
            <v>PARCIAL</v>
          </cell>
          <cell r="I250" t="str">
            <v>TOTAL</v>
          </cell>
          <cell r="J250" t="str">
            <v>UNIDAD</v>
          </cell>
        </row>
        <row r="251">
          <cell r="A251">
            <v>0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1.1645491267775665</v>
          </cell>
          <cell r="J251" t="str">
            <v>m3</v>
          </cell>
        </row>
        <row r="252">
          <cell r="A252">
            <v>0</v>
          </cell>
          <cell r="B252" t="str">
            <v>Losa</v>
          </cell>
          <cell r="C252">
            <v>0</v>
          </cell>
          <cell r="D252">
            <v>1</v>
          </cell>
          <cell r="E252">
            <v>3</v>
          </cell>
          <cell r="F252">
            <v>0</v>
          </cell>
          <cell r="G252">
            <v>0.15</v>
          </cell>
          <cell r="H252">
            <v>1.0602875205865552</v>
          </cell>
          <cell r="I252">
            <v>0</v>
          </cell>
          <cell r="J252">
            <v>0</v>
          </cell>
        </row>
        <row r="253">
          <cell r="A253">
            <v>0</v>
          </cell>
          <cell r="B253" t="str">
            <v>Cuña</v>
          </cell>
          <cell r="C253">
            <v>0</v>
          </cell>
          <cell r="D253">
            <v>1</v>
          </cell>
          <cell r="E253">
            <v>0.15</v>
          </cell>
          <cell r="F253">
            <v>0</v>
          </cell>
          <cell r="G253">
            <v>0.15</v>
          </cell>
          <cell r="H253">
            <v>0.10426160619101127</v>
          </cell>
          <cell r="I253">
            <v>0</v>
          </cell>
          <cell r="J253">
            <v>0</v>
          </cell>
        </row>
        <row r="254">
          <cell r="A254">
            <v>0</v>
          </cell>
        </row>
        <row r="255">
          <cell r="A255">
            <v>0</v>
          </cell>
          <cell r="B255">
            <v>0</v>
          </cell>
        </row>
        <row r="256">
          <cell r="A256">
            <v>1.0701020302019999</v>
          </cell>
          <cell r="B256" t="str">
            <v>ACERO CORRUGADO fy=4200 kg/cm2 GRADO 60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159.94392330000002</v>
          </cell>
          <cell r="J256" t="str">
            <v>kg</v>
          </cell>
        </row>
        <row r="257">
          <cell r="A257">
            <v>0</v>
          </cell>
        </row>
        <row r="258">
          <cell r="A258">
            <v>1.0701020302999997</v>
          </cell>
          <cell r="B258" t="str">
            <v>MURO DE CUBA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>
            <v>1.0701020303009998</v>
          </cell>
          <cell r="B259" t="str">
            <v>CONCRETO f'c=210 kg/cm2 S/MEZCLADORA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3.1172453105244706</v>
          </cell>
          <cell r="J259" t="str">
            <v>m3</v>
          </cell>
        </row>
        <row r="260">
          <cell r="A260">
            <v>0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>
            <v>0</v>
          </cell>
          <cell r="B261" t="str">
            <v>DESCRIPCION</v>
          </cell>
          <cell r="C261">
            <v>0</v>
          </cell>
          <cell r="D261" t="str">
            <v>N° VECES</v>
          </cell>
          <cell r="E261" t="str">
            <v>LONG. DIA. EXTE</v>
          </cell>
          <cell r="F261" t="str">
            <v>LONG. DIA. INT</v>
          </cell>
          <cell r="G261" t="str">
            <v>ALTURA</v>
          </cell>
          <cell r="H261" t="str">
            <v>PARCIAL</v>
          </cell>
          <cell r="I261" t="str">
            <v>TOTAL</v>
          </cell>
          <cell r="J261" t="str">
            <v>UNIDAD</v>
          </cell>
        </row>
        <row r="262">
          <cell r="A262">
            <v>0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3.1172453105244706</v>
          </cell>
          <cell r="J262" t="str">
            <v>m3</v>
          </cell>
        </row>
        <row r="263">
          <cell r="A263">
            <v>0</v>
          </cell>
          <cell r="B263" t="str">
            <v>Cuba</v>
          </cell>
          <cell r="C263">
            <v>0</v>
          </cell>
          <cell r="D263">
            <v>1</v>
          </cell>
          <cell r="E263">
            <v>3.3</v>
          </cell>
          <cell r="F263">
            <v>3</v>
          </cell>
          <cell r="G263">
            <v>2.1</v>
          </cell>
          <cell r="H263">
            <v>3.1172453105244706</v>
          </cell>
          <cell r="I263">
            <v>0</v>
          </cell>
          <cell r="J263">
            <v>0</v>
          </cell>
        </row>
        <row r="264">
          <cell r="A264">
            <v>0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>
            <v>1.0701020303019999</v>
          </cell>
          <cell r="B265" t="str">
            <v>ENCOFRADO Y DESENCOFRADO NORMAL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41.563270806992961</v>
          </cell>
          <cell r="J265" t="str">
            <v>m2</v>
          </cell>
        </row>
        <row r="266">
          <cell r="A266">
            <v>0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>
            <v>0</v>
          </cell>
          <cell r="B267" t="str">
            <v>DESCRIPCION</v>
          </cell>
          <cell r="C267">
            <v>0</v>
          </cell>
          <cell r="D267" t="str">
            <v>N° VECES</v>
          </cell>
          <cell r="E267" t="str">
            <v>LONG. DIA. EXTE</v>
          </cell>
          <cell r="F267" t="str">
            <v>LONG. DIA. INT</v>
          </cell>
          <cell r="G267" t="str">
            <v>ALTURA</v>
          </cell>
          <cell r="H267" t="str">
            <v>PARCIAL</v>
          </cell>
          <cell r="I267" t="str">
            <v>TOTAL</v>
          </cell>
          <cell r="J267" t="str">
            <v>UNIDAD</v>
          </cell>
        </row>
        <row r="268">
          <cell r="A268">
            <v>0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41.563270806992961</v>
          </cell>
          <cell r="J268" t="str">
            <v>m2</v>
          </cell>
        </row>
        <row r="269">
          <cell r="A269">
            <v>0</v>
          </cell>
          <cell r="B269" t="str">
            <v>Cuba exterior</v>
          </cell>
          <cell r="C269">
            <v>0</v>
          </cell>
          <cell r="D269">
            <v>1</v>
          </cell>
          <cell r="E269">
            <v>3.3</v>
          </cell>
          <cell r="F269">
            <v>0</v>
          </cell>
          <cell r="G269">
            <v>2.1</v>
          </cell>
          <cell r="H269">
            <v>21.771237089377266</v>
          </cell>
          <cell r="I269">
            <v>0</v>
          </cell>
          <cell r="J269">
            <v>0</v>
          </cell>
        </row>
        <row r="270">
          <cell r="A270">
            <v>0</v>
          </cell>
          <cell r="B270" t="str">
            <v>Cuba interior</v>
          </cell>
          <cell r="C270">
            <v>0</v>
          </cell>
          <cell r="D270">
            <v>1</v>
          </cell>
          <cell r="E270">
            <v>0</v>
          </cell>
          <cell r="F270">
            <v>3</v>
          </cell>
          <cell r="G270">
            <v>2.1</v>
          </cell>
          <cell r="H270">
            <v>19.792033717615698</v>
          </cell>
          <cell r="I270">
            <v>0</v>
          </cell>
          <cell r="J270">
            <v>0</v>
          </cell>
        </row>
        <row r="271">
          <cell r="A271">
            <v>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>
            <v>0</v>
          </cell>
        </row>
        <row r="273">
          <cell r="A273">
            <v>1.070102030303</v>
          </cell>
          <cell r="B273" t="str">
            <v>ACERO CORRUGADO fy=4200 kg/cm2 GRADO 60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409.5344719787347</v>
          </cell>
          <cell r="J273" t="str">
            <v>kg</v>
          </cell>
        </row>
        <row r="274">
          <cell r="A274">
            <v>0</v>
          </cell>
        </row>
        <row r="275">
          <cell r="A275">
            <v>1.0701020303999997</v>
          </cell>
          <cell r="B275" t="str">
            <v>LOSA DE TECHO</v>
          </cell>
          <cell r="I275">
            <v>0</v>
          </cell>
        </row>
        <row r="276">
          <cell r="A276">
            <v>1.0701020304009998</v>
          </cell>
          <cell r="B276" t="str">
            <v>CONCRETO f´c=210 Kg/cm2 S/MEZCLADORA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1.4431691252428112</v>
          </cell>
          <cell r="J276" t="str">
            <v>m3</v>
          </cell>
        </row>
        <row r="277">
          <cell r="A277">
            <v>0</v>
          </cell>
        </row>
        <row r="278">
          <cell r="A278">
            <v>0</v>
          </cell>
          <cell r="B278" t="str">
            <v>DESCRIPCION</v>
          </cell>
          <cell r="C278">
            <v>0</v>
          </cell>
          <cell r="D278" t="str">
            <v>N° VECES</v>
          </cell>
          <cell r="E278" t="str">
            <v>LONG. DIAM.</v>
          </cell>
          <cell r="F278" t="str">
            <v>ANCHO</v>
          </cell>
          <cell r="G278" t="str">
            <v>ALTURA</v>
          </cell>
          <cell r="H278" t="str">
            <v>PARCIAL</v>
          </cell>
          <cell r="I278" t="str">
            <v>TOTAL</v>
          </cell>
          <cell r="J278" t="str">
            <v>UNIDAD</v>
          </cell>
        </row>
        <row r="279">
          <cell r="A279">
            <v>0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1.4431691252428112</v>
          </cell>
          <cell r="J279" t="str">
            <v>m3</v>
          </cell>
        </row>
        <row r="280">
          <cell r="A280">
            <v>0</v>
          </cell>
          <cell r="B280" t="str">
            <v>Losa de techo</v>
          </cell>
          <cell r="C280">
            <v>0</v>
          </cell>
          <cell r="D280">
            <v>1</v>
          </cell>
          <cell r="E280">
            <v>3.5</v>
          </cell>
          <cell r="F280">
            <v>0</v>
          </cell>
          <cell r="G280">
            <v>0.15</v>
          </cell>
          <cell r="H280">
            <v>1.4431691252428112</v>
          </cell>
          <cell r="I280">
            <v>0</v>
          </cell>
          <cell r="J280">
            <v>0</v>
          </cell>
        </row>
        <row r="281">
          <cell r="A281">
            <v>0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</row>
        <row r="282">
          <cell r="A282">
            <v>0</v>
          </cell>
        </row>
        <row r="283">
          <cell r="A283">
            <v>1.0701020304019999</v>
          </cell>
          <cell r="B283" t="str">
            <v>ENCOFRADO Y DESENCOFRADO NORMAL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9.7860611159322062</v>
          </cell>
          <cell r="J283" t="str">
            <v>m2</v>
          </cell>
        </row>
        <row r="284">
          <cell r="A284">
            <v>0</v>
          </cell>
        </row>
        <row r="285">
          <cell r="A285">
            <v>0</v>
          </cell>
          <cell r="B285" t="str">
            <v>DESCRIPCION</v>
          </cell>
          <cell r="C285">
            <v>0</v>
          </cell>
          <cell r="D285" t="str">
            <v>N° VECES</v>
          </cell>
          <cell r="E285" t="str">
            <v>LONG. DIAM.</v>
          </cell>
          <cell r="F285" t="str">
            <v>AREA</v>
          </cell>
          <cell r="G285" t="str">
            <v>ALTURA</v>
          </cell>
          <cell r="H285" t="str">
            <v>PARCIAL</v>
          </cell>
          <cell r="I285" t="str">
            <v>TOTAL</v>
          </cell>
          <cell r="J285" t="str">
            <v>UNIDAD</v>
          </cell>
        </row>
        <row r="286">
          <cell r="A286">
            <v>0</v>
          </cell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9.7860611159322062</v>
          </cell>
          <cell r="J286" t="str">
            <v>m2</v>
          </cell>
        </row>
        <row r="287">
          <cell r="A287">
            <v>0</v>
          </cell>
          <cell r="B287" t="str">
            <v>Área interior</v>
          </cell>
          <cell r="C287">
            <v>0</v>
          </cell>
          <cell r="D287">
            <v>1</v>
          </cell>
          <cell r="E287">
            <v>3</v>
          </cell>
          <cell r="F287">
            <v>0</v>
          </cell>
          <cell r="G287">
            <v>0</v>
          </cell>
          <cell r="H287">
            <v>7.0685834705770345</v>
          </cell>
          <cell r="I287">
            <v>0</v>
          </cell>
          <cell r="J287">
            <v>0</v>
          </cell>
        </row>
        <row r="288">
          <cell r="A288">
            <v>0</v>
          </cell>
          <cell r="B288" t="str">
            <v>Área volado</v>
          </cell>
          <cell r="C288">
            <v>0</v>
          </cell>
          <cell r="D288">
            <v>1</v>
          </cell>
          <cell r="F288">
            <v>1.0681415022205305</v>
          </cell>
          <cell r="G288">
            <v>0</v>
          </cell>
          <cell r="H288">
            <v>1.0681415022205305</v>
          </cell>
          <cell r="I288">
            <v>0</v>
          </cell>
          <cell r="J288">
            <v>0</v>
          </cell>
        </row>
        <row r="289">
          <cell r="A289">
            <v>0</v>
          </cell>
          <cell r="B289" t="str">
            <v>Área frisos</v>
          </cell>
          <cell r="C289">
            <v>0</v>
          </cell>
          <cell r="D289">
            <v>1</v>
          </cell>
          <cell r="E289">
            <v>3.5</v>
          </cell>
          <cell r="F289">
            <v>0</v>
          </cell>
          <cell r="G289">
            <v>0.15</v>
          </cell>
          <cell r="H289">
            <v>1.6493361431346414</v>
          </cell>
          <cell r="I289">
            <v>0</v>
          </cell>
          <cell r="J289">
            <v>0</v>
          </cell>
        </row>
        <row r="290">
          <cell r="A290">
            <v>0</v>
          </cell>
        </row>
        <row r="291">
          <cell r="A291">
            <v>0</v>
          </cell>
          <cell r="B291">
            <v>0</v>
          </cell>
          <cell r="C291">
            <v>0</v>
          </cell>
          <cell r="D291">
            <v>0</v>
          </cell>
        </row>
        <row r="292">
          <cell r="A292">
            <v>1.070102030403</v>
          </cell>
          <cell r="B292" t="str">
            <v>ACERO CORRUGADO fy=4200 kg/cm2 GRADO 60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127.74888000000001</v>
          </cell>
          <cell r="J292" t="str">
            <v>kg</v>
          </cell>
        </row>
        <row r="293">
          <cell r="A293">
            <v>0</v>
          </cell>
        </row>
        <row r="294">
          <cell r="A294">
            <v>1.0701020399999996</v>
          </cell>
          <cell r="B294" t="str">
            <v>ESTRUCTURA METÁLICA</v>
          </cell>
        </row>
        <row r="295">
          <cell r="A295">
            <v>0</v>
          </cell>
        </row>
        <row r="296">
          <cell r="A296">
            <v>1.0701020400999997</v>
          </cell>
          <cell r="B296" t="str">
            <v>ESCALERA METÁLICA INTERIOR TIPO GATO 5/8" ACERO INOXIDABLE</v>
          </cell>
          <cell r="I296">
            <v>1</v>
          </cell>
          <cell r="J296" t="str">
            <v>und</v>
          </cell>
        </row>
        <row r="297">
          <cell r="A297">
            <v>0</v>
          </cell>
          <cell r="B297">
            <v>0</v>
          </cell>
          <cell r="I297">
            <v>0</v>
          </cell>
        </row>
        <row r="298">
          <cell r="A298">
            <v>0</v>
          </cell>
          <cell r="B298" t="str">
            <v>DESCRIPCION</v>
          </cell>
          <cell r="C298">
            <v>0</v>
          </cell>
          <cell r="D298" t="str">
            <v>LON/DIA EXT</v>
          </cell>
          <cell r="E298" t="str">
            <v>N°</v>
          </cell>
          <cell r="F298" t="str">
            <v>TOTAL</v>
          </cell>
          <cell r="I298">
            <v>0</v>
          </cell>
        </row>
        <row r="299">
          <cell r="A299">
            <v>0</v>
          </cell>
          <cell r="B299" t="str">
            <v>TUBERIA INOXIDABLE 5/8"</v>
          </cell>
          <cell r="C299">
            <v>0</v>
          </cell>
          <cell r="D299">
            <v>0.80500000000000005</v>
          </cell>
          <cell r="E299">
            <v>7</v>
          </cell>
          <cell r="F299">
            <v>5.6350000000000007</v>
          </cell>
          <cell r="I299">
            <v>0</v>
          </cell>
        </row>
        <row r="300">
          <cell r="A300">
            <v>0</v>
          </cell>
          <cell r="B300" t="str">
            <v>FIERRO CORRUGADO 3/8"</v>
          </cell>
          <cell r="C300">
            <v>0</v>
          </cell>
          <cell r="D300">
            <v>7.5999999999999998E-2</v>
          </cell>
          <cell r="E300">
            <v>14</v>
          </cell>
          <cell r="F300">
            <v>1.0640000000000001</v>
          </cell>
          <cell r="I300">
            <v>0</v>
          </cell>
        </row>
        <row r="301">
          <cell r="A301">
            <v>0</v>
          </cell>
          <cell r="B301" t="str">
            <v>SOLDADURA INOX</v>
          </cell>
          <cell r="C301">
            <v>0</v>
          </cell>
          <cell r="D301">
            <v>7.9796453401180745E-2</v>
          </cell>
          <cell r="E301">
            <v>14</v>
          </cell>
          <cell r="F301">
            <v>1.1171503476165303</v>
          </cell>
          <cell r="G301" t="str">
            <v>#VARILLAS =</v>
          </cell>
          <cell r="H301">
            <v>11.171503476165302</v>
          </cell>
          <cell r="I301">
            <v>0</v>
          </cell>
        </row>
        <row r="302">
          <cell r="A302">
            <v>0</v>
          </cell>
          <cell r="B302">
            <v>0</v>
          </cell>
          <cell r="G302" t="str">
            <v>Kilogramos=</v>
          </cell>
          <cell r="H302">
            <v>0.69821896726033139</v>
          </cell>
          <cell r="I302">
            <v>0</v>
          </cell>
        </row>
        <row r="303">
          <cell r="A303">
            <v>1.0701020401999997</v>
          </cell>
          <cell r="B303" t="str">
            <v>ESCALERA METALICA EXTERIOR TIPO GATO FºGº 5/8"</v>
          </cell>
          <cell r="I303">
            <v>1</v>
          </cell>
          <cell r="J303" t="str">
            <v>und</v>
          </cell>
        </row>
        <row r="304">
          <cell r="A304">
            <v>0</v>
          </cell>
          <cell r="B304">
            <v>0</v>
          </cell>
          <cell r="I304">
            <v>0</v>
          </cell>
        </row>
        <row r="305">
          <cell r="A305">
            <v>0</v>
          </cell>
          <cell r="B305" t="str">
            <v>DESCRIPCION</v>
          </cell>
          <cell r="C305">
            <v>0</v>
          </cell>
          <cell r="D305" t="str">
            <v>LON/DIA EXT</v>
          </cell>
          <cell r="E305" t="str">
            <v>N°</v>
          </cell>
          <cell r="F305" t="str">
            <v>TOTAL</v>
          </cell>
          <cell r="I305">
            <v>0</v>
          </cell>
        </row>
        <row r="306">
          <cell r="A306">
            <v>0</v>
          </cell>
          <cell r="B306" t="str">
            <v>TUBERIA INOXIDABLE 5/8"</v>
          </cell>
          <cell r="C306">
            <v>0</v>
          </cell>
          <cell r="D306">
            <v>0.80500000000000005</v>
          </cell>
          <cell r="E306">
            <v>7</v>
          </cell>
          <cell r="F306">
            <v>5.6350000000000007</v>
          </cell>
          <cell r="I306">
            <v>0</v>
          </cell>
        </row>
        <row r="307">
          <cell r="A307">
            <v>0</v>
          </cell>
          <cell r="B307" t="str">
            <v>FIERRO CORRUGADO 3/8"</v>
          </cell>
          <cell r="C307">
            <v>0</v>
          </cell>
          <cell r="D307">
            <v>7.5999999999999998E-2</v>
          </cell>
          <cell r="E307">
            <v>14</v>
          </cell>
          <cell r="F307">
            <v>1.0640000000000001</v>
          </cell>
          <cell r="I307">
            <v>0</v>
          </cell>
        </row>
        <row r="308">
          <cell r="A308">
            <v>0</v>
          </cell>
          <cell r="B308" t="str">
            <v>SOLADADURA INOX</v>
          </cell>
          <cell r="C308">
            <v>0</v>
          </cell>
          <cell r="D308">
            <v>7.9796453401180745E-2</v>
          </cell>
          <cell r="E308">
            <v>14</v>
          </cell>
          <cell r="F308">
            <v>1.1171503476165303</v>
          </cell>
          <cell r="G308" t="str">
            <v>#VARILLAS =</v>
          </cell>
          <cell r="H308">
            <v>11.171503476165302</v>
          </cell>
          <cell r="I308">
            <v>0</v>
          </cell>
        </row>
        <row r="309">
          <cell r="A309">
            <v>0</v>
          </cell>
          <cell r="B309">
            <v>0</v>
          </cell>
          <cell r="G309" t="str">
            <v>Kilogramos=</v>
          </cell>
          <cell r="H309">
            <v>0.69821896726033139</v>
          </cell>
          <cell r="I309">
            <v>0</v>
          </cell>
        </row>
        <row r="310">
          <cell r="A310">
            <v>0</v>
          </cell>
          <cell r="B310">
            <v>0</v>
          </cell>
          <cell r="I310">
            <v>0</v>
          </cell>
        </row>
        <row r="311">
          <cell r="A311">
            <v>1.0701020402999997</v>
          </cell>
          <cell r="B311" t="str">
            <v>TAPA METALICA P/RESERVORIO DE 0.60x0.60m E=1/8"</v>
          </cell>
          <cell r="I311">
            <v>1</v>
          </cell>
          <cell r="J311" t="str">
            <v>und</v>
          </cell>
        </row>
        <row r="312">
          <cell r="A312">
            <v>0</v>
          </cell>
        </row>
        <row r="313">
          <cell r="A313">
            <v>1.0701029999999998</v>
          </cell>
          <cell r="B313" t="str">
            <v>ARQUITECTURA</v>
          </cell>
        </row>
        <row r="314">
          <cell r="A314">
            <v>1.0701030099999997</v>
          </cell>
          <cell r="B314" t="str">
            <v>REVOQUES Y ENLUCIDOS</v>
          </cell>
        </row>
        <row r="315">
          <cell r="A315">
            <v>0</v>
          </cell>
          <cell r="B315">
            <v>0</v>
          </cell>
          <cell r="I315">
            <v>0</v>
          </cell>
          <cell r="J315">
            <v>0</v>
          </cell>
        </row>
        <row r="316">
          <cell r="A316">
            <v>1.0701030100999998</v>
          </cell>
          <cell r="B316" t="str">
            <v xml:space="preserve">TARRAJEO INT. Y EXT. MEZC. 1:2 E=1.5 cm 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38.625881675886504</v>
          </cell>
          <cell r="J316" t="str">
            <v>m2</v>
          </cell>
        </row>
        <row r="317">
          <cell r="A317">
            <v>0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</row>
        <row r="318">
          <cell r="A318">
            <v>0</v>
          </cell>
          <cell r="B318" t="str">
            <v>DESCRIPCION</v>
          </cell>
          <cell r="C318">
            <v>0</v>
          </cell>
          <cell r="D318" t="str">
            <v>N° VECES</v>
          </cell>
          <cell r="E318" t="str">
            <v>LONG. DIAM.</v>
          </cell>
          <cell r="F318" t="str">
            <v>ANCHO</v>
          </cell>
          <cell r="G318" t="str">
            <v>ALTURA</v>
          </cell>
          <cell r="H318" t="str">
            <v>PARCIAL</v>
          </cell>
          <cell r="I318" t="str">
            <v>TOTAL</v>
          </cell>
          <cell r="J318" t="str">
            <v>UNIDAD</v>
          </cell>
        </row>
        <row r="319">
          <cell r="A319">
            <v>0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38.625881675886504</v>
          </cell>
          <cell r="J319" t="str">
            <v>m2</v>
          </cell>
        </row>
        <row r="320">
          <cell r="A320">
            <v>0</v>
          </cell>
          <cell r="B320" t="str">
            <v>Área paredes externas</v>
          </cell>
          <cell r="C320">
            <v>0</v>
          </cell>
          <cell r="D320">
            <v>1</v>
          </cell>
          <cell r="E320">
            <v>10.367255756846317</v>
          </cell>
          <cell r="F320">
            <v>0</v>
          </cell>
          <cell r="G320">
            <v>2.1</v>
          </cell>
          <cell r="H320">
            <v>21.771237089377266</v>
          </cell>
          <cell r="I320">
            <v>0</v>
          </cell>
          <cell r="J320">
            <v>0</v>
          </cell>
        </row>
        <row r="321">
          <cell r="A321">
            <v>0</v>
          </cell>
          <cell r="B321" t="str">
            <v xml:space="preserve">Área interna losa de techo </v>
          </cell>
          <cell r="C321">
            <v>0</v>
          </cell>
          <cell r="D321">
            <v>1</v>
          </cell>
          <cell r="E321">
            <v>3</v>
          </cell>
          <cell r="F321">
            <v>0</v>
          </cell>
          <cell r="G321">
            <v>0</v>
          </cell>
          <cell r="H321">
            <v>7.0685834705770345</v>
          </cell>
          <cell r="I321">
            <v>0</v>
          </cell>
          <cell r="J321">
            <v>0</v>
          </cell>
        </row>
        <row r="322">
          <cell r="A322">
            <v>0</v>
          </cell>
          <cell r="B322" t="str">
            <v xml:space="preserve">Área externa losa de techo </v>
          </cell>
          <cell r="C322">
            <v>0</v>
          </cell>
          <cell r="D322">
            <v>1</v>
          </cell>
          <cell r="E322">
            <v>9.7860611159322062</v>
          </cell>
          <cell r="F322">
            <v>0</v>
          </cell>
          <cell r="G322">
            <v>0</v>
          </cell>
          <cell r="H322">
            <v>9.7860611159322062</v>
          </cell>
          <cell r="I322">
            <v>0</v>
          </cell>
          <cell r="J322">
            <v>0</v>
          </cell>
        </row>
        <row r="323">
          <cell r="A323">
            <v>0</v>
          </cell>
          <cell r="B323" t="str">
            <v xml:space="preserve">Área descontada por tapa </v>
          </cell>
          <cell r="C323">
            <v>0</v>
          </cell>
          <cell r="D323">
            <v>-1</v>
          </cell>
          <cell r="E323">
            <v>0.6</v>
          </cell>
          <cell r="F323">
            <v>0.6</v>
          </cell>
          <cell r="G323">
            <v>0</v>
          </cell>
          <cell r="H323">
            <v>-0.36</v>
          </cell>
          <cell r="I323">
            <v>0</v>
          </cell>
          <cell r="J323">
            <v>0</v>
          </cell>
        </row>
        <row r="324">
          <cell r="A324">
            <v>0</v>
          </cell>
          <cell r="B324" t="str">
            <v xml:space="preserve">Área de frizos en tapa </v>
          </cell>
          <cell r="C324">
            <v>0</v>
          </cell>
          <cell r="D324">
            <v>1</v>
          </cell>
          <cell r="E324">
            <v>2.4</v>
          </cell>
          <cell r="F324">
            <v>0</v>
          </cell>
          <cell r="G324">
            <v>0.15</v>
          </cell>
          <cell r="H324">
            <v>0.36</v>
          </cell>
          <cell r="I324">
            <v>0</v>
          </cell>
          <cell r="J324">
            <v>0</v>
          </cell>
        </row>
        <row r="325">
          <cell r="A325">
            <v>0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</row>
        <row r="326">
          <cell r="A326">
            <v>0</v>
          </cell>
          <cell r="B326">
            <v>0</v>
          </cell>
          <cell r="I326">
            <v>0</v>
          </cell>
          <cell r="J326">
            <v>0</v>
          </cell>
        </row>
        <row r="327">
          <cell r="A327">
            <v>1.0701030101999998</v>
          </cell>
          <cell r="B327" t="str">
            <v xml:space="preserve">TARRAJEO INTERIOR CON IMPERMEABILIZANTE C:A 1:1, E=2.0cm 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26.860617188192734</v>
          </cell>
          <cell r="J327" t="str">
            <v>m2</v>
          </cell>
        </row>
        <row r="328">
          <cell r="A328">
            <v>0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</row>
        <row r="329">
          <cell r="A329">
            <v>0</v>
          </cell>
          <cell r="B329" t="str">
            <v>DESCRIPCION</v>
          </cell>
          <cell r="C329">
            <v>0</v>
          </cell>
          <cell r="D329" t="str">
            <v>N° VECES</v>
          </cell>
          <cell r="E329" t="str">
            <v>LONG. DIAM.</v>
          </cell>
          <cell r="F329" t="str">
            <v>ANCHO</v>
          </cell>
          <cell r="G329" t="str">
            <v>ALTURA</v>
          </cell>
          <cell r="H329" t="str">
            <v>PARCIAL</v>
          </cell>
          <cell r="I329" t="str">
            <v>TOTAL</v>
          </cell>
          <cell r="J329" t="str">
            <v>UNIDAD</v>
          </cell>
        </row>
        <row r="330">
          <cell r="A330">
            <v>0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26.860617188192734</v>
          </cell>
          <cell r="J330" t="str">
            <v>m2</v>
          </cell>
        </row>
        <row r="331">
          <cell r="A331">
            <v>0</v>
          </cell>
          <cell r="B331" t="str">
            <v>Área paredes internas</v>
          </cell>
          <cell r="C331">
            <v>0</v>
          </cell>
          <cell r="D331">
            <v>1</v>
          </cell>
          <cell r="E331">
            <v>9.4247779607693793</v>
          </cell>
          <cell r="F331">
            <v>0</v>
          </cell>
          <cell r="G331">
            <v>2.1</v>
          </cell>
          <cell r="H331">
            <v>19.792033717615698</v>
          </cell>
          <cell r="I331">
            <v>0</v>
          </cell>
          <cell r="J331">
            <v>0</v>
          </cell>
        </row>
        <row r="332">
          <cell r="A332">
            <v>0</v>
          </cell>
          <cell r="B332" t="str">
            <v>Área de losa de fondo</v>
          </cell>
          <cell r="C332">
            <v>0</v>
          </cell>
          <cell r="D332">
            <v>1</v>
          </cell>
          <cell r="E332">
            <v>3</v>
          </cell>
          <cell r="F332">
            <v>0</v>
          </cell>
          <cell r="G332">
            <v>0</v>
          </cell>
          <cell r="H332">
            <v>7.0685834705770345</v>
          </cell>
          <cell r="I332">
            <v>0</v>
          </cell>
          <cell r="J332">
            <v>0</v>
          </cell>
        </row>
        <row r="333">
          <cell r="A333">
            <v>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</row>
        <row r="334">
          <cell r="A334">
            <v>0</v>
          </cell>
          <cell r="B334">
            <v>0</v>
          </cell>
          <cell r="I334">
            <v>0</v>
          </cell>
          <cell r="J334">
            <v>0</v>
          </cell>
        </row>
        <row r="335">
          <cell r="A335">
            <v>1.0701030102999998</v>
          </cell>
          <cell r="B335" t="str">
            <v xml:space="preserve">TARRAJEO EN PENDIENTE DE FONDO MORTERO 1:5 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7.0685834705770345</v>
          </cell>
          <cell r="J335" t="str">
            <v>m2</v>
          </cell>
        </row>
        <row r="336">
          <cell r="A336">
            <v>0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</row>
        <row r="337">
          <cell r="A337">
            <v>0</v>
          </cell>
          <cell r="B337" t="str">
            <v>DESCRIPCION</v>
          </cell>
          <cell r="C337">
            <v>0</v>
          </cell>
          <cell r="D337" t="str">
            <v>N° VECES</v>
          </cell>
          <cell r="E337" t="str">
            <v>LONG. DIAM.</v>
          </cell>
          <cell r="F337" t="str">
            <v>ANCHO</v>
          </cell>
          <cell r="G337" t="str">
            <v>ALTURA</v>
          </cell>
          <cell r="H337" t="str">
            <v>PARCIAL</v>
          </cell>
          <cell r="I337" t="str">
            <v>TOTAL</v>
          </cell>
          <cell r="J337" t="str">
            <v>UNIDAD</v>
          </cell>
        </row>
        <row r="338">
          <cell r="A338">
            <v>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7.0685834705770345</v>
          </cell>
          <cell r="J338" t="str">
            <v>m2</v>
          </cell>
        </row>
        <row r="339">
          <cell r="A339">
            <v>0</v>
          </cell>
          <cell r="B339" t="str">
            <v>Área de losa de fondo con pendiente</v>
          </cell>
          <cell r="C339">
            <v>0</v>
          </cell>
          <cell r="D339">
            <v>1</v>
          </cell>
          <cell r="E339">
            <v>3</v>
          </cell>
          <cell r="F339">
            <v>0</v>
          </cell>
          <cell r="G339">
            <v>0</v>
          </cell>
          <cell r="H339">
            <v>7.0685834705770345</v>
          </cell>
          <cell r="I339">
            <v>0</v>
          </cell>
          <cell r="J339">
            <v>0</v>
          </cell>
        </row>
        <row r="340">
          <cell r="A340">
            <v>0</v>
          </cell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</row>
        <row r="341">
          <cell r="A341">
            <v>0</v>
          </cell>
        </row>
        <row r="342">
          <cell r="A342">
            <v>1.0701030103999998</v>
          </cell>
          <cell r="B342" t="str">
            <v xml:space="preserve">OCHAVO SANITARIO MORTERO 1:5 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9.4247779607693793</v>
          </cell>
          <cell r="J342" t="str">
            <v>m</v>
          </cell>
        </row>
        <row r="343">
          <cell r="A343">
            <v>0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</row>
        <row r="344">
          <cell r="A344">
            <v>0</v>
          </cell>
          <cell r="B344" t="str">
            <v>DESCRIPCION</v>
          </cell>
          <cell r="C344">
            <v>0</v>
          </cell>
          <cell r="D344" t="str">
            <v>N° VECES</v>
          </cell>
          <cell r="E344" t="str">
            <v>LONG. DIAM.</v>
          </cell>
          <cell r="F344" t="str">
            <v>ANCHO</v>
          </cell>
          <cell r="G344" t="str">
            <v>ALTURA</v>
          </cell>
          <cell r="H344" t="str">
            <v>PARCIAL</v>
          </cell>
          <cell r="I344" t="str">
            <v>TOTAL</v>
          </cell>
          <cell r="J344" t="str">
            <v>UNIDAD</v>
          </cell>
        </row>
        <row r="345">
          <cell r="A345">
            <v>0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9.4247779607693793</v>
          </cell>
          <cell r="J345" t="str">
            <v>m</v>
          </cell>
        </row>
        <row r="346">
          <cell r="A346">
            <v>0</v>
          </cell>
          <cell r="B346" t="str">
            <v>Ochavo sanitario</v>
          </cell>
          <cell r="C346">
            <v>0</v>
          </cell>
          <cell r="D346">
            <v>1</v>
          </cell>
          <cell r="E346">
            <v>3</v>
          </cell>
          <cell r="F346">
            <v>0</v>
          </cell>
          <cell r="G346">
            <v>0</v>
          </cell>
          <cell r="H346">
            <v>9.4247779607693793</v>
          </cell>
          <cell r="I346">
            <v>0</v>
          </cell>
          <cell r="J346">
            <v>0</v>
          </cell>
        </row>
        <row r="347">
          <cell r="A347">
            <v>0</v>
          </cell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</row>
        <row r="348">
          <cell r="A348">
            <v>0</v>
          </cell>
        </row>
        <row r="349">
          <cell r="A349">
            <v>1.0701030199999997</v>
          </cell>
          <cell r="B349" t="str">
            <v>PINTURA</v>
          </cell>
        </row>
        <row r="350">
          <cell r="A350">
            <v>1.0701030200999997</v>
          </cell>
          <cell r="B350" t="str">
            <v>PINTURA LATEX EN EXTERIORES (DOS MANOS)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23.768714734732438</v>
          </cell>
          <cell r="J350" t="str">
            <v>m2</v>
          </cell>
        </row>
        <row r="351">
          <cell r="A351">
            <v>0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</row>
        <row r="352">
          <cell r="A352">
            <v>0</v>
          </cell>
          <cell r="B352" t="str">
            <v>DESCRIPCION</v>
          </cell>
          <cell r="C352">
            <v>0</v>
          </cell>
          <cell r="D352" t="str">
            <v>N° VECES</v>
          </cell>
          <cell r="E352" t="str">
            <v>LONG. DIAM.</v>
          </cell>
          <cell r="F352" t="str">
            <v>ANCHO</v>
          </cell>
          <cell r="G352" t="str">
            <v>ALTURA</v>
          </cell>
          <cell r="H352" t="str">
            <v>PARCIAL</v>
          </cell>
          <cell r="I352" t="str">
            <v>TOTAL</v>
          </cell>
          <cell r="J352" t="str">
            <v>UNIDAD</v>
          </cell>
        </row>
        <row r="353">
          <cell r="A353">
            <v>0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23.768714734732438</v>
          </cell>
          <cell r="J353" t="str">
            <v>m2</v>
          </cell>
        </row>
        <row r="354">
          <cell r="A354">
            <v>0</v>
          </cell>
          <cell r="B354" t="str">
            <v>Área paredes externas</v>
          </cell>
          <cell r="C354">
            <v>0</v>
          </cell>
          <cell r="D354">
            <v>1</v>
          </cell>
          <cell r="E354">
            <v>10.367255756846317</v>
          </cell>
          <cell r="F354">
            <v>0</v>
          </cell>
          <cell r="G354">
            <v>2.1</v>
          </cell>
          <cell r="H354">
            <v>21.771237089377266</v>
          </cell>
          <cell r="I354">
            <v>0</v>
          </cell>
          <cell r="J354">
            <v>0</v>
          </cell>
        </row>
        <row r="355">
          <cell r="A355">
            <v>0</v>
          </cell>
          <cell r="B355" t="str">
            <v xml:space="preserve">Área interna losa de techo </v>
          </cell>
          <cell r="C355">
            <v>0</v>
          </cell>
          <cell r="D355">
            <v>-1</v>
          </cell>
          <cell r="E355">
            <v>3</v>
          </cell>
          <cell r="F355">
            <v>0</v>
          </cell>
          <cell r="G355">
            <v>0</v>
          </cell>
          <cell r="H355">
            <v>-7.0685834705770345</v>
          </cell>
          <cell r="I355">
            <v>0</v>
          </cell>
          <cell r="J355">
            <v>0</v>
          </cell>
        </row>
        <row r="356">
          <cell r="A356">
            <v>0</v>
          </cell>
          <cell r="B356" t="str">
            <v xml:space="preserve">Área externa losa de techo </v>
          </cell>
          <cell r="C356">
            <v>0</v>
          </cell>
          <cell r="D356">
            <v>1</v>
          </cell>
          <cell r="E356">
            <v>9.7860611159322062</v>
          </cell>
          <cell r="F356">
            <v>0</v>
          </cell>
          <cell r="G356">
            <v>0</v>
          </cell>
          <cell r="H356">
            <v>9.7860611159322062</v>
          </cell>
          <cell r="I356">
            <v>0</v>
          </cell>
          <cell r="J356">
            <v>0</v>
          </cell>
        </row>
        <row r="357">
          <cell r="A357">
            <v>0</v>
          </cell>
          <cell r="B357" t="str">
            <v xml:space="preserve">Área descontada por tapa </v>
          </cell>
          <cell r="C357">
            <v>0</v>
          </cell>
          <cell r="D357">
            <v>-1</v>
          </cell>
          <cell r="E357">
            <v>0.6</v>
          </cell>
          <cell r="F357">
            <v>0.6</v>
          </cell>
          <cell r="G357">
            <v>0</v>
          </cell>
          <cell r="H357">
            <v>-0.36</v>
          </cell>
          <cell r="I357">
            <v>0</v>
          </cell>
          <cell r="J357">
            <v>0</v>
          </cell>
        </row>
        <row r="358">
          <cell r="A358">
            <v>0</v>
          </cell>
          <cell r="B358" t="str">
            <v xml:space="preserve">Área de frizos en tapa </v>
          </cell>
          <cell r="C358">
            <v>0</v>
          </cell>
          <cell r="D358">
            <v>-1</v>
          </cell>
          <cell r="E358">
            <v>2.4</v>
          </cell>
          <cell r="F358">
            <v>0</v>
          </cell>
          <cell r="G358">
            <v>0.15</v>
          </cell>
          <cell r="H358">
            <v>-0.36</v>
          </cell>
          <cell r="I358">
            <v>0</v>
          </cell>
          <cell r="J358">
            <v>0</v>
          </cell>
        </row>
        <row r="359">
          <cell r="A359">
            <v>0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</row>
        <row r="360">
          <cell r="A360">
            <v>0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</row>
        <row r="361">
          <cell r="A361">
            <v>1.0701039999999997</v>
          </cell>
          <cell r="B361" t="str">
            <v>VARIOS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</row>
        <row r="362">
          <cell r="A362">
            <v>1.0701040099999997</v>
          </cell>
          <cell r="B362" t="str">
            <v>SUMINISTRO E INST. DE SISTEMA DE CLORACIÓN POR GOTEO</v>
          </cell>
          <cell r="I362">
            <v>1</v>
          </cell>
          <cell r="J362" t="str">
            <v>und</v>
          </cell>
        </row>
        <row r="363">
          <cell r="A363">
            <v>0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</row>
        <row r="364">
          <cell r="A364">
            <v>0</v>
          </cell>
          <cell r="B364">
            <v>0</v>
          </cell>
          <cell r="C364" t="str">
            <v>DIMENSIONES DE CASETA DE CLORACION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>
            <v>0</v>
          </cell>
          <cell r="B365">
            <v>0</v>
          </cell>
          <cell r="C365" t="str">
            <v>a) Largo</v>
          </cell>
          <cell r="D365">
            <v>0</v>
          </cell>
          <cell r="E365">
            <v>0.8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>
            <v>0</v>
          </cell>
          <cell r="B366">
            <v>0</v>
          </cell>
          <cell r="C366" t="str">
            <v>b) Ancho</v>
          </cell>
          <cell r="D366">
            <v>0</v>
          </cell>
          <cell r="E366">
            <v>1.1000000000000001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>
            <v>0</v>
          </cell>
          <cell r="B367">
            <v>0</v>
          </cell>
          <cell r="C367" t="str">
            <v>c) Altura</v>
          </cell>
          <cell r="D367">
            <v>0</v>
          </cell>
          <cell r="E367">
            <v>1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>
            <v>0</v>
          </cell>
          <cell r="B368">
            <v>0</v>
          </cell>
          <cell r="C368" t="str">
            <v>d) Losa</v>
          </cell>
          <cell r="D368">
            <v>0</v>
          </cell>
          <cell r="E368">
            <v>0.05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>
            <v>0</v>
          </cell>
          <cell r="B369">
            <v>0</v>
          </cell>
          <cell r="C369" t="str">
            <v>e) Ancho de muro</v>
          </cell>
          <cell r="D369">
            <v>0</v>
          </cell>
          <cell r="E369">
            <v>0.1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>
            <v>0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>
            <v>0</v>
          </cell>
          <cell r="B371" t="str">
            <v>CONCRETO ARMADO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>
            <v>0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</row>
        <row r="373">
          <cell r="A373">
            <v>0</v>
          </cell>
          <cell r="B373" t="str">
            <v>CONCRETO F'C 175 (CASETA DE CLORACIÓN)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I373">
            <v>0.35800000000000004</v>
          </cell>
          <cell r="J373" t="str">
            <v>m3</v>
          </cell>
        </row>
        <row r="374">
          <cell r="A374">
            <v>0</v>
          </cell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>
            <v>0</v>
          </cell>
          <cell r="B375" t="str">
            <v>DESCRIPCION</v>
          </cell>
          <cell r="C375">
            <v>0</v>
          </cell>
          <cell r="D375" t="str">
            <v>N° VECES</v>
          </cell>
          <cell r="E375" t="str">
            <v>LARGO</v>
          </cell>
          <cell r="F375" t="str">
            <v>ANCHO</v>
          </cell>
          <cell r="G375" t="str">
            <v>ALTURA</v>
          </cell>
          <cell r="H375" t="str">
            <v>PARCIAL</v>
          </cell>
          <cell r="I375" t="str">
            <v>TOTAL</v>
          </cell>
          <cell r="J375" t="str">
            <v>UNIDAD</v>
          </cell>
        </row>
        <row r="376">
          <cell r="A376">
            <v>0</v>
          </cell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0.35800000000000004</v>
          </cell>
          <cell r="J376" t="str">
            <v>m3</v>
          </cell>
        </row>
        <row r="377">
          <cell r="A377">
            <v>0</v>
          </cell>
          <cell r="B377" t="str">
            <v>Losa superior</v>
          </cell>
          <cell r="C377">
            <v>0</v>
          </cell>
          <cell r="D377">
            <v>1</v>
          </cell>
          <cell r="E377">
            <v>0.8</v>
          </cell>
          <cell r="F377">
            <v>1.1000000000000001</v>
          </cell>
          <cell r="G377">
            <v>0.1</v>
          </cell>
          <cell r="H377">
            <v>8.8000000000000023E-2</v>
          </cell>
          <cell r="I377">
            <v>0</v>
          </cell>
          <cell r="J377">
            <v>0</v>
          </cell>
        </row>
        <row r="378">
          <cell r="A378">
            <v>0</v>
          </cell>
          <cell r="B378" t="str">
            <v>Muros</v>
          </cell>
          <cell r="C378">
            <v>0</v>
          </cell>
          <cell r="D378">
            <v>1</v>
          </cell>
          <cell r="E378">
            <v>2.7</v>
          </cell>
          <cell r="F378">
            <v>0.1</v>
          </cell>
          <cell r="G378">
            <v>1</v>
          </cell>
          <cell r="H378">
            <v>0.27</v>
          </cell>
          <cell r="I378">
            <v>0</v>
          </cell>
          <cell r="J378">
            <v>0</v>
          </cell>
        </row>
        <row r="379">
          <cell r="A379">
            <v>0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</row>
        <row r="380">
          <cell r="A380">
            <v>0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>
            <v>0</v>
          </cell>
          <cell r="B381" t="str">
            <v>ENCOFRADO Y DESENCOFRADO (CASETA DE CLORACIÓN)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I381">
            <v>5.7300000000000013</v>
          </cell>
          <cell r="J381" t="str">
            <v>m2</v>
          </cell>
        </row>
        <row r="382">
          <cell r="A382">
            <v>0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>
            <v>0</v>
          </cell>
          <cell r="B383" t="str">
            <v>DESCRIPCION</v>
          </cell>
          <cell r="C383">
            <v>0</v>
          </cell>
          <cell r="D383" t="str">
            <v>N° VECES</v>
          </cell>
          <cell r="E383" t="str">
            <v>LARGO</v>
          </cell>
          <cell r="F383" t="str">
            <v>ANCHO</v>
          </cell>
          <cell r="G383" t="str">
            <v>ALTURA</v>
          </cell>
          <cell r="H383" t="str">
            <v>PARCIAL</v>
          </cell>
          <cell r="I383" t="str">
            <v>TOTAL</v>
          </cell>
          <cell r="J383" t="str">
            <v>UNIDAD</v>
          </cell>
        </row>
        <row r="384">
          <cell r="A384">
            <v>0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5.7300000000000013</v>
          </cell>
          <cell r="J384" t="str">
            <v>m2</v>
          </cell>
        </row>
        <row r="385">
          <cell r="A385">
            <v>0</v>
          </cell>
          <cell r="B385" t="str">
            <v>Losa superior</v>
          </cell>
          <cell r="C385">
            <v>0</v>
          </cell>
          <cell r="D385">
            <v>1</v>
          </cell>
          <cell r="E385">
            <v>0.60000000000000009</v>
          </cell>
          <cell r="F385">
            <v>0.90000000000000013</v>
          </cell>
          <cell r="G385">
            <v>0</v>
          </cell>
          <cell r="H385">
            <v>0.54000000000000015</v>
          </cell>
          <cell r="I385">
            <v>0</v>
          </cell>
          <cell r="J385">
            <v>0</v>
          </cell>
        </row>
        <row r="386">
          <cell r="A386">
            <v>0</v>
          </cell>
          <cell r="B386" t="str">
            <v>Muro ext. 01</v>
          </cell>
          <cell r="C386">
            <v>0</v>
          </cell>
          <cell r="D386">
            <v>2</v>
          </cell>
          <cell r="E386">
            <v>0.8</v>
          </cell>
          <cell r="G386">
            <v>1</v>
          </cell>
          <cell r="H386">
            <v>1.6</v>
          </cell>
          <cell r="I386">
            <v>0</v>
          </cell>
          <cell r="J386">
            <v>0</v>
          </cell>
        </row>
        <row r="387">
          <cell r="A387">
            <v>0</v>
          </cell>
          <cell r="B387" t="str">
            <v>Muro ext. 02</v>
          </cell>
          <cell r="C387">
            <v>0</v>
          </cell>
          <cell r="D387">
            <v>1</v>
          </cell>
          <cell r="E387">
            <v>0</v>
          </cell>
          <cell r="F387">
            <v>1.1000000000000001</v>
          </cell>
          <cell r="G387">
            <v>1</v>
          </cell>
          <cell r="H387">
            <v>1.1000000000000001</v>
          </cell>
          <cell r="I387">
            <v>0</v>
          </cell>
          <cell r="J387">
            <v>0</v>
          </cell>
        </row>
        <row r="388">
          <cell r="A388">
            <v>0</v>
          </cell>
          <cell r="B388" t="str">
            <v>Muro int. 01</v>
          </cell>
          <cell r="C388">
            <v>0</v>
          </cell>
          <cell r="D388">
            <v>2</v>
          </cell>
          <cell r="E388">
            <v>0.70000000000000007</v>
          </cell>
          <cell r="G388">
            <v>1</v>
          </cell>
          <cell r="H388">
            <v>1.4000000000000001</v>
          </cell>
          <cell r="I388">
            <v>0</v>
          </cell>
          <cell r="J388">
            <v>0</v>
          </cell>
        </row>
        <row r="389">
          <cell r="A389">
            <v>0</v>
          </cell>
          <cell r="B389" t="str">
            <v>Muro int. 02</v>
          </cell>
          <cell r="C389">
            <v>0</v>
          </cell>
          <cell r="D389">
            <v>1</v>
          </cell>
          <cell r="E389">
            <v>0</v>
          </cell>
          <cell r="F389">
            <v>0.90000000000000013</v>
          </cell>
          <cell r="G389">
            <v>1</v>
          </cell>
          <cell r="H389">
            <v>0.90000000000000013</v>
          </cell>
          <cell r="I389">
            <v>0</v>
          </cell>
          <cell r="J389">
            <v>0</v>
          </cell>
        </row>
        <row r="390">
          <cell r="A390">
            <v>0</v>
          </cell>
          <cell r="B390" t="str">
            <v>Frisos</v>
          </cell>
          <cell r="C390">
            <v>0</v>
          </cell>
          <cell r="D390">
            <v>1</v>
          </cell>
          <cell r="E390">
            <v>3.8000000000000003</v>
          </cell>
          <cell r="F390">
            <v>0</v>
          </cell>
          <cell r="G390">
            <v>0.05</v>
          </cell>
          <cell r="H390">
            <v>0.19000000000000003</v>
          </cell>
          <cell r="I390">
            <v>0</v>
          </cell>
          <cell r="J390">
            <v>0</v>
          </cell>
        </row>
        <row r="391">
          <cell r="A391">
            <v>0</v>
          </cell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A392">
            <v>0</v>
          </cell>
          <cell r="B392" t="str">
            <v>ACERO DE REFUERZO  (CASETA DE CLORACIÓN)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I392">
            <v>12.186200000000001</v>
          </cell>
          <cell r="J392" t="str">
            <v>Kg</v>
          </cell>
        </row>
        <row r="393">
          <cell r="A393">
            <v>0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>
            <v>0</v>
          </cell>
          <cell r="B394" t="str">
            <v>Descripción</v>
          </cell>
          <cell r="C394" t="str">
            <v>Grafico</v>
          </cell>
          <cell r="D394" t="str">
            <v>Ø</v>
          </cell>
          <cell r="E394" t="str">
            <v>N° piezas x</v>
          </cell>
          <cell r="F394" t="str">
            <v xml:space="preserve">Longitud </v>
          </cell>
          <cell r="G394" t="str">
            <v>Longitud por Ø (m)</v>
          </cell>
          <cell r="H394">
            <v>0</v>
          </cell>
          <cell r="I394">
            <v>0</v>
          </cell>
          <cell r="J394">
            <v>0</v>
          </cell>
        </row>
        <row r="395">
          <cell r="A395">
            <v>0</v>
          </cell>
          <cell r="B395">
            <v>0</v>
          </cell>
          <cell r="C395">
            <v>0</v>
          </cell>
          <cell r="D395">
            <v>0</v>
          </cell>
          <cell r="E395" t="str">
            <v>elemento</v>
          </cell>
          <cell r="F395" t="str">
            <v>(m)</v>
          </cell>
          <cell r="G395" t="str">
            <v>1/4"</v>
          </cell>
          <cell r="H395">
            <v>0.375</v>
          </cell>
          <cell r="I395">
            <v>0</v>
          </cell>
          <cell r="J395">
            <v>0</v>
          </cell>
        </row>
        <row r="396">
          <cell r="A396">
            <v>0</v>
          </cell>
          <cell r="B396" t="str">
            <v>Acero Transversal Losa sup</v>
          </cell>
          <cell r="C396">
            <v>0</v>
          </cell>
          <cell r="D396" t="str">
            <v>3/8"</v>
          </cell>
          <cell r="E396">
            <v>4</v>
          </cell>
          <cell r="F396">
            <v>0.8</v>
          </cell>
          <cell r="G396">
            <v>0</v>
          </cell>
          <cell r="H396">
            <v>3.2</v>
          </cell>
          <cell r="I396">
            <v>0</v>
          </cell>
          <cell r="J396">
            <v>0</v>
          </cell>
        </row>
        <row r="397">
          <cell r="A397">
            <v>0</v>
          </cell>
          <cell r="B397" t="str">
            <v>Acero Longitudinal Losa sup</v>
          </cell>
          <cell r="C397">
            <v>0</v>
          </cell>
          <cell r="D397" t="str">
            <v>3/8"</v>
          </cell>
          <cell r="E397">
            <v>6</v>
          </cell>
          <cell r="F397">
            <v>1.1000000000000001</v>
          </cell>
          <cell r="G397">
            <v>0</v>
          </cell>
          <cell r="H397">
            <v>6.6000000000000005</v>
          </cell>
          <cell r="I397">
            <v>0</v>
          </cell>
          <cell r="J397">
            <v>0</v>
          </cell>
        </row>
        <row r="398">
          <cell r="A398">
            <v>0</v>
          </cell>
          <cell r="B398" t="str">
            <v>Acero vertical mura</v>
          </cell>
          <cell r="C398">
            <v>0</v>
          </cell>
          <cell r="D398" t="str">
            <v>3/8"</v>
          </cell>
          <cell r="E398">
            <v>9</v>
          </cell>
          <cell r="F398">
            <v>1</v>
          </cell>
          <cell r="G398">
            <v>0</v>
          </cell>
          <cell r="H398">
            <v>9</v>
          </cell>
          <cell r="I398">
            <v>0</v>
          </cell>
          <cell r="J398">
            <v>0</v>
          </cell>
        </row>
        <row r="399">
          <cell r="A399">
            <v>0</v>
          </cell>
          <cell r="B399" t="str">
            <v>Acero horizontal muro</v>
          </cell>
          <cell r="C399">
            <v>0</v>
          </cell>
          <cell r="D399" t="str">
            <v>3/8"</v>
          </cell>
          <cell r="E399">
            <v>6</v>
          </cell>
          <cell r="F399">
            <v>0.5</v>
          </cell>
          <cell r="G399">
            <v>0</v>
          </cell>
          <cell r="H399">
            <v>3</v>
          </cell>
          <cell r="I399">
            <v>0</v>
          </cell>
          <cell r="J399">
            <v>0</v>
          </cell>
        </row>
        <row r="400">
          <cell r="A400">
            <v>0</v>
          </cell>
          <cell r="E400" t="str">
            <v>LONGITUD TOTAL</v>
          </cell>
          <cell r="F400">
            <v>0</v>
          </cell>
          <cell r="G400">
            <v>0</v>
          </cell>
          <cell r="H400">
            <v>21.8</v>
          </cell>
          <cell r="I400">
            <v>0</v>
          </cell>
          <cell r="J400">
            <v>0</v>
          </cell>
        </row>
        <row r="401">
          <cell r="A401">
            <v>0</v>
          </cell>
          <cell r="E401" t="str">
            <v>Peso Unit. (Kg/m)</v>
          </cell>
          <cell r="F401">
            <v>0</v>
          </cell>
          <cell r="G401">
            <v>0.25</v>
          </cell>
          <cell r="H401">
            <v>0.55900000000000005</v>
          </cell>
          <cell r="I401">
            <v>0</v>
          </cell>
          <cell r="J401">
            <v>0</v>
          </cell>
        </row>
        <row r="402">
          <cell r="A402">
            <v>0</v>
          </cell>
          <cell r="E402" t="str">
            <v>PESO TOTAL (Kg)</v>
          </cell>
          <cell r="F402">
            <v>0</v>
          </cell>
          <cell r="G402">
            <v>0</v>
          </cell>
          <cell r="H402">
            <v>12.186200000000001</v>
          </cell>
          <cell r="I402">
            <v>0</v>
          </cell>
          <cell r="J402">
            <v>0</v>
          </cell>
        </row>
        <row r="403">
          <cell r="A403">
            <v>0</v>
          </cell>
          <cell r="B403">
            <v>0</v>
          </cell>
          <cell r="C403">
            <v>0</v>
          </cell>
          <cell r="D403">
            <v>0</v>
          </cell>
          <cell r="E403" t="str">
            <v>PESO TOTAL (Kg)</v>
          </cell>
          <cell r="F403">
            <v>0</v>
          </cell>
          <cell r="G403">
            <v>12.186200000000001</v>
          </cell>
          <cell r="H403">
            <v>0</v>
          </cell>
          <cell r="I403">
            <v>0</v>
          </cell>
          <cell r="J403">
            <v>0</v>
          </cell>
        </row>
        <row r="404">
          <cell r="A404">
            <v>0</v>
          </cell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>
            <v>0</v>
          </cell>
          <cell r="B405" t="str">
            <v>REVOQUES Y ENLUCIDOS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</row>
        <row r="406">
          <cell r="A406">
            <v>0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A407">
            <v>0</v>
          </cell>
          <cell r="B407" t="str">
            <v>TARRAJEO INT. Y EXT. MEZC. 1:2 E=1.5 cm (CASETA DE CLORACIÓN)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I407">
            <v>6.2800000000000011</v>
          </cell>
          <cell r="J407" t="str">
            <v>m2</v>
          </cell>
        </row>
        <row r="408">
          <cell r="A408">
            <v>0</v>
          </cell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</row>
        <row r="409">
          <cell r="A409">
            <v>0</v>
          </cell>
          <cell r="B409" t="str">
            <v>DESCRIPCION</v>
          </cell>
          <cell r="C409">
            <v>0</v>
          </cell>
          <cell r="D409" t="str">
            <v>N° VECES</v>
          </cell>
          <cell r="E409" t="str">
            <v>LARGO</v>
          </cell>
          <cell r="F409" t="str">
            <v>ANCHO</v>
          </cell>
          <cell r="G409" t="str">
            <v>ALTURA</v>
          </cell>
          <cell r="H409" t="str">
            <v>PARCIAL</v>
          </cell>
          <cell r="I409" t="str">
            <v>TOTAL</v>
          </cell>
          <cell r="J409" t="str">
            <v>UNIDAD</v>
          </cell>
        </row>
        <row r="410">
          <cell r="A410">
            <v>0</v>
          </cell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6.2800000000000011</v>
          </cell>
          <cell r="J410" t="str">
            <v>m2</v>
          </cell>
        </row>
        <row r="411">
          <cell r="A411">
            <v>0</v>
          </cell>
          <cell r="B411" t="str">
            <v>Losa superior</v>
          </cell>
          <cell r="C411">
            <v>0</v>
          </cell>
          <cell r="D411">
            <v>1</v>
          </cell>
          <cell r="E411">
            <v>0.8</v>
          </cell>
          <cell r="F411">
            <v>1.1000000000000001</v>
          </cell>
          <cell r="G411">
            <v>0</v>
          </cell>
          <cell r="H411">
            <v>0.88000000000000012</v>
          </cell>
          <cell r="I411">
            <v>0</v>
          </cell>
          <cell r="J411">
            <v>0</v>
          </cell>
        </row>
        <row r="412">
          <cell r="A412">
            <v>0</v>
          </cell>
          <cell r="B412" t="str">
            <v>Muro ext. 01</v>
          </cell>
          <cell r="C412">
            <v>0</v>
          </cell>
          <cell r="D412">
            <v>2</v>
          </cell>
          <cell r="E412">
            <v>0.8</v>
          </cell>
          <cell r="G412">
            <v>1</v>
          </cell>
          <cell r="H412">
            <v>1.6</v>
          </cell>
          <cell r="I412">
            <v>0</v>
          </cell>
          <cell r="J412">
            <v>0</v>
          </cell>
        </row>
        <row r="413">
          <cell r="A413">
            <v>0</v>
          </cell>
          <cell r="B413" t="str">
            <v>Muro ext. 02</v>
          </cell>
          <cell r="C413">
            <v>0</v>
          </cell>
          <cell r="D413">
            <v>1</v>
          </cell>
          <cell r="E413">
            <v>0</v>
          </cell>
          <cell r="F413">
            <v>1.1000000000000001</v>
          </cell>
          <cell r="G413">
            <v>1</v>
          </cell>
          <cell r="H413">
            <v>1.1000000000000001</v>
          </cell>
          <cell r="I413">
            <v>0</v>
          </cell>
          <cell r="J413">
            <v>0</v>
          </cell>
        </row>
        <row r="414">
          <cell r="A414">
            <v>0</v>
          </cell>
          <cell r="B414" t="str">
            <v>Muro int. 01</v>
          </cell>
          <cell r="C414">
            <v>0</v>
          </cell>
          <cell r="D414">
            <v>2</v>
          </cell>
          <cell r="E414">
            <v>0.70000000000000007</v>
          </cell>
          <cell r="G414">
            <v>1</v>
          </cell>
          <cell r="H414">
            <v>1.4000000000000001</v>
          </cell>
          <cell r="I414">
            <v>0</v>
          </cell>
          <cell r="J414">
            <v>0</v>
          </cell>
        </row>
        <row r="415">
          <cell r="A415">
            <v>0</v>
          </cell>
          <cell r="B415" t="str">
            <v>Muro int. 02</v>
          </cell>
          <cell r="C415">
            <v>0</v>
          </cell>
          <cell r="D415">
            <v>1</v>
          </cell>
          <cell r="E415">
            <v>0</v>
          </cell>
          <cell r="F415">
            <v>0.90000000000000013</v>
          </cell>
          <cell r="G415">
            <v>1</v>
          </cell>
          <cell r="H415">
            <v>0.90000000000000013</v>
          </cell>
          <cell r="I415">
            <v>0</v>
          </cell>
          <cell r="J415">
            <v>0</v>
          </cell>
        </row>
        <row r="416">
          <cell r="A416">
            <v>0</v>
          </cell>
          <cell r="B416" t="str">
            <v>Frisos</v>
          </cell>
          <cell r="C416">
            <v>0</v>
          </cell>
          <cell r="D416">
            <v>1</v>
          </cell>
          <cell r="E416">
            <v>3.8000000000000003</v>
          </cell>
          <cell r="F416">
            <v>0</v>
          </cell>
          <cell r="G416">
            <v>0.05</v>
          </cell>
          <cell r="H416">
            <v>0.19000000000000003</v>
          </cell>
          <cell r="I416">
            <v>0</v>
          </cell>
          <cell r="J416">
            <v>0</v>
          </cell>
        </row>
        <row r="417">
          <cell r="A417">
            <v>0</v>
          </cell>
          <cell r="B417" t="str">
            <v>Muro frontal</v>
          </cell>
          <cell r="C417">
            <v>0</v>
          </cell>
          <cell r="D417">
            <v>2</v>
          </cell>
          <cell r="E417">
            <v>0.1</v>
          </cell>
          <cell r="F417">
            <v>0</v>
          </cell>
          <cell r="G417">
            <v>1.05</v>
          </cell>
          <cell r="H417">
            <v>0.21000000000000002</v>
          </cell>
          <cell r="I417">
            <v>0</v>
          </cell>
          <cell r="J417">
            <v>0</v>
          </cell>
        </row>
        <row r="418">
          <cell r="A418">
            <v>0</v>
          </cell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</row>
        <row r="419">
          <cell r="A419">
            <v>0</v>
          </cell>
          <cell r="B419">
            <v>0</v>
          </cell>
          <cell r="J419">
            <v>0</v>
          </cell>
        </row>
        <row r="420">
          <cell r="A420">
            <v>0</v>
          </cell>
          <cell r="B420" t="str">
            <v>SUMINISTRO E INST. DE SISTEMA DE VENOCLISIS Y GRIFO PARA BALDE CLORADOR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I420">
            <v>1</v>
          </cell>
          <cell r="J420" t="str">
            <v>und</v>
          </cell>
        </row>
        <row r="421">
          <cell r="A421">
            <v>0</v>
          </cell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I421">
            <v>0</v>
          </cell>
          <cell r="J421">
            <v>0</v>
          </cell>
        </row>
        <row r="422">
          <cell r="A422">
            <v>0</v>
          </cell>
          <cell r="B422" t="str">
            <v>SUMINISTRO E INST. DE PUERTA TIPO P-2 (0.90X0.90)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I422">
            <v>1</v>
          </cell>
          <cell r="J422" t="str">
            <v>und</v>
          </cell>
        </row>
        <row r="423">
          <cell r="A423">
            <v>0</v>
          </cell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I423">
            <v>0</v>
          </cell>
          <cell r="J423">
            <v>0</v>
          </cell>
        </row>
        <row r="424">
          <cell r="A424">
            <v>0</v>
          </cell>
          <cell r="B424">
            <v>0</v>
          </cell>
          <cell r="C424" t="str">
            <v>DESCRIPCION</v>
          </cell>
          <cell r="D424">
            <v>0</v>
          </cell>
          <cell r="E424">
            <v>0</v>
          </cell>
          <cell r="F424" t="str">
            <v>CANTIDAD</v>
          </cell>
          <cell r="G424" t="str">
            <v>UNIDAD</v>
          </cell>
          <cell r="H424">
            <v>0</v>
          </cell>
          <cell r="I424">
            <v>0</v>
          </cell>
          <cell r="J424">
            <v>0</v>
          </cell>
        </row>
        <row r="425">
          <cell r="A425">
            <v>0</v>
          </cell>
          <cell r="B425">
            <v>0</v>
          </cell>
          <cell r="C425" t="str">
            <v>Malla cuadrada galvanizada 1" X 1" X 2.77 mm</v>
          </cell>
          <cell r="D425">
            <v>0</v>
          </cell>
          <cell r="E425">
            <v>0</v>
          </cell>
          <cell r="F425">
            <v>1</v>
          </cell>
          <cell r="G425" t="str">
            <v>m2</v>
          </cell>
          <cell r="H425">
            <v>0</v>
          </cell>
          <cell r="I425">
            <v>0</v>
          </cell>
          <cell r="J425">
            <v>0</v>
          </cell>
        </row>
        <row r="426">
          <cell r="A426">
            <v>0</v>
          </cell>
          <cell r="B426">
            <v>0</v>
          </cell>
          <cell r="C426" t="str">
            <v>Perfil L 1"x1"x3/16"</v>
          </cell>
          <cell r="D426">
            <v>0</v>
          </cell>
          <cell r="E426">
            <v>0</v>
          </cell>
          <cell r="F426">
            <v>5.4</v>
          </cell>
          <cell r="G426" t="str">
            <v>m</v>
          </cell>
          <cell r="H426">
            <v>0</v>
          </cell>
          <cell r="I426">
            <v>0</v>
          </cell>
          <cell r="J426">
            <v>0</v>
          </cell>
        </row>
        <row r="427">
          <cell r="A427">
            <v>0</v>
          </cell>
          <cell r="B427">
            <v>0</v>
          </cell>
          <cell r="C427" t="str">
            <v>Bisagra soldables</v>
          </cell>
          <cell r="D427">
            <v>0</v>
          </cell>
          <cell r="E427">
            <v>0</v>
          </cell>
          <cell r="F427">
            <v>4</v>
          </cell>
          <cell r="G427" t="str">
            <v>unid</v>
          </cell>
          <cell r="H427">
            <v>0</v>
          </cell>
          <cell r="I427">
            <v>0</v>
          </cell>
          <cell r="J427">
            <v>0</v>
          </cell>
        </row>
        <row r="428">
          <cell r="A428">
            <v>0</v>
          </cell>
          <cell r="B428">
            <v>0</v>
          </cell>
          <cell r="C428" t="str">
            <v>Candado n°40</v>
          </cell>
          <cell r="D428">
            <v>0</v>
          </cell>
          <cell r="E428">
            <v>0</v>
          </cell>
          <cell r="F428">
            <v>1</v>
          </cell>
          <cell r="G428" t="str">
            <v>unid</v>
          </cell>
          <cell r="H428">
            <v>0</v>
          </cell>
          <cell r="I428">
            <v>0</v>
          </cell>
          <cell r="J428">
            <v>0</v>
          </cell>
        </row>
        <row r="429">
          <cell r="A429">
            <v>0</v>
          </cell>
          <cell r="B429">
            <v>0</v>
          </cell>
          <cell r="C429" t="str">
            <v>Portacandado  para candado n° 40</v>
          </cell>
          <cell r="D429">
            <v>0</v>
          </cell>
          <cell r="E429">
            <v>0</v>
          </cell>
          <cell r="F429">
            <v>1</v>
          </cell>
          <cell r="G429" t="str">
            <v>unid</v>
          </cell>
          <cell r="H429">
            <v>0</v>
          </cell>
          <cell r="I429">
            <v>0</v>
          </cell>
          <cell r="J429">
            <v>0</v>
          </cell>
        </row>
        <row r="430">
          <cell r="A430">
            <v>0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A431">
            <v>0</v>
          </cell>
          <cell r="B431" t="str">
            <v>SUMINISTRO E INST. DE ACCESORIOS DE LIMPIEZA Y REBOSE EN SISTEMA DE CLORACIÓN</v>
          </cell>
          <cell r="I431">
            <v>1</v>
          </cell>
          <cell r="J431" t="str">
            <v>und</v>
          </cell>
        </row>
        <row r="432">
          <cell r="A432">
            <v>0</v>
          </cell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>
            <v>0</v>
          </cell>
          <cell r="B433" t="str">
            <v>ACCESORIOS</v>
          </cell>
          <cell r="C433">
            <v>0</v>
          </cell>
          <cell r="D433">
            <v>0</v>
          </cell>
          <cell r="E433" t="str">
            <v>Ø</v>
          </cell>
          <cell r="F433" t="str">
            <v>CANT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>
            <v>0</v>
          </cell>
          <cell r="B434" t="str">
            <v>INGRESO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>
            <v>0</v>
          </cell>
          <cell r="B435" t="str">
            <v>GRIFO F°G°</v>
          </cell>
          <cell r="C435">
            <v>0</v>
          </cell>
          <cell r="D435">
            <v>0</v>
          </cell>
          <cell r="E435" t="str">
            <v>1/2"</v>
          </cell>
          <cell r="F435">
            <v>1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>
            <v>0</v>
          </cell>
          <cell r="B436" t="str">
            <v>ADAPTADOR F°G°</v>
          </cell>
          <cell r="C436">
            <v>0</v>
          </cell>
          <cell r="D436">
            <v>0</v>
          </cell>
          <cell r="E436" t="str">
            <v>1/2"</v>
          </cell>
          <cell r="F436">
            <v>1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</row>
        <row r="437">
          <cell r="A437">
            <v>0</v>
          </cell>
          <cell r="B437" t="str">
            <v>CODO DE F°G°</v>
          </cell>
          <cell r="C437">
            <v>0</v>
          </cell>
          <cell r="D437">
            <v>0</v>
          </cell>
          <cell r="E437" t="str">
            <v>1/2"</v>
          </cell>
          <cell r="F437">
            <v>3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A438">
            <v>0</v>
          </cell>
          <cell r="B438" t="str">
            <v>TUBERIA DE F°G° (m)</v>
          </cell>
          <cell r="C438">
            <v>0</v>
          </cell>
          <cell r="D438">
            <v>0</v>
          </cell>
          <cell r="E438" t="str">
            <v>1/2"</v>
          </cell>
          <cell r="F438">
            <v>4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>
            <v>0</v>
          </cell>
          <cell r="B439" t="str">
            <v>CODO DE PVC SAP</v>
          </cell>
          <cell r="C439">
            <v>0</v>
          </cell>
          <cell r="D439">
            <v>0</v>
          </cell>
          <cell r="E439" t="str">
            <v>1/2"</v>
          </cell>
          <cell r="F439">
            <v>2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A440">
            <v>0</v>
          </cell>
          <cell r="B440" t="str">
            <v>TUBERIA DE PVC SAP (m)</v>
          </cell>
          <cell r="C440">
            <v>0</v>
          </cell>
          <cell r="D440">
            <v>0</v>
          </cell>
          <cell r="E440" t="str">
            <v>1/2"</v>
          </cell>
          <cell r="F440">
            <v>1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>
            <v>0</v>
          </cell>
          <cell r="B441" t="str">
            <v>ABRAZADERA F°G°</v>
          </cell>
          <cell r="C441">
            <v>0</v>
          </cell>
          <cell r="D441">
            <v>0</v>
          </cell>
          <cell r="E441" t="str">
            <v>1/2"</v>
          </cell>
          <cell r="F441">
            <v>5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>
            <v>0</v>
          </cell>
          <cell r="B442" t="str">
            <v>SALIDA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</row>
        <row r="443">
          <cell r="A443">
            <v>0</v>
          </cell>
          <cell r="B443" t="str">
            <v>VALVULA CONTROL DOSIFICADORA</v>
          </cell>
          <cell r="C443">
            <v>0</v>
          </cell>
          <cell r="D443">
            <v>0</v>
          </cell>
          <cell r="E443" t="str">
            <v>1/2"</v>
          </cell>
          <cell r="F443">
            <v>1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</row>
        <row r="444">
          <cell r="A444">
            <v>0</v>
          </cell>
          <cell r="B444" t="str">
            <v>UNION UNIVERSAL PVC</v>
          </cell>
          <cell r="C444">
            <v>0</v>
          </cell>
          <cell r="D444">
            <v>0</v>
          </cell>
          <cell r="E444" t="str">
            <v>1/2"</v>
          </cell>
          <cell r="F444">
            <v>2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A445">
            <v>0</v>
          </cell>
          <cell r="B445" t="str">
            <v>NIPLE DE PVC</v>
          </cell>
          <cell r="C445">
            <v>0</v>
          </cell>
          <cell r="D445">
            <v>0</v>
          </cell>
          <cell r="E445" t="str">
            <v>1/2"</v>
          </cell>
          <cell r="F445">
            <v>2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</row>
        <row r="446">
          <cell r="A446">
            <v>0</v>
          </cell>
          <cell r="B446" t="str">
            <v>BRIDA ROMPE AGUA</v>
          </cell>
          <cell r="C446">
            <v>0</v>
          </cell>
          <cell r="D446">
            <v>0</v>
          </cell>
          <cell r="E446" t="str">
            <v>1/2"</v>
          </cell>
          <cell r="F446">
            <v>2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</row>
        <row r="447">
          <cell r="A447">
            <v>0</v>
          </cell>
          <cell r="B447" t="str">
            <v>CODO DE PVC SAP</v>
          </cell>
          <cell r="C447">
            <v>0</v>
          </cell>
          <cell r="D447">
            <v>0</v>
          </cell>
          <cell r="E447" t="str">
            <v>1/2"</v>
          </cell>
          <cell r="F447">
            <v>1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</row>
        <row r="448">
          <cell r="A448">
            <v>0</v>
          </cell>
          <cell r="B448" t="str">
            <v>TUBERÍA PVC SAP (m)</v>
          </cell>
          <cell r="C448">
            <v>0</v>
          </cell>
          <cell r="D448">
            <v>0</v>
          </cell>
          <cell r="E448" t="str">
            <v>1/2"</v>
          </cell>
          <cell r="F448">
            <v>1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</row>
        <row r="449">
          <cell r="A449">
            <v>0</v>
          </cell>
          <cell r="B449" t="str">
            <v>MICROGRIFO DE BRONCE O CONTROLADOR DE GOTEO</v>
          </cell>
          <cell r="C449">
            <v>0</v>
          </cell>
          <cell r="D449">
            <v>0</v>
          </cell>
          <cell r="E449" t="str">
            <v>1/2"</v>
          </cell>
          <cell r="F449">
            <v>1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</row>
        <row r="450">
          <cell r="A450">
            <v>0</v>
          </cell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</row>
        <row r="451">
          <cell r="A451">
            <v>0</v>
          </cell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</row>
        <row r="452">
          <cell r="A452">
            <v>1.0701040199999996</v>
          </cell>
          <cell r="B452" t="str">
            <v>JUNTA WATER STOP NEOPRENE 6"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9.8960168588078474</v>
          </cell>
          <cell r="J452" t="str">
            <v>m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>
            <v>0</v>
          </cell>
          <cell r="B454" t="str">
            <v>DESCRIPCION</v>
          </cell>
          <cell r="C454">
            <v>0</v>
          </cell>
          <cell r="D454" t="str">
            <v>N° VECES</v>
          </cell>
          <cell r="E454" t="str">
            <v>LARGO</v>
          </cell>
          <cell r="F454" t="str">
            <v>ANCHO</v>
          </cell>
          <cell r="G454" t="str">
            <v>ALTURA</v>
          </cell>
          <cell r="H454" t="str">
            <v>PARCIAL</v>
          </cell>
          <cell r="I454" t="str">
            <v>TOTAL</v>
          </cell>
          <cell r="J454" t="str">
            <v>UNIDAD</v>
          </cell>
        </row>
        <row r="455">
          <cell r="A455">
            <v>0</v>
          </cell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9.8960168588078474</v>
          </cell>
          <cell r="J455" t="str">
            <v>m</v>
          </cell>
        </row>
        <row r="456">
          <cell r="A456">
            <v>0</v>
          </cell>
          <cell r="B456" t="str">
            <v>Longitud de junta</v>
          </cell>
          <cell r="C456">
            <v>0</v>
          </cell>
          <cell r="D456">
            <v>1</v>
          </cell>
          <cell r="E456">
            <v>3.15</v>
          </cell>
          <cell r="F456">
            <v>0</v>
          </cell>
          <cell r="G456">
            <v>0</v>
          </cell>
          <cell r="H456">
            <v>9.8960168588078474</v>
          </cell>
          <cell r="I456">
            <v>0</v>
          </cell>
          <cell r="J456">
            <v>0</v>
          </cell>
        </row>
        <row r="457">
          <cell r="A457">
            <v>0</v>
          </cell>
        </row>
        <row r="458">
          <cell r="A458">
            <v>1.0701040299999995</v>
          </cell>
          <cell r="B458" t="str">
            <v>SUMINISTRO E INST. DE ACCESORIOS DE VENTILACION</v>
          </cell>
          <cell r="I458">
            <v>1</v>
          </cell>
          <cell r="J458" t="str">
            <v>und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</row>
        <row r="460">
          <cell r="A460">
            <v>0</v>
          </cell>
          <cell r="B460" t="str">
            <v>DESCRIPCION</v>
          </cell>
          <cell r="C460">
            <v>0</v>
          </cell>
          <cell r="D460">
            <v>0</v>
          </cell>
          <cell r="E460" t="str">
            <v>CANTIDAD</v>
          </cell>
          <cell r="F460" t="str">
            <v>UNIDAD</v>
          </cell>
          <cell r="G460">
            <v>0</v>
          </cell>
        </row>
        <row r="461">
          <cell r="A461">
            <v>0</v>
          </cell>
          <cell r="B461" t="str">
            <v>NIPLE DE FIERRO GALVANIZADO 2" X 4"</v>
          </cell>
          <cell r="C461">
            <v>0</v>
          </cell>
          <cell r="D461">
            <v>0</v>
          </cell>
          <cell r="E461">
            <v>1</v>
          </cell>
          <cell r="F461" t="str">
            <v>und</v>
          </cell>
          <cell r="G461">
            <v>0</v>
          </cell>
        </row>
        <row r="462">
          <cell r="A462">
            <v>0</v>
          </cell>
          <cell r="B462" t="str">
            <v>CODO FG DE 2"</v>
          </cell>
          <cell r="C462">
            <v>0</v>
          </cell>
          <cell r="D462">
            <v>0</v>
          </cell>
          <cell r="E462">
            <v>2</v>
          </cell>
          <cell r="F462" t="str">
            <v>und</v>
          </cell>
          <cell r="G462">
            <v>0</v>
          </cell>
        </row>
        <row r="463">
          <cell r="A463">
            <v>0</v>
          </cell>
          <cell r="B463" t="str">
            <v>TAPÓN RANURADO DE 2"</v>
          </cell>
          <cell r="C463">
            <v>0</v>
          </cell>
          <cell r="D463">
            <v>0</v>
          </cell>
          <cell r="E463">
            <v>1</v>
          </cell>
          <cell r="F463" t="str">
            <v>und</v>
          </cell>
          <cell r="G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1.0701040399999995</v>
          </cell>
          <cell r="B466" t="str">
            <v>PRUEBA HIDRAULICA Y DESINFECCIÓN DE ESTANQUEIDAD EN RESERVORIO</v>
          </cell>
          <cell r="I466">
            <v>1</v>
          </cell>
          <cell r="J466" t="str">
            <v>glb</v>
          </cell>
        </row>
        <row r="467">
          <cell r="A467">
            <v>0</v>
          </cell>
        </row>
        <row r="468">
          <cell r="A468">
            <v>1.0701049999999996</v>
          </cell>
          <cell r="B468" t="str">
            <v>CASETA DE VALVULAS (RESERVORIO)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>
            <v>1.0701050099999996</v>
          </cell>
          <cell r="B469" t="str">
            <v>ESTRUCTURAS</v>
          </cell>
        </row>
        <row r="470">
          <cell r="A470">
            <v>1.0701050100999996</v>
          </cell>
          <cell r="B470" t="str">
            <v>MOVIMIENTO DE TIERRAS</v>
          </cell>
        </row>
        <row r="471">
          <cell r="A471">
            <v>1.0701050101009997</v>
          </cell>
          <cell r="B471" t="str">
            <v>EXCAVACIÓN EN TERRENO NORMAL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0.70341592653589813</v>
          </cell>
          <cell r="J471" t="str">
            <v>m3</v>
          </cell>
        </row>
        <row r="472">
          <cell r="A472">
            <v>0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A473">
            <v>0</v>
          </cell>
          <cell r="B473" t="str">
            <v>DESCRIPCION</v>
          </cell>
          <cell r="C473">
            <v>0</v>
          </cell>
          <cell r="D473" t="str">
            <v>N° VECES</v>
          </cell>
          <cell r="E473" t="str">
            <v>LARGO</v>
          </cell>
          <cell r="F473" t="str">
            <v>ANCHO</v>
          </cell>
          <cell r="G473" t="str">
            <v>ALTURA</v>
          </cell>
          <cell r="H473" t="str">
            <v>PARCIAL</v>
          </cell>
          <cell r="I473" t="str">
            <v>TOTAL</v>
          </cell>
          <cell r="J473" t="str">
            <v>UNIDAD</v>
          </cell>
        </row>
        <row r="474">
          <cell r="A474">
            <v>0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0.70341592653589813</v>
          </cell>
          <cell r="J474" t="str">
            <v>m3</v>
          </cell>
        </row>
        <row r="475">
          <cell r="A475">
            <v>0</v>
          </cell>
          <cell r="B475" t="str">
            <v>Para caseta</v>
          </cell>
          <cell r="C475">
            <v>0</v>
          </cell>
          <cell r="D475">
            <v>1</v>
          </cell>
          <cell r="E475">
            <v>1.2000000000000002</v>
          </cell>
          <cell r="F475">
            <v>1.4</v>
          </cell>
          <cell r="G475">
            <v>0.4</v>
          </cell>
          <cell r="H475">
            <v>0.67200000000000015</v>
          </cell>
          <cell r="I475">
            <v>0</v>
          </cell>
          <cell r="J475">
            <v>0</v>
          </cell>
        </row>
        <row r="476">
          <cell r="A476">
            <v>0</v>
          </cell>
          <cell r="B476" t="str">
            <v>Excavación para filtro</v>
          </cell>
          <cell r="C476">
            <v>0</v>
          </cell>
          <cell r="D476">
            <v>1</v>
          </cell>
          <cell r="E476">
            <v>0.2</v>
          </cell>
          <cell r="F476">
            <v>0</v>
          </cell>
          <cell r="G476">
            <v>0.3</v>
          </cell>
          <cell r="H476">
            <v>3.1415926535897934E-2</v>
          </cell>
          <cell r="I476">
            <v>0</v>
          </cell>
          <cell r="J476">
            <v>0</v>
          </cell>
        </row>
        <row r="477">
          <cell r="A477">
            <v>0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</row>
        <row r="478">
          <cell r="A478">
            <v>0</v>
          </cell>
        </row>
        <row r="479">
          <cell r="A479">
            <v>1.0701050101019998</v>
          </cell>
          <cell r="B479" t="str">
            <v xml:space="preserve">RELLENO CON MATERIAL PROPIO 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0.36000000000000004</v>
          </cell>
          <cell r="J479" t="str">
            <v>m3</v>
          </cell>
        </row>
        <row r="480">
          <cell r="A480">
            <v>0</v>
          </cell>
        </row>
        <row r="481">
          <cell r="A481">
            <v>0</v>
          </cell>
          <cell r="B481" t="str">
            <v>DESCRIPCION</v>
          </cell>
          <cell r="C481">
            <v>0</v>
          </cell>
          <cell r="D481" t="str">
            <v>N° VECES</v>
          </cell>
          <cell r="E481" t="str">
            <v>LARGO</v>
          </cell>
          <cell r="F481" t="str">
            <v>ANCHO</v>
          </cell>
          <cell r="G481" t="str">
            <v>ALTURA</v>
          </cell>
          <cell r="H481" t="str">
            <v>PARCIAL</v>
          </cell>
          <cell r="I481" t="str">
            <v>TOTAL</v>
          </cell>
          <cell r="J481" t="str">
            <v>UNIDAD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0.36000000000000004</v>
          </cell>
          <cell r="J482" t="str">
            <v>m3</v>
          </cell>
        </row>
        <row r="483">
          <cell r="A483">
            <v>0</v>
          </cell>
          <cell r="B483" t="str">
            <v>Para caseta de válvulas</v>
          </cell>
          <cell r="C483">
            <v>0</v>
          </cell>
          <cell r="D483">
            <v>1.2</v>
          </cell>
          <cell r="E483">
            <v>1</v>
          </cell>
          <cell r="F483">
            <v>1</v>
          </cell>
          <cell r="G483">
            <v>0.30000000000000004</v>
          </cell>
          <cell r="H483">
            <v>0.36000000000000004</v>
          </cell>
          <cell r="I483">
            <v>0</v>
          </cell>
          <cell r="J483">
            <v>0</v>
          </cell>
        </row>
        <row r="484">
          <cell r="A484">
            <v>0</v>
          </cell>
        </row>
        <row r="485">
          <cell r="A485">
            <v>1.0701050101029999</v>
          </cell>
          <cell r="B485" t="str">
            <v xml:space="preserve">RELLENO CON GRAVA PARA FILTRO, TMAX 1/2" 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1.1309733552923256E-2</v>
          </cell>
          <cell r="J485" t="str">
            <v>m3</v>
          </cell>
        </row>
        <row r="486">
          <cell r="A486">
            <v>0</v>
          </cell>
        </row>
        <row r="487">
          <cell r="A487">
            <v>0</v>
          </cell>
          <cell r="B487" t="str">
            <v>DESCRIPCION</v>
          </cell>
          <cell r="C487">
            <v>0</v>
          </cell>
          <cell r="D487" t="str">
            <v>N° VECES</v>
          </cell>
          <cell r="E487" t="str">
            <v>LARGO</v>
          </cell>
          <cell r="F487" t="str">
            <v>ANCHO</v>
          </cell>
          <cell r="G487" t="str">
            <v>ALTURA</v>
          </cell>
          <cell r="H487" t="str">
            <v>PARCIAL</v>
          </cell>
          <cell r="I487" t="str">
            <v>TOTAL</v>
          </cell>
          <cell r="J487" t="str">
            <v>UNIDAD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1.1309733552923256E-2</v>
          </cell>
          <cell r="J488" t="str">
            <v>m3</v>
          </cell>
        </row>
        <row r="489">
          <cell r="A489">
            <v>0</v>
          </cell>
          <cell r="B489" t="str">
            <v>Filtro de grava</v>
          </cell>
          <cell r="C489">
            <v>0</v>
          </cell>
          <cell r="D489">
            <v>1.2</v>
          </cell>
          <cell r="E489">
            <v>0.2</v>
          </cell>
          <cell r="F489">
            <v>0</v>
          </cell>
          <cell r="G489">
            <v>0.3</v>
          </cell>
          <cell r="H489">
            <v>1.1309733552923256E-2</v>
          </cell>
          <cell r="I489">
            <v>0</v>
          </cell>
          <cell r="J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1.0701050101039999</v>
          </cell>
          <cell r="B492" t="str">
            <v>ELIMINACION DE MATERIAL EXCEDENTE  DP=30m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0.48409911184307769</v>
          </cell>
          <cell r="J492" t="str">
            <v>m3</v>
          </cell>
        </row>
        <row r="493">
          <cell r="A493">
            <v>0</v>
          </cell>
        </row>
        <row r="494">
          <cell r="A494">
            <v>0</v>
          </cell>
          <cell r="B494" t="str">
            <v>DESCRIPCION</v>
          </cell>
          <cell r="C494">
            <v>0</v>
          </cell>
          <cell r="D494" t="str">
            <v>N° VECES</v>
          </cell>
          <cell r="E494" t="str">
            <v>EXC.</v>
          </cell>
          <cell r="F494" t="str">
            <v>RELLENO PROP.</v>
          </cell>
          <cell r="G494" t="str">
            <v>ALTURA</v>
          </cell>
          <cell r="H494" t="str">
            <v>PARCIAL</v>
          </cell>
          <cell r="I494" t="str">
            <v>TOTAL</v>
          </cell>
          <cell r="J494" t="str">
            <v>UNIDAD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0.48409911184307769</v>
          </cell>
          <cell r="J495" t="str">
            <v>m3</v>
          </cell>
        </row>
        <row r="496">
          <cell r="A496">
            <v>0</v>
          </cell>
          <cell r="B496" t="str">
            <v>Volúmenes descontados</v>
          </cell>
          <cell r="C496">
            <v>0</v>
          </cell>
          <cell r="D496">
            <v>1</v>
          </cell>
          <cell r="E496">
            <v>0.84409911184307773</v>
          </cell>
          <cell r="F496">
            <v>0.36000000000000004</v>
          </cell>
          <cell r="G496">
            <v>0</v>
          </cell>
          <cell r="H496">
            <v>0.48409911184307769</v>
          </cell>
          <cell r="I496">
            <v>0</v>
          </cell>
          <cell r="J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1.0701050101999996</v>
          </cell>
          <cell r="B499" t="str">
            <v>OBRAS DE CONCRETO ARMADO</v>
          </cell>
        </row>
        <row r="500">
          <cell r="A500">
            <v>0</v>
          </cell>
        </row>
        <row r="501">
          <cell r="A501">
            <v>1.0701050102009997</v>
          </cell>
          <cell r="B501" t="str">
            <v>CONCRETO f'c=175 Kg/cm2, S/MEZCLADORA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0.5228584073464102</v>
          </cell>
          <cell r="J501" t="str">
            <v>m3</v>
          </cell>
        </row>
        <row r="502">
          <cell r="A502">
            <v>0</v>
          </cell>
          <cell r="B502" t="str">
            <v xml:space="preserve">CONCRETO LOSA MACIZA TAPA F'c=175 Kg/cm2 </v>
          </cell>
          <cell r="I502">
            <v>0</v>
          </cell>
          <cell r="J502">
            <v>0</v>
          </cell>
        </row>
        <row r="503">
          <cell r="A503">
            <v>0</v>
          </cell>
          <cell r="B503">
            <v>0</v>
          </cell>
          <cell r="I503">
            <v>0</v>
          </cell>
          <cell r="J503">
            <v>0</v>
          </cell>
        </row>
        <row r="504">
          <cell r="A504">
            <v>0</v>
          </cell>
          <cell r="B504" t="str">
            <v>DESCRIPCION</v>
          </cell>
          <cell r="C504">
            <v>0</v>
          </cell>
          <cell r="D504" t="str">
            <v>N° VECES</v>
          </cell>
          <cell r="E504" t="str">
            <v>LARGO</v>
          </cell>
          <cell r="F504" t="str">
            <v>ANCHO</v>
          </cell>
          <cell r="G504" t="str">
            <v>ALTURA</v>
          </cell>
          <cell r="H504" t="str">
            <v>PARCIAL</v>
          </cell>
          <cell r="I504" t="str">
            <v>TOTAL</v>
          </cell>
          <cell r="J504" t="str">
            <v>UNIDAD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0.5228584073464102</v>
          </cell>
          <cell r="J505" t="str">
            <v>m3</v>
          </cell>
        </row>
        <row r="506">
          <cell r="A506">
            <v>0</v>
          </cell>
          <cell r="B506" t="str">
            <v>Concreto losa maciza</v>
          </cell>
          <cell r="C506">
            <v>0</v>
          </cell>
          <cell r="D506">
            <v>1</v>
          </cell>
          <cell r="E506">
            <v>1</v>
          </cell>
          <cell r="F506">
            <v>1</v>
          </cell>
          <cell r="G506">
            <v>0.1</v>
          </cell>
          <cell r="H506">
            <v>0.1</v>
          </cell>
          <cell r="I506">
            <v>0</v>
          </cell>
          <cell r="J506">
            <v>0</v>
          </cell>
        </row>
        <row r="507">
          <cell r="A507">
            <v>0</v>
          </cell>
          <cell r="B507" t="str">
            <v>área descontada de tapa</v>
          </cell>
          <cell r="C507">
            <v>0</v>
          </cell>
          <cell r="D507">
            <v>-1</v>
          </cell>
          <cell r="E507">
            <v>0.6</v>
          </cell>
          <cell r="F507">
            <v>0.6</v>
          </cell>
          <cell r="G507">
            <v>0.1</v>
          </cell>
          <cell r="H507">
            <v>-3.5999999999999997E-2</v>
          </cell>
          <cell r="I507">
            <v>0</v>
          </cell>
          <cell r="J507">
            <v>0</v>
          </cell>
        </row>
        <row r="508">
          <cell r="A508">
            <v>0</v>
          </cell>
          <cell r="B508" t="str">
            <v>Concreto en muro frontal</v>
          </cell>
          <cell r="C508">
            <v>0</v>
          </cell>
          <cell r="D508">
            <v>1</v>
          </cell>
          <cell r="E508">
            <v>1.2</v>
          </cell>
          <cell r="F508">
            <v>0.1</v>
          </cell>
          <cell r="G508">
            <v>1.2000000000000002</v>
          </cell>
          <cell r="H508">
            <v>0.14400000000000002</v>
          </cell>
          <cell r="I508">
            <v>0</v>
          </cell>
          <cell r="J508">
            <v>0</v>
          </cell>
        </row>
        <row r="509">
          <cell r="A509">
            <v>0</v>
          </cell>
          <cell r="B509" t="str">
            <v>Concreto en muro lateral</v>
          </cell>
          <cell r="C509">
            <v>0</v>
          </cell>
          <cell r="D509">
            <v>1</v>
          </cell>
          <cell r="E509">
            <v>1.075</v>
          </cell>
          <cell r="F509">
            <v>0.1</v>
          </cell>
          <cell r="G509">
            <v>1.2000000000000002</v>
          </cell>
          <cell r="H509">
            <v>0.129</v>
          </cell>
          <cell r="I509">
            <v>0</v>
          </cell>
          <cell r="J509">
            <v>0</v>
          </cell>
        </row>
        <row r="510">
          <cell r="A510">
            <v>0</v>
          </cell>
          <cell r="B510" t="str">
            <v>Concreto en losa de fondo</v>
          </cell>
          <cell r="C510">
            <v>0</v>
          </cell>
          <cell r="D510">
            <v>1</v>
          </cell>
          <cell r="E510">
            <v>1.4</v>
          </cell>
          <cell r="F510">
            <v>1.35</v>
          </cell>
          <cell r="G510">
            <v>0.1</v>
          </cell>
          <cell r="H510">
            <v>0.189</v>
          </cell>
          <cell r="I510">
            <v>0</v>
          </cell>
          <cell r="J510">
            <v>0</v>
          </cell>
        </row>
        <row r="511">
          <cell r="A511">
            <v>0</v>
          </cell>
          <cell r="B511" t="str">
            <v>área descontada del filtro</v>
          </cell>
          <cell r="C511">
            <v>0</v>
          </cell>
          <cell r="D511">
            <v>-1</v>
          </cell>
          <cell r="E511">
            <v>0.2</v>
          </cell>
          <cell r="F511">
            <v>0</v>
          </cell>
          <cell r="G511">
            <v>0.1</v>
          </cell>
          <cell r="H511">
            <v>-3.1415926535897937E-3</v>
          </cell>
          <cell r="I511">
            <v>0</v>
          </cell>
          <cell r="J511">
            <v>0</v>
          </cell>
        </row>
        <row r="512">
          <cell r="A512">
            <v>0</v>
          </cell>
          <cell r="B512">
            <v>0</v>
          </cell>
          <cell r="I512">
            <v>0</v>
          </cell>
          <cell r="J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</row>
        <row r="514">
          <cell r="A514">
            <v>1.0701050102019998</v>
          </cell>
          <cell r="B514" t="str">
            <v>ENCOFRADO Y DESENCOFRADO NORMAL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9.0550000000000015</v>
          </cell>
          <cell r="J514" t="str">
            <v>m2</v>
          </cell>
        </row>
        <row r="515">
          <cell r="A515">
            <v>0</v>
          </cell>
          <cell r="B515" t="str">
            <v>ENCOFRADO Y DESENCOFRADO DE MURO (02 CARAS)</v>
          </cell>
          <cell r="I515">
            <v>0</v>
          </cell>
          <cell r="J515">
            <v>0</v>
          </cell>
        </row>
        <row r="516">
          <cell r="A516">
            <v>0</v>
          </cell>
          <cell r="B516">
            <v>0</v>
          </cell>
          <cell r="I516">
            <v>0</v>
          </cell>
          <cell r="J516">
            <v>0</v>
          </cell>
        </row>
        <row r="517">
          <cell r="A517">
            <v>0</v>
          </cell>
          <cell r="B517" t="str">
            <v>DESCRIPCION</v>
          </cell>
          <cell r="C517">
            <v>0</v>
          </cell>
          <cell r="D517" t="str">
            <v>N° VECES</v>
          </cell>
          <cell r="E517" t="str">
            <v>LARGO</v>
          </cell>
          <cell r="F517" t="str">
            <v>ANCHO</v>
          </cell>
          <cell r="G517" t="str">
            <v>ALTURA</v>
          </cell>
          <cell r="H517" t="str">
            <v>PARCIAL</v>
          </cell>
          <cell r="I517" t="str">
            <v>TOTAL</v>
          </cell>
          <cell r="J517" t="str">
            <v>UNIDAD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9.0550000000000015</v>
          </cell>
          <cell r="J518" t="str">
            <v>m2</v>
          </cell>
        </row>
        <row r="519">
          <cell r="A519">
            <v>0</v>
          </cell>
          <cell r="B519" t="str">
            <v>E/D muros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</row>
        <row r="520">
          <cell r="A520">
            <v>0</v>
          </cell>
          <cell r="B520" t="str">
            <v>externo frontal</v>
          </cell>
          <cell r="C520">
            <v>0</v>
          </cell>
          <cell r="D520">
            <v>1</v>
          </cell>
          <cell r="E520">
            <v>1.2</v>
          </cell>
          <cell r="G520">
            <v>1.2000000000000002</v>
          </cell>
          <cell r="H520">
            <v>1.4400000000000002</v>
          </cell>
          <cell r="I520">
            <v>0</v>
          </cell>
          <cell r="J520">
            <v>0</v>
          </cell>
        </row>
        <row r="521">
          <cell r="A521">
            <v>0</v>
          </cell>
          <cell r="B521" t="str">
            <v>externo lateral</v>
          </cell>
          <cell r="C521">
            <v>0</v>
          </cell>
          <cell r="D521">
            <v>2</v>
          </cell>
          <cell r="E521">
            <v>0</v>
          </cell>
          <cell r="F521">
            <v>1.075</v>
          </cell>
          <cell r="G521">
            <v>1.2000000000000002</v>
          </cell>
          <cell r="H521">
            <v>2.58</v>
          </cell>
          <cell r="I521">
            <v>0</v>
          </cell>
          <cell r="J521">
            <v>0</v>
          </cell>
        </row>
        <row r="522">
          <cell r="A522">
            <v>0</v>
          </cell>
          <cell r="B522" t="str">
            <v>interno frontal</v>
          </cell>
          <cell r="C522">
            <v>0</v>
          </cell>
          <cell r="D522">
            <v>1</v>
          </cell>
          <cell r="E522">
            <v>1</v>
          </cell>
          <cell r="G522">
            <v>1.2000000000000002</v>
          </cell>
          <cell r="H522">
            <v>1.2000000000000002</v>
          </cell>
          <cell r="I522">
            <v>0</v>
          </cell>
          <cell r="J522">
            <v>0</v>
          </cell>
        </row>
        <row r="523">
          <cell r="A523">
            <v>0</v>
          </cell>
          <cell r="B523" t="str">
            <v>interno lateral</v>
          </cell>
          <cell r="C523">
            <v>0</v>
          </cell>
          <cell r="D523">
            <v>2</v>
          </cell>
          <cell r="E523">
            <v>0</v>
          </cell>
          <cell r="F523">
            <v>1.05</v>
          </cell>
          <cell r="G523">
            <v>1.2000000000000002</v>
          </cell>
          <cell r="H523">
            <v>2.5200000000000005</v>
          </cell>
          <cell r="I523">
            <v>0</v>
          </cell>
          <cell r="J523">
            <v>0</v>
          </cell>
        </row>
        <row r="524">
          <cell r="A524">
            <v>0</v>
          </cell>
          <cell r="B524" t="str">
            <v>E/D losa maciza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>
            <v>0</v>
          </cell>
          <cell r="B525" t="str">
            <v>losa interna</v>
          </cell>
          <cell r="C525">
            <v>0</v>
          </cell>
          <cell r="D525">
            <v>1</v>
          </cell>
          <cell r="E525">
            <v>1</v>
          </cell>
          <cell r="F525">
            <v>1.075</v>
          </cell>
          <cell r="G525">
            <v>0</v>
          </cell>
          <cell r="H525">
            <v>1.075</v>
          </cell>
          <cell r="I525">
            <v>0</v>
          </cell>
          <cell r="J525">
            <v>0</v>
          </cell>
        </row>
        <row r="526">
          <cell r="A526">
            <v>0</v>
          </cell>
          <cell r="B526" t="str">
            <v>frisos</v>
          </cell>
          <cell r="C526">
            <v>0</v>
          </cell>
          <cell r="D526">
            <v>1</v>
          </cell>
          <cell r="E526">
            <v>2.4</v>
          </cell>
          <cell r="F526">
            <v>0</v>
          </cell>
          <cell r="G526">
            <v>0.1</v>
          </cell>
          <cell r="H526">
            <v>0.24</v>
          </cell>
          <cell r="I526">
            <v>0</v>
          </cell>
          <cell r="J526">
            <v>0</v>
          </cell>
        </row>
        <row r="527">
          <cell r="A527">
            <v>0</v>
          </cell>
          <cell r="B527">
            <v>0</v>
          </cell>
          <cell r="I527">
            <v>0</v>
          </cell>
          <cell r="J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</row>
        <row r="529">
          <cell r="A529">
            <v>1.0701050102029999</v>
          </cell>
          <cell r="B529" t="str">
            <v>ACERO CORRUGADO fy=4200 kg/cm2 GRADO 60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34.903680000000008</v>
          </cell>
          <cell r="J529" t="str">
            <v>kg</v>
          </cell>
        </row>
        <row r="530">
          <cell r="A530">
            <v>0</v>
          </cell>
          <cell r="B530">
            <v>0</v>
          </cell>
          <cell r="I530">
            <v>0</v>
          </cell>
          <cell r="J530">
            <v>0</v>
          </cell>
        </row>
        <row r="531">
          <cell r="A531">
            <v>1.0701050199999995</v>
          </cell>
          <cell r="B531" t="str">
            <v>ARQUITECTURA</v>
          </cell>
        </row>
        <row r="532">
          <cell r="A532">
            <v>1.0701050200999995</v>
          </cell>
          <cell r="B532" t="str">
            <v xml:space="preserve">REVOQUES, ENLUCIDOS Y MOLDURAS </v>
          </cell>
        </row>
        <row r="533">
          <cell r="A533">
            <v>1.0701050201009996</v>
          </cell>
          <cell r="B533" t="str">
            <v xml:space="preserve">TARRAJEO INT. Y EXT. MEZC. 1:2 E= 1.5cm 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11.96</v>
          </cell>
          <cell r="J533" t="str">
            <v>m2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</row>
        <row r="536">
          <cell r="A536">
            <v>0</v>
          </cell>
          <cell r="B536" t="str">
            <v>DESCRIPCION</v>
          </cell>
          <cell r="C536">
            <v>0</v>
          </cell>
          <cell r="D536" t="str">
            <v>N° VECES</v>
          </cell>
          <cell r="E536" t="str">
            <v>LARGO</v>
          </cell>
          <cell r="F536" t="str">
            <v>ANCHO</v>
          </cell>
          <cell r="G536" t="str">
            <v>ALTURA</v>
          </cell>
          <cell r="H536" t="str">
            <v>PARCIAL</v>
          </cell>
          <cell r="I536" t="str">
            <v>TOTAL</v>
          </cell>
          <cell r="J536" t="str">
            <v>UNIDAD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11.96</v>
          </cell>
          <cell r="J537" t="str">
            <v>m2</v>
          </cell>
        </row>
        <row r="538">
          <cell r="A538">
            <v>0</v>
          </cell>
          <cell r="B538" t="str">
            <v>Tarrajeo muros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</row>
        <row r="539">
          <cell r="A539">
            <v>0</v>
          </cell>
          <cell r="B539" t="str">
            <v>Pared interna</v>
          </cell>
          <cell r="C539">
            <v>0</v>
          </cell>
          <cell r="D539">
            <v>1</v>
          </cell>
          <cell r="E539">
            <v>3.15</v>
          </cell>
          <cell r="F539">
            <v>0</v>
          </cell>
          <cell r="G539">
            <v>1.2000000000000002</v>
          </cell>
          <cell r="H539">
            <v>3.7800000000000002</v>
          </cell>
          <cell r="I539">
            <v>0</v>
          </cell>
          <cell r="J539">
            <v>0</v>
          </cell>
        </row>
        <row r="540">
          <cell r="A540">
            <v>0</v>
          </cell>
          <cell r="B540" t="str">
            <v>Pared externa</v>
          </cell>
          <cell r="C540">
            <v>0</v>
          </cell>
          <cell r="D540">
            <v>1</v>
          </cell>
          <cell r="E540">
            <v>3.55</v>
          </cell>
          <cell r="F540">
            <v>0</v>
          </cell>
          <cell r="G540">
            <v>1.2000000000000002</v>
          </cell>
          <cell r="H540">
            <v>4.2600000000000007</v>
          </cell>
          <cell r="I540">
            <v>0</v>
          </cell>
          <cell r="J540">
            <v>0</v>
          </cell>
        </row>
        <row r="541">
          <cell r="A541">
            <v>0</v>
          </cell>
          <cell r="B541" t="str">
            <v>Tarrajeo techo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</row>
        <row r="542">
          <cell r="A542">
            <v>0</v>
          </cell>
          <cell r="B542" t="str">
            <v>área interna</v>
          </cell>
          <cell r="C542">
            <v>0</v>
          </cell>
          <cell r="D542">
            <v>1</v>
          </cell>
          <cell r="E542">
            <v>1</v>
          </cell>
          <cell r="F542">
            <v>1</v>
          </cell>
          <cell r="G542">
            <v>0</v>
          </cell>
          <cell r="H542">
            <v>1</v>
          </cell>
          <cell r="I542">
            <v>0</v>
          </cell>
          <cell r="J542">
            <v>0</v>
          </cell>
        </row>
        <row r="543">
          <cell r="A543">
            <v>0</v>
          </cell>
          <cell r="B543" t="str">
            <v>área externa</v>
          </cell>
          <cell r="C543">
            <v>0</v>
          </cell>
          <cell r="D543">
            <v>1</v>
          </cell>
          <cell r="E543">
            <v>1.1000000000000001</v>
          </cell>
          <cell r="F543">
            <v>0</v>
          </cell>
          <cell r="G543">
            <v>1.2</v>
          </cell>
          <cell r="H543">
            <v>1.32</v>
          </cell>
          <cell r="I543">
            <v>0</v>
          </cell>
          <cell r="J543">
            <v>0</v>
          </cell>
        </row>
        <row r="544">
          <cell r="A544">
            <v>0</v>
          </cell>
          <cell r="B544" t="str">
            <v>área de frizos</v>
          </cell>
          <cell r="C544">
            <v>0</v>
          </cell>
          <cell r="D544">
            <v>1</v>
          </cell>
          <cell r="E544">
            <v>2.4</v>
          </cell>
          <cell r="F544">
            <v>0</v>
          </cell>
          <cell r="G544">
            <v>0.1</v>
          </cell>
          <cell r="H544">
            <v>0.24</v>
          </cell>
          <cell r="I544">
            <v>0</v>
          </cell>
          <cell r="J544">
            <v>0</v>
          </cell>
        </row>
        <row r="545">
          <cell r="A545">
            <v>0</v>
          </cell>
          <cell r="B545" t="str">
            <v>área de tapa metálica</v>
          </cell>
          <cell r="C545">
            <v>0</v>
          </cell>
          <cell r="D545">
            <v>1</v>
          </cell>
          <cell r="E545">
            <v>0.6</v>
          </cell>
          <cell r="F545">
            <v>0.6</v>
          </cell>
          <cell r="G545">
            <v>0</v>
          </cell>
          <cell r="H545">
            <v>0.36</v>
          </cell>
          <cell r="I545">
            <v>0</v>
          </cell>
          <cell r="J545">
            <v>0</v>
          </cell>
        </row>
        <row r="546">
          <cell r="A546">
            <v>0</v>
          </cell>
          <cell r="B546" t="str">
            <v>Tarrajeo losa de fondo</v>
          </cell>
          <cell r="C546">
            <v>0</v>
          </cell>
          <cell r="D546">
            <v>1</v>
          </cell>
          <cell r="E546">
            <v>1</v>
          </cell>
          <cell r="F546">
            <v>1</v>
          </cell>
          <cell r="G546">
            <v>0</v>
          </cell>
          <cell r="H546">
            <v>1</v>
          </cell>
          <cell r="I546">
            <v>0</v>
          </cell>
          <cell r="J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>
            <v>0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>
            <v>1.0701050201999995</v>
          </cell>
          <cell r="B549" t="str">
            <v xml:space="preserve">PINTURA </v>
          </cell>
        </row>
        <row r="550">
          <cell r="A550">
            <v>1.0701050202009996</v>
          </cell>
          <cell r="B550" t="str">
            <v xml:space="preserve">PINTURA LATEX EN EXTERIORES (DOS MANOS) 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5.2200000000000006</v>
          </cell>
          <cell r="J550" t="str">
            <v>m2</v>
          </cell>
        </row>
        <row r="551">
          <cell r="A551">
            <v>0</v>
          </cell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>
            <v>0</v>
          </cell>
          <cell r="B552" t="str">
            <v>DESCRIPCION</v>
          </cell>
          <cell r="C552">
            <v>0</v>
          </cell>
          <cell r="D552" t="str">
            <v>N° VECES</v>
          </cell>
          <cell r="E552" t="str">
            <v>LARGO</v>
          </cell>
          <cell r="F552" t="str">
            <v>ANCHO</v>
          </cell>
          <cell r="G552" t="str">
            <v>ALTURA</v>
          </cell>
          <cell r="H552" t="str">
            <v>PARCIAL</v>
          </cell>
          <cell r="I552" t="str">
            <v>TOTAL</v>
          </cell>
          <cell r="J552" t="str">
            <v>UNIDAD</v>
          </cell>
        </row>
        <row r="553">
          <cell r="A553">
            <v>0</v>
          </cell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5.2200000000000006</v>
          </cell>
          <cell r="J553" t="str">
            <v>m2</v>
          </cell>
        </row>
        <row r="554">
          <cell r="A554">
            <v>0</v>
          </cell>
          <cell r="B554" t="str">
            <v>Para muros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>
            <v>0</v>
          </cell>
          <cell r="B555" t="str">
            <v>Pared externa</v>
          </cell>
          <cell r="C555">
            <v>0</v>
          </cell>
          <cell r="D555">
            <v>1</v>
          </cell>
          <cell r="E555">
            <v>3.55</v>
          </cell>
          <cell r="F555">
            <v>0</v>
          </cell>
          <cell r="G555">
            <v>1.2000000000000002</v>
          </cell>
          <cell r="H555">
            <v>4.2600000000000007</v>
          </cell>
          <cell r="I555">
            <v>0</v>
          </cell>
          <cell r="J555">
            <v>0</v>
          </cell>
        </row>
        <row r="556">
          <cell r="A556">
            <v>0</v>
          </cell>
          <cell r="B556" t="str">
            <v>Para losa de techo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A557">
            <v>0</v>
          </cell>
          <cell r="B557" t="str">
            <v>área externa</v>
          </cell>
          <cell r="C557">
            <v>0</v>
          </cell>
          <cell r="D557">
            <v>1</v>
          </cell>
          <cell r="E557">
            <v>1.1000000000000001</v>
          </cell>
          <cell r="F557">
            <v>0</v>
          </cell>
          <cell r="G557">
            <v>1.2</v>
          </cell>
          <cell r="H557">
            <v>1.32</v>
          </cell>
          <cell r="I557">
            <v>0</v>
          </cell>
          <cell r="J557">
            <v>0</v>
          </cell>
        </row>
        <row r="558">
          <cell r="A558">
            <v>0</v>
          </cell>
          <cell r="B558" t="str">
            <v>área tapa metálica</v>
          </cell>
          <cell r="C558">
            <v>0</v>
          </cell>
          <cell r="D558">
            <v>-1</v>
          </cell>
          <cell r="E558">
            <v>0.6</v>
          </cell>
          <cell r="F558">
            <v>0.6</v>
          </cell>
          <cell r="G558">
            <v>0</v>
          </cell>
          <cell r="H558">
            <v>-0.36</v>
          </cell>
          <cell r="I558">
            <v>0</v>
          </cell>
          <cell r="J558">
            <v>0</v>
          </cell>
        </row>
        <row r="559">
          <cell r="A559">
            <v>0</v>
          </cell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>
            <v>0</v>
          </cell>
        </row>
        <row r="561">
          <cell r="A561">
            <v>1.0701050299999995</v>
          </cell>
          <cell r="B561" t="str">
            <v>INSTALACIONES HIDRÁULICAS</v>
          </cell>
        </row>
        <row r="562">
          <cell r="A562">
            <v>1.0701050300999995</v>
          </cell>
          <cell r="B562" t="str">
            <v>VALVULAS Y ACCESORIOS</v>
          </cell>
        </row>
        <row r="563">
          <cell r="A563">
            <v>1.0701050301009996</v>
          </cell>
          <cell r="B563" t="str">
            <v xml:space="preserve">SUMINISTRO E INST. DE ACCESORIOS DE ENTRADA 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1</v>
          </cell>
          <cell r="J563" t="str">
            <v>und</v>
          </cell>
        </row>
        <row r="564">
          <cell r="A564">
            <v>0</v>
          </cell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 t="str">
            <v xml:space="preserve"> </v>
          </cell>
          <cell r="H564">
            <v>0</v>
          </cell>
          <cell r="I564">
            <v>0</v>
          </cell>
          <cell r="J564">
            <v>0</v>
          </cell>
        </row>
        <row r="565">
          <cell r="A565">
            <v>0</v>
          </cell>
          <cell r="B565" t="str">
            <v>ACCESORIOS</v>
          </cell>
          <cell r="C565">
            <v>0</v>
          </cell>
          <cell r="D565">
            <v>0</v>
          </cell>
          <cell r="E565" t="str">
            <v>Ø</v>
          </cell>
          <cell r="F565" t="str">
            <v>CANT</v>
          </cell>
          <cell r="G565" t="str">
            <v>UNIDAD</v>
          </cell>
          <cell r="H565">
            <v>0</v>
          </cell>
          <cell r="I565">
            <v>0</v>
          </cell>
          <cell r="J565">
            <v>0</v>
          </cell>
        </row>
        <row r="566">
          <cell r="A566">
            <v>0</v>
          </cell>
          <cell r="B566" t="str">
            <v>VÁLVULA DE COMPUERTA DE BRONCE</v>
          </cell>
          <cell r="C566">
            <v>0</v>
          </cell>
          <cell r="D566">
            <v>0</v>
          </cell>
          <cell r="E566" t="str">
            <v>2"</v>
          </cell>
          <cell r="F566">
            <v>2</v>
          </cell>
          <cell r="G566" t="str">
            <v>und</v>
          </cell>
          <cell r="H566">
            <v>0</v>
          </cell>
          <cell r="I566">
            <v>0</v>
          </cell>
          <cell r="J566">
            <v>0</v>
          </cell>
        </row>
        <row r="567">
          <cell r="A567">
            <v>0</v>
          </cell>
          <cell r="B567" t="str">
            <v>ADAPTADORES F°G°</v>
          </cell>
          <cell r="C567">
            <v>0</v>
          </cell>
          <cell r="D567">
            <v>0</v>
          </cell>
          <cell r="E567" t="str">
            <v>2"</v>
          </cell>
          <cell r="F567">
            <v>4</v>
          </cell>
          <cell r="G567" t="str">
            <v>und</v>
          </cell>
          <cell r="H567">
            <v>0</v>
          </cell>
          <cell r="I567">
            <v>0</v>
          </cell>
          <cell r="J567">
            <v>0</v>
          </cell>
        </row>
        <row r="568">
          <cell r="A568">
            <v>0</v>
          </cell>
          <cell r="B568" t="str">
            <v>UNIÓN UNIVERSAL DE F°G°</v>
          </cell>
          <cell r="C568">
            <v>0</v>
          </cell>
          <cell r="D568">
            <v>0</v>
          </cell>
          <cell r="E568" t="str">
            <v>2"</v>
          </cell>
          <cell r="F568">
            <v>4</v>
          </cell>
          <cell r="G568" t="str">
            <v>und</v>
          </cell>
          <cell r="H568">
            <v>0</v>
          </cell>
          <cell r="I568">
            <v>0</v>
          </cell>
          <cell r="J568">
            <v>0</v>
          </cell>
        </row>
        <row r="569">
          <cell r="A569">
            <v>0</v>
          </cell>
          <cell r="B569" t="str">
            <v>CODOF°G°</v>
          </cell>
          <cell r="C569">
            <v>0</v>
          </cell>
          <cell r="D569">
            <v>0</v>
          </cell>
          <cell r="E569" t="str">
            <v>2"</v>
          </cell>
          <cell r="F569">
            <v>3</v>
          </cell>
          <cell r="G569" t="str">
            <v>und</v>
          </cell>
          <cell r="H569">
            <v>0</v>
          </cell>
          <cell r="I569">
            <v>0</v>
          </cell>
          <cell r="J569">
            <v>0</v>
          </cell>
        </row>
        <row r="570">
          <cell r="A570">
            <v>0</v>
          </cell>
          <cell r="B570" t="str">
            <v>TEE F°G°</v>
          </cell>
          <cell r="C570">
            <v>0</v>
          </cell>
          <cell r="D570">
            <v>0</v>
          </cell>
          <cell r="E570" t="str">
            <v>2"</v>
          </cell>
          <cell r="F570">
            <v>1</v>
          </cell>
          <cell r="G570" t="str">
            <v>und</v>
          </cell>
          <cell r="H570">
            <v>0</v>
          </cell>
          <cell r="I570">
            <v>0</v>
          </cell>
          <cell r="J570">
            <v>0</v>
          </cell>
        </row>
        <row r="571">
          <cell r="A571">
            <v>0</v>
          </cell>
          <cell r="B571" t="str">
            <v>NIPLE F°G°</v>
          </cell>
          <cell r="C571">
            <v>0</v>
          </cell>
          <cell r="D571">
            <v>0</v>
          </cell>
          <cell r="E571" t="str">
            <v>2"</v>
          </cell>
          <cell r="F571">
            <v>4</v>
          </cell>
          <cell r="G571" t="str">
            <v>und</v>
          </cell>
          <cell r="H571">
            <v>0</v>
          </cell>
          <cell r="I571">
            <v>0</v>
          </cell>
          <cell r="J571">
            <v>0</v>
          </cell>
        </row>
        <row r="572">
          <cell r="A572">
            <v>0</v>
          </cell>
          <cell r="B572" t="str">
            <v>TUBERÍA F°G°</v>
          </cell>
          <cell r="C572">
            <v>0</v>
          </cell>
          <cell r="D572">
            <v>0</v>
          </cell>
          <cell r="E572" t="str">
            <v>2"</v>
          </cell>
          <cell r="F572">
            <v>3</v>
          </cell>
          <cell r="G572" t="str">
            <v>m</v>
          </cell>
          <cell r="H572">
            <v>0</v>
          </cell>
          <cell r="I572">
            <v>0</v>
          </cell>
          <cell r="J572">
            <v>0</v>
          </cell>
        </row>
        <row r="573">
          <cell r="A573">
            <v>0</v>
          </cell>
          <cell r="B573" t="str">
            <v>TEE CON REDUCCION DE F°G°</v>
          </cell>
          <cell r="C573">
            <v>0</v>
          </cell>
          <cell r="D573">
            <v>0</v>
          </cell>
          <cell r="E573" t="str">
            <v>2"-1/2"</v>
          </cell>
          <cell r="F573">
            <v>1</v>
          </cell>
          <cell r="G573" t="str">
            <v>und</v>
          </cell>
          <cell r="H573">
            <v>0</v>
          </cell>
          <cell r="I573">
            <v>0</v>
          </cell>
          <cell r="J573">
            <v>0</v>
          </cell>
        </row>
        <row r="574">
          <cell r="A574">
            <v>0</v>
          </cell>
          <cell r="B574" t="str">
            <v>BRIDA ROMPE AGUA DE F°G°</v>
          </cell>
          <cell r="C574">
            <v>0</v>
          </cell>
          <cell r="D574">
            <v>0</v>
          </cell>
          <cell r="E574" t="str">
            <v>2"</v>
          </cell>
          <cell r="F574">
            <v>1</v>
          </cell>
          <cell r="G574" t="str">
            <v>und</v>
          </cell>
          <cell r="H574">
            <v>0</v>
          </cell>
          <cell r="I574">
            <v>0</v>
          </cell>
          <cell r="J574">
            <v>0</v>
          </cell>
        </row>
        <row r="575">
          <cell r="A575">
            <v>0</v>
          </cell>
          <cell r="B575" t="str">
            <v>VALVULA FLOTADORA</v>
          </cell>
          <cell r="C575">
            <v>0</v>
          </cell>
          <cell r="D575">
            <v>0</v>
          </cell>
          <cell r="E575" t="str">
            <v>2"</v>
          </cell>
          <cell r="F575">
            <v>1</v>
          </cell>
          <cell r="G575" t="str">
            <v>und</v>
          </cell>
          <cell r="H575">
            <v>0</v>
          </cell>
          <cell r="I575">
            <v>0</v>
          </cell>
          <cell r="J575">
            <v>0</v>
          </cell>
        </row>
        <row r="576">
          <cell r="A576">
            <v>0</v>
          </cell>
          <cell r="B576" t="str">
            <v>ABRAZADERA F°G°</v>
          </cell>
          <cell r="C576">
            <v>0</v>
          </cell>
          <cell r="D576">
            <v>0</v>
          </cell>
          <cell r="E576" t="str">
            <v>2"</v>
          </cell>
          <cell r="F576">
            <v>3</v>
          </cell>
          <cell r="G576" t="str">
            <v>und</v>
          </cell>
          <cell r="H576">
            <v>0</v>
          </cell>
          <cell r="I576">
            <v>0</v>
          </cell>
          <cell r="J576">
            <v>0</v>
          </cell>
        </row>
        <row r="577">
          <cell r="A577">
            <v>0</v>
          </cell>
        </row>
        <row r="578">
          <cell r="A578">
            <v>1.0701050301019996</v>
          </cell>
          <cell r="B578" t="str">
            <v xml:space="preserve">SUMINISTRO E INST. DE ACCESORIOS DE SALIDA  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1</v>
          </cell>
          <cell r="J578" t="str">
            <v>und</v>
          </cell>
        </row>
        <row r="579">
          <cell r="A579">
            <v>0</v>
          </cell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>
            <v>0</v>
          </cell>
          <cell r="B580" t="str">
            <v>SALIDA 1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</row>
        <row r="581">
          <cell r="A581">
            <v>0</v>
          </cell>
          <cell r="B581" t="str">
            <v>ACCESORIOS</v>
          </cell>
          <cell r="C581">
            <v>0</v>
          </cell>
          <cell r="D581">
            <v>0</v>
          </cell>
          <cell r="E581" t="str">
            <v>Ø</v>
          </cell>
          <cell r="F581" t="str">
            <v>CANT</v>
          </cell>
          <cell r="G581" t="str">
            <v>UNIDAD</v>
          </cell>
          <cell r="H581">
            <v>0</v>
          </cell>
          <cell r="I581">
            <v>0</v>
          </cell>
          <cell r="J581">
            <v>0</v>
          </cell>
        </row>
        <row r="582">
          <cell r="A582">
            <v>0</v>
          </cell>
          <cell r="B582" t="str">
            <v>VÁLVULA DE COMPUERTA DE BRONCE</v>
          </cell>
          <cell r="C582">
            <v>0</v>
          </cell>
          <cell r="D582">
            <v>0</v>
          </cell>
          <cell r="E582" t="str">
            <v>2  1/2"</v>
          </cell>
          <cell r="F582">
            <v>1</v>
          </cell>
          <cell r="G582" t="str">
            <v>und</v>
          </cell>
          <cell r="H582">
            <v>0</v>
          </cell>
          <cell r="I582">
            <v>0</v>
          </cell>
          <cell r="J582">
            <v>0</v>
          </cell>
        </row>
        <row r="583">
          <cell r="A583">
            <v>0</v>
          </cell>
          <cell r="B583" t="str">
            <v>ADAPTADORES F°G°</v>
          </cell>
          <cell r="C583">
            <v>0</v>
          </cell>
          <cell r="D583">
            <v>0</v>
          </cell>
          <cell r="E583" t="str">
            <v>2  1/2"</v>
          </cell>
          <cell r="F583">
            <v>2</v>
          </cell>
          <cell r="G583" t="str">
            <v>und</v>
          </cell>
          <cell r="H583">
            <v>0</v>
          </cell>
          <cell r="I583">
            <v>0</v>
          </cell>
          <cell r="J583">
            <v>0</v>
          </cell>
        </row>
        <row r="584">
          <cell r="A584">
            <v>0</v>
          </cell>
          <cell r="B584" t="str">
            <v>UNIÓN UNIVERSAL DE F°G°</v>
          </cell>
          <cell r="C584">
            <v>0</v>
          </cell>
          <cell r="D584">
            <v>0</v>
          </cell>
          <cell r="E584" t="str">
            <v>2  1/2"</v>
          </cell>
          <cell r="F584">
            <v>2</v>
          </cell>
          <cell r="G584" t="str">
            <v>und</v>
          </cell>
          <cell r="H584">
            <v>0</v>
          </cell>
          <cell r="I584">
            <v>0</v>
          </cell>
          <cell r="J584">
            <v>0</v>
          </cell>
        </row>
        <row r="585">
          <cell r="A585">
            <v>0</v>
          </cell>
          <cell r="B585" t="str">
            <v>TEE F°G°</v>
          </cell>
          <cell r="C585">
            <v>0</v>
          </cell>
          <cell r="D585">
            <v>0</v>
          </cell>
          <cell r="E585" t="str">
            <v>2  1/2"</v>
          </cell>
          <cell r="F585">
            <v>1</v>
          </cell>
          <cell r="G585" t="str">
            <v>und</v>
          </cell>
          <cell r="H585">
            <v>0</v>
          </cell>
          <cell r="I585">
            <v>0</v>
          </cell>
          <cell r="J585">
            <v>0</v>
          </cell>
        </row>
        <row r="586">
          <cell r="A586">
            <v>0</v>
          </cell>
          <cell r="B586" t="str">
            <v xml:space="preserve">NIPLE F°G° </v>
          </cell>
          <cell r="C586">
            <v>0</v>
          </cell>
          <cell r="D586">
            <v>0</v>
          </cell>
          <cell r="E586" t="str">
            <v>2  1/2"</v>
          </cell>
          <cell r="F586">
            <v>2</v>
          </cell>
          <cell r="G586" t="str">
            <v>und</v>
          </cell>
          <cell r="H586">
            <v>0</v>
          </cell>
          <cell r="I586">
            <v>0</v>
          </cell>
          <cell r="J586">
            <v>0</v>
          </cell>
        </row>
        <row r="587">
          <cell r="A587">
            <v>0</v>
          </cell>
          <cell r="B587" t="str">
            <v>TUBERÍA F°G°</v>
          </cell>
          <cell r="C587">
            <v>0</v>
          </cell>
          <cell r="D587">
            <v>0</v>
          </cell>
          <cell r="E587" t="str">
            <v>2  1/2"</v>
          </cell>
          <cell r="F587">
            <v>1</v>
          </cell>
          <cell r="G587" t="str">
            <v>m</v>
          </cell>
          <cell r="H587">
            <v>0</v>
          </cell>
          <cell r="I587">
            <v>0</v>
          </cell>
          <cell r="J587">
            <v>0</v>
          </cell>
        </row>
        <row r="588">
          <cell r="A588">
            <v>0</v>
          </cell>
          <cell r="B588" t="str">
            <v>CANASTILLA DE PVC</v>
          </cell>
          <cell r="C588">
            <v>0</v>
          </cell>
          <cell r="D588">
            <v>0</v>
          </cell>
          <cell r="E588" t="str">
            <v>2 1/2"- 3"</v>
          </cell>
          <cell r="F588">
            <v>1</v>
          </cell>
          <cell r="G588" t="str">
            <v>und</v>
          </cell>
          <cell r="H588">
            <v>0</v>
          </cell>
          <cell r="I588">
            <v>0</v>
          </cell>
          <cell r="J588">
            <v>0</v>
          </cell>
        </row>
        <row r="589">
          <cell r="A589">
            <v>0</v>
          </cell>
          <cell r="B589" t="str">
            <v>UNION SP PVC</v>
          </cell>
          <cell r="C589">
            <v>0</v>
          </cell>
          <cell r="D589">
            <v>0</v>
          </cell>
          <cell r="E589" t="str">
            <v>2  1/2"</v>
          </cell>
          <cell r="F589">
            <v>1</v>
          </cell>
          <cell r="G589" t="str">
            <v>und</v>
          </cell>
          <cell r="H589">
            <v>0</v>
          </cell>
          <cell r="I589">
            <v>0</v>
          </cell>
          <cell r="J589">
            <v>0</v>
          </cell>
        </row>
        <row r="590">
          <cell r="A590">
            <v>0</v>
          </cell>
          <cell r="B590" t="str">
            <v>BRIDA ROMPE AGUA DE F°G°</v>
          </cell>
          <cell r="C590">
            <v>0</v>
          </cell>
          <cell r="D590">
            <v>0</v>
          </cell>
          <cell r="E590" t="str">
            <v>2  1/2"</v>
          </cell>
          <cell r="F590">
            <v>1</v>
          </cell>
          <cell r="G590" t="str">
            <v>und</v>
          </cell>
          <cell r="H590">
            <v>0</v>
          </cell>
          <cell r="I590">
            <v>0</v>
          </cell>
          <cell r="J590">
            <v>0</v>
          </cell>
        </row>
        <row r="591">
          <cell r="A591">
            <v>0</v>
          </cell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</row>
        <row r="592">
          <cell r="A592">
            <v>0</v>
          </cell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</row>
        <row r="593">
          <cell r="A593">
            <v>1.0701050301029997</v>
          </cell>
          <cell r="B593" t="str">
            <v xml:space="preserve">SUMINISTRO E INST. DE ACCESORIOS DE BY PASS 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1</v>
          </cell>
          <cell r="J593" t="str">
            <v>und</v>
          </cell>
        </row>
        <row r="594">
          <cell r="A594">
            <v>0</v>
          </cell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</row>
        <row r="595">
          <cell r="A595">
            <v>0</v>
          </cell>
          <cell r="B595" t="str">
            <v>ACCESORIOS</v>
          </cell>
          <cell r="C595">
            <v>0</v>
          </cell>
          <cell r="D595">
            <v>0</v>
          </cell>
          <cell r="E595" t="str">
            <v>Ø</v>
          </cell>
          <cell r="F595" t="str">
            <v>CANT</v>
          </cell>
          <cell r="G595" t="str">
            <v>UNIDAD</v>
          </cell>
          <cell r="H595">
            <v>0</v>
          </cell>
          <cell r="I595">
            <v>0</v>
          </cell>
          <cell r="J595">
            <v>0</v>
          </cell>
        </row>
        <row r="596">
          <cell r="A596">
            <v>0</v>
          </cell>
          <cell r="B596" t="str">
            <v>VÁLVULA DE COMPUERTA DE BRONCE</v>
          </cell>
          <cell r="C596">
            <v>0</v>
          </cell>
          <cell r="D596">
            <v>0</v>
          </cell>
          <cell r="E596" t="str">
            <v>2 1/2"</v>
          </cell>
          <cell r="F596">
            <v>1</v>
          </cell>
          <cell r="G596" t="str">
            <v>und</v>
          </cell>
          <cell r="H596">
            <v>0</v>
          </cell>
          <cell r="I596">
            <v>0</v>
          </cell>
          <cell r="J596">
            <v>0</v>
          </cell>
        </row>
        <row r="597">
          <cell r="A597">
            <v>0</v>
          </cell>
          <cell r="B597" t="str">
            <v>ADAPTADORES F°G°</v>
          </cell>
          <cell r="C597">
            <v>0</v>
          </cell>
          <cell r="D597">
            <v>0</v>
          </cell>
          <cell r="E597" t="str">
            <v>2 1/2"</v>
          </cell>
          <cell r="F597">
            <v>2</v>
          </cell>
          <cell r="G597" t="str">
            <v>und</v>
          </cell>
          <cell r="H597">
            <v>0</v>
          </cell>
          <cell r="I597">
            <v>0</v>
          </cell>
          <cell r="J597">
            <v>0</v>
          </cell>
        </row>
        <row r="598">
          <cell r="A598">
            <v>0</v>
          </cell>
          <cell r="B598" t="str">
            <v>UNIÓN UNIVERSAL DE F°G°</v>
          </cell>
          <cell r="C598">
            <v>0</v>
          </cell>
          <cell r="D598">
            <v>0</v>
          </cell>
          <cell r="E598" t="str">
            <v>2 1/2"</v>
          </cell>
          <cell r="F598">
            <v>2</v>
          </cell>
          <cell r="G598" t="str">
            <v>und</v>
          </cell>
          <cell r="H598">
            <v>0</v>
          </cell>
          <cell r="I598">
            <v>0</v>
          </cell>
          <cell r="J598">
            <v>0</v>
          </cell>
        </row>
        <row r="599">
          <cell r="A599">
            <v>0</v>
          </cell>
          <cell r="B599" t="str">
            <v xml:space="preserve">NIPLE F°G° </v>
          </cell>
          <cell r="C599">
            <v>0</v>
          </cell>
          <cell r="D599">
            <v>0</v>
          </cell>
          <cell r="E599" t="str">
            <v>2 1/2"</v>
          </cell>
          <cell r="F599">
            <v>2</v>
          </cell>
          <cell r="G599" t="str">
            <v>und</v>
          </cell>
          <cell r="H599">
            <v>0</v>
          </cell>
          <cell r="I599">
            <v>0</v>
          </cell>
          <cell r="J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</row>
        <row r="601">
          <cell r="A601">
            <v>1.0701050301039998</v>
          </cell>
          <cell r="B601" t="str">
            <v>SUMINISTRO E INST. DE ACCESORIOS DE LIMPIA Y REBOSE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1</v>
          </cell>
          <cell r="J601" t="str">
            <v>und</v>
          </cell>
        </row>
        <row r="602">
          <cell r="A602">
            <v>0</v>
          </cell>
          <cell r="B602">
            <v>0</v>
          </cell>
          <cell r="I602">
            <v>0</v>
          </cell>
          <cell r="J602">
            <v>0</v>
          </cell>
        </row>
        <row r="603">
          <cell r="A603">
            <v>0</v>
          </cell>
          <cell r="B603" t="str">
            <v>ACCESORIOS</v>
          </cell>
          <cell r="C603">
            <v>0</v>
          </cell>
          <cell r="D603">
            <v>0</v>
          </cell>
          <cell r="E603" t="str">
            <v>Ø</v>
          </cell>
          <cell r="F603" t="str">
            <v>CANT</v>
          </cell>
          <cell r="G603" t="str">
            <v>UNIDAD</v>
          </cell>
          <cell r="H603">
            <v>0</v>
          </cell>
          <cell r="I603">
            <v>0</v>
          </cell>
          <cell r="J603">
            <v>0</v>
          </cell>
        </row>
        <row r="604">
          <cell r="A604">
            <v>0</v>
          </cell>
          <cell r="B604" t="str">
            <v>VÁLVULA DE COMPUERTA DE BRONCE</v>
          </cell>
          <cell r="C604">
            <v>0</v>
          </cell>
          <cell r="D604">
            <v>0</v>
          </cell>
          <cell r="E604" t="str">
            <v>3"</v>
          </cell>
          <cell r="F604">
            <v>1</v>
          </cell>
          <cell r="G604" t="str">
            <v>und</v>
          </cell>
          <cell r="H604">
            <v>0</v>
          </cell>
          <cell r="I604">
            <v>0</v>
          </cell>
          <cell r="J604">
            <v>0</v>
          </cell>
        </row>
        <row r="605">
          <cell r="A605">
            <v>0</v>
          </cell>
          <cell r="B605" t="str">
            <v>ADAPTADORES F°G°</v>
          </cell>
          <cell r="C605">
            <v>0</v>
          </cell>
          <cell r="D605">
            <v>0</v>
          </cell>
          <cell r="E605" t="str">
            <v>3"</v>
          </cell>
          <cell r="F605">
            <v>2</v>
          </cell>
          <cell r="G605" t="str">
            <v>und</v>
          </cell>
          <cell r="H605">
            <v>0</v>
          </cell>
          <cell r="I605">
            <v>0</v>
          </cell>
          <cell r="J605">
            <v>0</v>
          </cell>
        </row>
        <row r="606">
          <cell r="A606">
            <v>0</v>
          </cell>
          <cell r="B606" t="str">
            <v>UNIÓN UNIVERSAL DE F°G°</v>
          </cell>
          <cell r="C606">
            <v>0</v>
          </cell>
          <cell r="D606">
            <v>0</v>
          </cell>
          <cell r="E606" t="str">
            <v>3"</v>
          </cell>
          <cell r="F606">
            <v>2</v>
          </cell>
          <cell r="G606" t="str">
            <v>und</v>
          </cell>
          <cell r="H606">
            <v>0</v>
          </cell>
          <cell r="I606">
            <v>0</v>
          </cell>
          <cell r="J606">
            <v>0</v>
          </cell>
        </row>
        <row r="607">
          <cell r="A607">
            <v>0</v>
          </cell>
          <cell r="B607" t="str">
            <v xml:space="preserve">NIPLE F°G° </v>
          </cell>
          <cell r="C607">
            <v>0</v>
          </cell>
          <cell r="D607">
            <v>0</v>
          </cell>
          <cell r="E607" t="str">
            <v>3"</v>
          </cell>
          <cell r="F607">
            <v>2</v>
          </cell>
          <cell r="G607" t="str">
            <v>und</v>
          </cell>
          <cell r="H607">
            <v>0</v>
          </cell>
          <cell r="I607">
            <v>0</v>
          </cell>
          <cell r="J607">
            <v>0</v>
          </cell>
        </row>
        <row r="608">
          <cell r="A608">
            <v>0</v>
          </cell>
          <cell r="B608" t="str">
            <v>CODOF°G°</v>
          </cell>
          <cell r="C608">
            <v>0</v>
          </cell>
          <cell r="D608">
            <v>0</v>
          </cell>
          <cell r="E608" t="str">
            <v>3"</v>
          </cell>
          <cell r="F608">
            <v>3</v>
          </cell>
          <cell r="G608" t="str">
            <v>und</v>
          </cell>
          <cell r="H608">
            <v>0</v>
          </cell>
          <cell r="I608">
            <v>0</v>
          </cell>
          <cell r="J608">
            <v>0</v>
          </cell>
        </row>
        <row r="609">
          <cell r="A609">
            <v>0</v>
          </cell>
          <cell r="B609" t="str">
            <v>TUBERÍA F°G° (m)</v>
          </cell>
          <cell r="C609">
            <v>0</v>
          </cell>
          <cell r="D609">
            <v>0</v>
          </cell>
          <cell r="E609" t="str">
            <v>3"</v>
          </cell>
          <cell r="F609">
            <v>3</v>
          </cell>
          <cell r="G609" t="str">
            <v>m</v>
          </cell>
          <cell r="H609">
            <v>0</v>
          </cell>
          <cell r="I609">
            <v>0</v>
          </cell>
          <cell r="J609">
            <v>0</v>
          </cell>
        </row>
        <row r="610">
          <cell r="A610">
            <v>0</v>
          </cell>
          <cell r="B610" t="str">
            <v>BRIDA ROMPE AGUA DE F°G°</v>
          </cell>
          <cell r="C610">
            <v>0</v>
          </cell>
          <cell r="D610">
            <v>0</v>
          </cell>
          <cell r="E610" t="str">
            <v>3"</v>
          </cell>
          <cell r="F610">
            <v>2</v>
          </cell>
          <cell r="G610" t="str">
            <v>und</v>
          </cell>
          <cell r="H610">
            <v>0</v>
          </cell>
          <cell r="I610">
            <v>0</v>
          </cell>
          <cell r="J610">
            <v>0</v>
          </cell>
        </row>
        <row r="611">
          <cell r="A611">
            <v>0</v>
          </cell>
          <cell r="B611" t="str">
            <v>TEE F°G°</v>
          </cell>
          <cell r="C611">
            <v>0</v>
          </cell>
          <cell r="D611">
            <v>0</v>
          </cell>
          <cell r="E611" t="str">
            <v>3"</v>
          </cell>
          <cell r="F611">
            <v>1</v>
          </cell>
          <cell r="G611" t="str">
            <v>und</v>
          </cell>
          <cell r="H611">
            <v>0</v>
          </cell>
          <cell r="I611">
            <v>0</v>
          </cell>
          <cell r="J611">
            <v>0</v>
          </cell>
        </row>
        <row r="612">
          <cell r="A612">
            <v>0</v>
          </cell>
          <cell r="B612" t="str">
            <v xml:space="preserve">ABRAZADERAS F°G° </v>
          </cell>
          <cell r="C612">
            <v>0</v>
          </cell>
          <cell r="D612">
            <v>0</v>
          </cell>
          <cell r="E612" t="str">
            <v>3"</v>
          </cell>
          <cell r="F612">
            <v>2</v>
          </cell>
          <cell r="G612" t="str">
            <v>und</v>
          </cell>
          <cell r="H612">
            <v>0</v>
          </cell>
          <cell r="I612">
            <v>0</v>
          </cell>
          <cell r="J612">
            <v>0</v>
          </cell>
        </row>
        <row r="613">
          <cell r="A613">
            <v>0</v>
          </cell>
          <cell r="B613" t="str">
            <v>TUBERIA PVC (m)</v>
          </cell>
          <cell r="C613">
            <v>0</v>
          </cell>
          <cell r="D613">
            <v>0</v>
          </cell>
          <cell r="E613" t="str">
            <v>3"</v>
          </cell>
          <cell r="F613">
            <v>4</v>
          </cell>
          <cell r="G613" t="str">
            <v>m</v>
          </cell>
          <cell r="H613">
            <v>0</v>
          </cell>
          <cell r="I613">
            <v>0</v>
          </cell>
          <cell r="J613">
            <v>0</v>
          </cell>
        </row>
        <row r="614">
          <cell r="A614">
            <v>0</v>
          </cell>
          <cell r="B614" t="str">
            <v>CODO PVC</v>
          </cell>
          <cell r="C614">
            <v>0</v>
          </cell>
          <cell r="D614">
            <v>0</v>
          </cell>
          <cell r="E614" t="str">
            <v>3"</v>
          </cell>
          <cell r="F614">
            <v>2</v>
          </cell>
          <cell r="G614" t="str">
            <v>und</v>
          </cell>
          <cell r="H614">
            <v>0</v>
          </cell>
          <cell r="I614">
            <v>0</v>
          </cell>
          <cell r="J614">
            <v>0</v>
          </cell>
        </row>
        <row r="615">
          <cell r="A615">
            <v>0</v>
          </cell>
          <cell r="B615" t="str">
            <v>TAPON MACHO SP PVC</v>
          </cell>
          <cell r="C615">
            <v>0</v>
          </cell>
          <cell r="D615">
            <v>0</v>
          </cell>
          <cell r="E615" t="str">
            <v>3"</v>
          </cell>
          <cell r="F615">
            <v>2</v>
          </cell>
          <cell r="G615" t="str">
            <v>und</v>
          </cell>
          <cell r="H615">
            <v>0</v>
          </cell>
          <cell r="I615">
            <v>0</v>
          </cell>
          <cell r="J615">
            <v>0</v>
          </cell>
        </row>
        <row r="616">
          <cell r="A616">
            <v>0</v>
          </cell>
          <cell r="B616" t="str">
            <v>TEE PVC SAP</v>
          </cell>
          <cell r="C616">
            <v>0</v>
          </cell>
          <cell r="D616">
            <v>0</v>
          </cell>
          <cell r="E616" t="str">
            <v>3"</v>
          </cell>
          <cell r="F616">
            <v>2</v>
          </cell>
          <cell r="G616" t="str">
            <v>und</v>
          </cell>
          <cell r="H616">
            <v>0</v>
          </cell>
          <cell r="I616">
            <v>0</v>
          </cell>
          <cell r="J616">
            <v>0</v>
          </cell>
        </row>
        <row r="617">
          <cell r="A617">
            <v>0</v>
          </cell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>
            <v>0</v>
          </cell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</row>
        <row r="619">
          <cell r="A619">
            <v>1.0701050399999994</v>
          </cell>
          <cell r="B619" t="str">
            <v>CARPINTERIA METALICA</v>
          </cell>
        </row>
        <row r="620">
          <cell r="A620">
            <v>1.0701050400999994</v>
          </cell>
          <cell r="B620" t="str">
            <v>SUM. E INST. TAPA SANITARIA METALICA DE 0.60x0.60x1/8"</v>
          </cell>
          <cell r="I620">
            <v>1</v>
          </cell>
          <cell r="J620" t="str">
            <v>und</v>
          </cell>
        </row>
        <row r="621">
          <cell r="A621">
            <v>0</v>
          </cell>
          <cell r="B621" t="str">
            <v>DESCRIPCIÓN</v>
          </cell>
          <cell r="C621">
            <v>0</v>
          </cell>
          <cell r="D621">
            <v>0</v>
          </cell>
          <cell r="E621" t="str">
            <v>CANTIDAD</v>
          </cell>
          <cell r="F621" t="str">
            <v>UNIDAD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</row>
        <row r="622">
          <cell r="A622">
            <v>0</v>
          </cell>
          <cell r="B622" t="str">
            <v>NÚMERO DE TAPAS METÁLICAS=</v>
          </cell>
          <cell r="C622">
            <v>0</v>
          </cell>
          <cell r="D622">
            <v>0</v>
          </cell>
          <cell r="E622">
            <v>1</v>
          </cell>
          <cell r="F622" t="str">
            <v>und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</sheetData>
      <sheetData sheetId="11">
        <row r="15">
          <cell r="A15">
            <v>1.0701059999999996</v>
          </cell>
          <cell r="B15" t="str">
            <v>CERCO PERIMETRICO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>
            <v>1.0702030099999997</v>
          </cell>
          <cell r="B16" t="str">
            <v>TRABAJOS PRELIMINARES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>
            <v>1.0702030100999997</v>
          </cell>
          <cell r="B17" t="str">
            <v>TRAZO Y REPLANTEO PRELIMINAR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15.6</v>
          </cell>
          <cell r="I17" t="str">
            <v>m2</v>
          </cell>
        </row>
        <row r="18">
          <cell r="A18">
            <v>0</v>
          </cell>
          <cell r="B18" t="str">
            <v>Lado frontal/posterior</v>
          </cell>
          <cell r="C18">
            <v>2</v>
          </cell>
          <cell r="D18">
            <v>7.1</v>
          </cell>
          <cell r="E18">
            <v>0.6</v>
          </cell>
          <cell r="F18">
            <v>0</v>
          </cell>
          <cell r="G18">
            <v>4.26</v>
          </cell>
          <cell r="H18">
            <v>8.52</v>
          </cell>
          <cell r="I18">
            <v>0</v>
          </cell>
        </row>
        <row r="19">
          <cell r="A19">
            <v>0</v>
          </cell>
          <cell r="B19" t="str">
            <v>Lados laterales</v>
          </cell>
          <cell r="C19">
            <v>2</v>
          </cell>
          <cell r="D19">
            <v>5.9</v>
          </cell>
          <cell r="E19">
            <v>0.6</v>
          </cell>
          <cell r="F19">
            <v>0</v>
          </cell>
          <cell r="G19">
            <v>3.54</v>
          </cell>
          <cell r="H19">
            <v>7.08</v>
          </cell>
          <cell r="I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>
            <v>1.0702030199999997</v>
          </cell>
          <cell r="B21" t="str">
            <v>MOVIMIENTO DE TIERRAS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>
            <v>1.0702030200999997</v>
          </cell>
          <cell r="B22" t="str">
            <v>EXCAVACION EN TERRENO NORMAL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0.58499999999999996</v>
          </cell>
          <cell r="I22" t="str">
            <v>m3</v>
          </cell>
        </row>
        <row r="23">
          <cell r="A23">
            <v>0</v>
          </cell>
          <cell r="B23" t="str">
            <v>Excavación de hoyos</v>
          </cell>
          <cell r="C23">
            <v>13</v>
          </cell>
          <cell r="D23">
            <v>0.3</v>
          </cell>
          <cell r="E23">
            <v>0.3</v>
          </cell>
          <cell r="F23">
            <v>0.5</v>
          </cell>
          <cell r="G23">
            <v>4.4999999999999998E-2</v>
          </cell>
          <cell r="H23">
            <v>0.58499999999999996</v>
          </cell>
          <cell r="I23">
            <v>0</v>
          </cell>
        </row>
        <row r="24">
          <cell r="A24">
            <v>1.0702030201999997</v>
          </cell>
          <cell r="B24" t="str">
            <v>ELIMINACION DE MATERIAL EXCEDENTE DP=30M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0.70199999999999996</v>
          </cell>
          <cell r="I24" t="str">
            <v>m3</v>
          </cell>
        </row>
        <row r="25">
          <cell r="A25">
            <v>0</v>
          </cell>
          <cell r="B25" t="str">
            <v>esponjamiento = 1.2</v>
          </cell>
          <cell r="C25">
            <v>1</v>
          </cell>
          <cell r="D25">
            <v>1.2</v>
          </cell>
          <cell r="E25">
            <v>0.58499999999999996</v>
          </cell>
          <cell r="F25">
            <v>0</v>
          </cell>
          <cell r="G25">
            <v>0</v>
          </cell>
          <cell r="H25">
            <v>0.70199999999999996</v>
          </cell>
          <cell r="I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>
            <v>1.0702030299999996</v>
          </cell>
          <cell r="B28" t="str">
            <v>OBRAS DE CONCRETO SIMPLE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>
            <v>1.0702030300999996</v>
          </cell>
          <cell r="B29" t="str">
            <v>CONCRETO F'C=140 KG/CM2 + 30% PM, S/MEZCLADORA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0.58499999999999996</v>
          </cell>
          <cell r="I29" t="str">
            <v>m3</v>
          </cell>
        </row>
        <row r="30">
          <cell r="A30">
            <v>0</v>
          </cell>
          <cell r="B30" t="str">
            <v>Concreto f'c=140 kg/cm2</v>
          </cell>
          <cell r="C30">
            <v>13</v>
          </cell>
          <cell r="D30">
            <v>0.3</v>
          </cell>
          <cell r="E30">
            <v>0.3</v>
          </cell>
          <cell r="F30">
            <v>0.5</v>
          </cell>
          <cell r="G30">
            <v>4.4999999999999998E-2</v>
          </cell>
          <cell r="H30">
            <v>0.58499999999999996</v>
          </cell>
          <cell r="I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>
            <v>1.0702030399999996</v>
          </cell>
          <cell r="B32" t="str">
            <v>VARIOS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A33">
            <v>1.0702030400999996</v>
          </cell>
          <cell r="B33" t="str">
            <v>SUMINISTRO Y COLOCACION DE POSTES DE MADERA TRATADA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13</v>
          </cell>
          <cell r="I33" t="str">
            <v>und</v>
          </cell>
        </row>
        <row r="34">
          <cell r="A34">
            <v>0</v>
          </cell>
          <cell r="B34" t="str">
            <v>Suministro y Colocación de postes</v>
          </cell>
          <cell r="C34">
            <v>1</v>
          </cell>
          <cell r="D34">
            <v>13</v>
          </cell>
          <cell r="E34">
            <v>0</v>
          </cell>
          <cell r="F34">
            <v>0</v>
          </cell>
          <cell r="G34">
            <v>13</v>
          </cell>
          <cell r="H34">
            <v>13</v>
          </cell>
          <cell r="I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A37">
            <v>1.0702030401999996</v>
          </cell>
          <cell r="B37" t="str">
            <v>SUMINISTRO Y COLOCACION DE ALAMBRE DE PUAS</v>
          </cell>
          <cell r="C37">
            <v>0</v>
          </cell>
          <cell r="D37" t="str">
            <v>largo</v>
          </cell>
          <cell r="E37" t="str">
            <v>Hileras</v>
          </cell>
          <cell r="F37">
            <v>0</v>
          </cell>
          <cell r="G37">
            <v>0</v>
          </cell>
          <cell r="H37">
            <v>148.80000000000001</v>
          </cell>
          <cell r="I37" t="str">
            <v>m</v>
          </cell>
        </row>
        <row r="38">
          <cell r="A38">
            <v>0</v>
          </cell>
          <cell r="B38" t="str">
            <v>seis  hileras</v>
          </cell>
          <cell r="C38">
            <v>2</v>
          </cell>
          <cell r="D38">
            <v>6.8</v>
          </cell>
          <cell r="E38">
            <v>6</v>
          </cell>
          <cell r="F38">
            <v>0</v>
          </cell>
          <cell r="G38">
            <v>40.799999999999997</v>
          </cell>
          <cell r="H38">
            <v>81.599999999999994</v>
          </cell>
          <cell r="I38">
            <v>0</v>
          </cell>
        </row>
        <row r="39">
          <cell r="A39">
            <v>0</v>
          </cell>
          <cell r="B39">
            <v>0</v>
          </cell>
          <cell r="C39">
            <v>2</v>
          </cell>
          <cell r="D39">
            <v>5.6000000000000005</v>
          </cell>
          <cell r="E39">
            <v>6</v>
          </cell>
          <cell r="F39">
            <v>0</v>
          </cell>
          <cell r="G39">
            <v>33.6</v>
          </cell>
          <cell r="H39">
            <v>67.2</v>
          </cell>
          <cell r="I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>
            <v>1.0702030402999996</v>
          </cell>
          <cell r="B41" t="str">
            <v>SUMINISTRO Y COLOCACION DE PUERTA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1</v>
          </cell>
          <cell r="I41" t="str">
            <v>und</v>
          </cell>
        </row>
        <row r="42">
          <cell r="A42">
            <v>0</v>
          </cell>
          <cell r="B42" t="str">
            <v>Suministro y colocación de puerta de madera tratada inc. Candado</v>
          </cell>
          <cell r="C42">
            <v>1</v>
          </cell>
          <cell r="D42">
            <v>0</v>
          </cell>
          <cell r="E42">
            <v>0</v>
          </cell>
          <cell r="F42">
            <v>0</v>
          </cell>
          <cell r="G42">
            <v>1</v>
          </cell>
          <cell r="H42">
            <v>1</v>
          </cell>
          <cell r="I42">
            <v>0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6">
          <cell r="A36" t="str">
            <v>ITEM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LA"/>
      <sheetName val="0. Trabaj prel-SEguri"/>
      <sheetName val="1.4  BOCATOMA-FONDO"/>
      <sheetName val="3. DESARENADOR"/>
      <sheetName val="3.1 FILTRO LENTO."/>
      <sheetName val="4.1 Acero.F.L"/>
      <sheetName val="2. Linea.Cond "/>
      <sheetName val="3. METR. CRP-T6"/>
      <sheetName val="4.1. Val. Aire_LC "/>
      <sheetName val="4.2. Val. Purga_LC "/>
      <sheetName val="6.0 RAP. 12m3 "/>
      <sheetName val="6.1. Cerco Per. Reserv 12m3"/>
      <sheetName val="6.2. Acero. RAP. 12 m3"/>
      <sheetName val="7. Red.Distri"/>
      <sheetName val="8.1. CRP-T7 - 1A"/>
      <sheetName val="8.2.CRP-T7 - 2A"/>
      <sheetName val="7.2. CRP-T7 - 2B"/>
      <sheetName val="9.1. C.Val. control"/>
      <sheetName val="9.2. C.Val. Aire"/>
      <sheetName val="9.3. C.Val. Purga"/>
      <sheetName val="10. Conex.Domic"/>
      <sheetName val="12. Lavadero intr.domic"/>
      <sheetName val="13. FLETE"/>
      <sheetName val="3.1. FILTRO LENTO"/>
      <sheetName val="1.1. CLE_PACSHA"/>
      <sheetName val="1.2. CLP_"/>
      <sheetName val="3. PASE AEREO L= 80.0m"/>
      <sheetName val="5.CASCADA"/>
      <sheetName val="5. SEDIMENTADOR"/>
      <sheetName val="2.1.CAMARA DISTRIBUCION"/>
      <sheetName val="ACERO - C,DIST"/>
      <sheetName val="3.1. PASE AEREO L= 30.0m"/>
      <sheetName val="3.2. PASE AEREO L= 70.0m"/>
      <sheetName val="3.1. PASE AEREO L= 250.0m"/>
      <sheetName val="4.1. Val. Aire_LC"/>
      <sheetName val="4. FILTRO LENTO"/>
      <sheetName val="5.1. RAE, V=12.5 m3"/>
      <sheetName val="5.2. Cerco Per. RAE, V=12.5m3"/>
      <sheetName val="6.1. RAE, V=7.0 m3 "/>
      <sheetName val="6.2. Cerco Per. RAE, V=7.0 m3"/>
      <sheetName val="7.0 RAP, V=17.5 m3"/>
      <sheetName val="7.1. Cerco Per. RAP, V=17.5m3"/>
      <sheetName val="7.2. Acero. RAP, V=17.5 m3"/>
      <sheetName val="7.0 Reserv. 15 m3"/>
      <sheetName val="6.0 RAP. 12.00 m3 "/>
      <sheetName val="7.1. Cerco Per. Reserv 15m3"/>
      <sheetName val="6.1. Cerco Per. Reserv 14m3"/>
      <sheetName val="7.2. Acero. Reserv. 15 m3"/>
      <sheetName val="6.2. Acero. RAP. 14 m3"/>
      <sheetName val="4.Linea.Aducc"/>
      <sheetName val="7.0 RAP_01,V=3 m3 "/>
      <sheetName val="7.1 Acero. RAP_01,V=3 m3"/>
      <sheetName val="7.2 CERCO PER. RAP_01,V=3 m3"/>
      <sheetName val="8.0 RAP_02,V=5 m3"/>
      <sheetName val="8.1 Acero. RAP_02,V=5 m3"/>
      <sheetName val="8.2 CERCO PER. RAP_02,V=5 m3"/>
      <sheetName val="9.0 Reserv. 10 m3"/>
      <sheetName val="9.1. Cerco Per. Reserv 10m3 "/>
      <sheetName val="9.2. Acero. Reserv. 10 m3"/>
      <sheetName val="6.0 RAP. 5m3   "/>
      <sheetName val="6.1. Cerco Per. Reserv 5m3 "/>
      <sheetName val="6.2. Acero. RAP. 5 m3  "/>
      <sheetName val="10.1 PASE AEREO L= 8.0m"/>
      <sheetName val="10.2 PASE AEREO L= 15.0m"/>
      <sheetName val="7.3. CRP-T7-3A "/>
      <sheetName val="11. PILETA PUBL."/>
      <sheetName val="11. PILETA PUBLICA"/>
    </sheetNames>
    <sheetDataSet>
      <sheetData sheetId="0">
        <row r="3">
          <cell r="B3" t="str">
            <v>“AMPLIACION Y MEJORAMIENTO DEL SERVICIO DE AGUA POTABLE E INSTALACION DEL SANEAMIENTO BASICO EN LA LOCALIDAD DE SUPAYACU, DISTRITO DE HUARANGO, PROVINCIA DE SAN IGNACIO - CAJAMARCA”</v>
          </cell>
        </row>
      </sheetData>
      <sheetData sheetId="1"/>
      <sheetData sheetId="2">
        <row r="27">
          <cell r="A27">
            <v>1.0401009999999999</v>
          </cell>
        </row>
      </sheetData>
      <sheetData sheetId="3">
        <row r="29">
          <cell r="A29">
            <v>1.05</v>
          </cell>
        </row>
      </sheetData>
      <sheetData sheetId="4">
        <row r="36">
          <cell r="A36" t="str">
            <v>ITEM</v>
          </cell>
        </row>
      </sheetData>
      <sheetData sheetId="5"/>
      <sheetData sheetId="6">
        <row r="10">
          <cell r="B10">
            <v>1.06</v>
          </cell>
          <cell r="C10" t="str">
            <v xml:space="preserve">LINEA DE CONDUCCION 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 t="str">
            <v xml:space="preserve"> L=</v>
          </cell>
          <cell r="J10">
            <v>3669.4</v>
          </cell>
          <cell r="K10">
            <v>0</v>
          </cell>
          <cell r="L10">
            <v>0</v>
          </cell>
          <cell r="M10" t="str">
            <v>PLANO :</v>
          </cell>
          <cell r="N10" t="str">
            <v>AP</v>
          </cell>
        </row>
        <row r="11">
          <cell r="C11" t="str">
            <v xml:space="preserve">LINEA DE CONDUCCION </v>
          </cell>
        </row>
        <row r="12">
          <cell r="B12" t="str">
            <v>ITEM</v>
          </cell>
          <cell r="C12" t="str">
            <v>DESCRIPCION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 t="str">
            <v>UND</v>
          </cell>
          <cell r="I12" t="str">
            <v>CANT.</v>
          </cell>
          <cell r="J12" t="str">
            <v>DIMENSIONES</v>
          </cell>
          <cell r="K12">
            <v>0</v>
          </cell>
          <cell r="L12">
            <v>0</v>
          </cell>
          <cell r="M12" t="str">
            <v>PARCIAL</v>
          </cell>
          <cell r="N12" t="str">
            <v>TOTAL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LARGO</v>
          </cell>
          <cell r="K13" t="str">
            <v>ANCHO</v>
          </cell>
          <cell r="L13" t="str">
            <v>ALTO</v>
          </cell>
          <cell r="M13">
            <v>0</v>
          </cell>
          <cell r="N13">
            <v>0</v>
          </cell>
        </row>
        <row r="14">
          <cell r="B14">
            <v>1.0601</v>
          </cell>
          <cell r="C14" t="str">
            <v>LINEA DE CONDUCCION  L=3669.4 m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B15">
            <v>1.060101</v>
          </cell>
          <cell r="C15" t="str">
            <v>OBRAS PRELIMINARES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B16">
            <v>1.0601010099999999</v>
          </cell>
          <cell r="C16" t="str">
            <v>LIMPIEZA DE TERRENO MANUAL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 t="str">
            <v>m</v>
          </cell>
          <cell r="I16">
            <v>1</v>
          </cell>
          <cell r="J16">
            <v>3669.4</v>
          </cell>
          <cell r="K16">
            <v>0</v>
          </cell>
          <cell r="L16">
            <v>0</v>
          </cell>
          <cell r="M16">
            <v>3669.4</v>
          </cell>
          <cell r="N16">
            <v>3669.4</v>
          </cell>
        </row>
        <row r="17">
          <cell r="B17">
            <v>1.0601010199999998</v>
          </cell>
          <cell r="C17" t="str">
            <v>TRAZO, NIVELACION Y REPLANTEO DE ZANJAS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 t="str">
            <v>m</v>
          </cell>
          <cell r="I17">
            <v>1</v>
          </cell>
          <cell r="J17">
            <v>3669.4</v>
          </cell>
          <cell r="K17">
            <v>0</v>
          </cell>
          <cell r="L17">
            <v>0</v>
          </cell>
          <cell r="M17">
            <v>0</v>
          </cell>
          <cell r="N17">
            <v>3669.4</v>
          </cell>
        </row>
        <row r="18">
          <cell r="B18">
            <v>1.0601019999999999</v>
          </cell>
          <cell r="C18" t="str">
            <v>MOVIMIENTO DE TIERRAS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B19">
            <v>1.0601020099999998</v>
          </cell>
          <cell r="C19" t="str">
            <v>EXCAVACION EN TERRENO NORMAL DE 0.40 x 0.60 m P/TUB. AGUA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 t="str">
            <v>m</v>
          </cell>
          <cell r="I19">
            <v>1</v>
          </cell>
          <cell r="J19">
            <v>3669.4</v>
          </cell>
          <cell r="K19">
            <v>0</v>
          </cell>
          <cell r="L19">
            <v>0</v>
          </cell>
          <cell r="M19">
            <v>0</v>
          </cell>
          <cell r="N19">
            <v>3669.4</v>
          </cell>
        </row>
        <row r="20">
          <cell r="B20">
            <v>1.0601020199999998</v>
          </cell>
          <cell r="C20" t="str">
            <v>REFINE Y NIVELACION DE FONDOS PARA ZANJA P/TUB. AGUA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 t="str">
            <v>m</v>
          </cell>
          <cell r="I20">
            <v>1</v>
          </cell>
          <cell r="J20">
            <v>3669.4</v>
          </cell>
          <cell r="K20">
            <v>0</v>
          </cell>
          <cell r="L20">
            <v>0</v>
          </cell>
          <cell r="M20">
            <v>0</v>
          </cell>
          <cell r="N20">
            <v>3669.4</v>
          </cell>
        </row>
        <row r="21">
          <cell r="B21">
            <v>1.0601020299999997</v>
          </cell>
          <cell r="C21" t="str">
            <v xml:space="preserve">CAMA DE APOYO C/MAT. PROP. ZARANDEADO PARA TUBERIA  DE AGUA e=0.10 m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 t="str">
            <v>m</v>
          </cell>
          <cell r="I21">
            <v>1</v>
          </cell>
          <cell r="J21">
            <v>3669.4</v>
          </cell>
          <cell r="K21">
            <v>0</v>
          </cell>
          <cell r="L21">
            <v>0</v>
          </cell>
          <cell r="M21">
            <v>0</v>
          </cell>
          <cell r="N21">
            <v>3669.4</v>
          </cell>
        </row>
        <row r="22">
          <cell r="B22">
            <v>1.0601020399999996</v>
          </cell>
          <cell r="C22" t="str">
            <v>PRIMER RELLENO COMPACTADO DE ZANJA CON MAT. PROPIO  ZARANDEADO e=0.30 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 t="str">
            <v>m</v>
          </cell>
          <cell r="I22">
            <v>1</v>
          </cell>
          <cell r="J22">
            <v>3669.4</v>
          </cell>
          <cell r="K22">
            <v>0</v>
          </cell>
          <cell r="L22">
            <v>0</v>
          </cell>
          <cell r="M22">
            <v>0</v>
          </cell>
          <cell r="N22">
            <v>3669.4</v>
          </cell>
        </row>
        <row r="23">
          <cell r="B23">
            <v>1.0601020499999996</v>
          </cell>
          <cell r="C23" t="str">
            <v>SEGUNDO RELLENO CON MATERIAL PROPIO COMPACTADO e=0.20 m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 t="str">
            <v>m</v>
          </cell>
          <cell r="I23">
            <v>1</v>
          </cell>
          <cell r="J23">
            <v>3669.4</v>
          </cell>
          <cell r="K23">
            <v>0</v>
          </cell>
          <cell r="L23">
            <v>0</v>
          </cell>
          <cell r="M23">
            <v>0</v>
          </cell>
          <cell r="N23">
            <v>3669.4</v>
          </cell>
        </row>
        <row r="24">
          <cell r="B24">
            <v>1.0601020599999995</v>
          </cell>
          <cell r="C24" t="str">
            <v>ELIMINACION DE MATERIAL EXCEDENTE DP=30m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m3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168.79999999999995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 t="str">
            <v>Detalle de la Zanja en terreno Normal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 t="str">
            <v>Volumen de Excavación: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 t="str">
            <v>Vol.Exc. = 0.6 x 0.4 x 3669.44 = 880.6656 m3</v>
          </cell>
          <cell r="J29">
            <v>0</v>
          </cell>
          <cell r="K29">
            <v>0</v>
          </cell>
          <cell r="L29">
            <v>0</v>
          </cell>
          <cell r="M29">
            <v>880.66560000000015</v>
          </cell>
          <cell r="N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B31">
            <v>0</v>
          </cell>
          <cell r="C31" t="str">
            <v>N.T.N.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 t="str">
            <v>Esponjamiento: 15%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 t="str">
            <v>Vol.Esp. = 1.15 x 880.6656 = 1012.77 m3</v>
          </cell>
          <cell r="J32">
            <v>0</v>
          </cell>
          <cell r="K32">
            <v>0</v>
          </cell>
          <cell r="L32">
            <v>0</v>
          </cell>
          <cell r="M32">
            <v>1012.77</v>
          </cell>
          <cell r="N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0.2</v>
          </cell>
          <cell r="H34">
            <v>0</v>
          </cell>
          <cell r="I34" t="str">
            <v>Primer relleno con material propio zarandeado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 t="str">
            <v>Relleno Mat. Propio Zar. = 0.4 x 0.3 x 1 x 15 % esponj = 0.14 m3/ml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 t="str">
            <v>Vol.Cam. = 0.14 x 3669.44 = 513.7216 m3</v>
          </cell>
          <cell r="J36">
            <v>0</v>
          </cell>
          <cell r="K36">
            <v>0</v>
          </cell>
          <cell r="L36">
            <v>0</v>
          </cell>
          <cell r="M36">
            <v>513.72160000000008</v>
          </cell>
          <cell r="N36">
            <v>0</v>
          </cell>
        </row>
        <row r="37">
          <cell r="B37">
            <v>0</v>
          </cell>
          <cell r="C37">
            <v>0.60000000000000009</v>
          </cell>
          <cell r="D37">
            <v>0</v>
          </cell>
          <cell r="E37">
            <v>0</v>
          </cell>
          <cell r="F37">
            <v>0</v>
          </cell>
          <cell r="G37">
            <v>0.5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 t="str">
            <v>Segundo Relleno Propio Compactado: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0.3</v>
          </cell>
          <cell r="H39">
            <v>0</v>
          </cell>
          <cell r="I39" t="str">
            <v>Vol.Prop. = 0.4 x 0.2 x 1 x 15% esponj = 0.09 m3/ml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 t="str">
            <v>Vol.Prop. = 0.09 x 3669.44 = 330.2496 m3</v>
          </cell>
          <cell r="J40">
            <v>0</v>
          </cell>
          <cell r="K40">
            <v>0</v>
          </cell>
          <cell r="L40">
            <v>0</v>
          </cell>
          <cell r="M40">
            <v>330.24959999999999</v>
          </cell>
          <cell r="N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0.1</v>
          </cell>
          <cell r="H42">
            <v>0</v>
          </cell>
          <cell r="I42" t="str">
            <v>Volumen de acarreo: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 t="str">
            <v>Vol.Elim. = 1012.77 - 843.97 = 168.8 m3</v>
          </cell>
          <cell r="J43">
            <v>0</v>
          </cell>
          <cell r="K43">
            <v>0</v>
          </cell>
          <cell r="L43">
            <v>0</v>
          </cell>
          <cell r="M43">
            <v>168.79999999999995</v>
          </cell>
          <cell r="N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0.4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B47">
            <v>1.0601029999999998</v>
          </cell>
          <cell r="C47" t="str">
            <v>SUMINISTRO E INSTALACION DE TUBERIAS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B48">
            <v>1.0601030099999997</v>
          </cell>
          <cell r="C48" t="str">
            <v>SUMINISTRO E INST. DE TUBERIA PVC NTP 399.002  DN 1 1/2" C-10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 t="str">
            <v>m</v>
          </cell>
          <cell r="I48">
            <v>1</v>
          </cell>
          <cell r="J48">
            <v>3669.4</v>
          </cell>
          <cell r="K48">
            <v>0</v>
          </cell>
          <cell r="L48">
            <v>0</v>
          </cell>
          <cell r="M48">
            <v>0</v>
          </cell>
          <cell r="N48">
            <v>3669.4</v>
          </cell>
        </row>
        <row r="49">
          <cell r="B49">
            <v>1.0601030199999997</v>
          </cell>
          <cell r="C49" t="str">
            <v>PRUEBA HIDRAULICA P/TUB.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 t="str">
            <v>m</v>
          </cell>
          <cell r="I49">
            <v>1</v>
          </cell>
          <cell r="J49">
            <v>3669.4</v>
          </cell>
          <cell r="K49">
            <v>0</v>
          </cell>
          <cell r="L49">
            <v>0</v>
          </cell>
          <cell r="M49">
            <v>0</v>
          </cell>
          <cell r="N49">
            <v>3669.4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</sheetData>
      <sheetData sheetId="7"/>
      <sheetData sheetId="8"/>
      <sheetData sheetId="9"/>
      <sheetData sheetId="10">
        <row r="88">
          <cell r="A88">
            <v>1.07</v>
          </cell>
          <cell r="B88" t="str">
            <v>RESERVORIO APOYADO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A89">
            <v>1.0701000000000001</v>
          </cell>
          <cell r="B89" t="str">
            <v>RESERVORIO APOYADO V=12m3 (01 UND)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0">
          <cell r="A90">
            <v>1.070101</v>
          </cell>
          <cell r="B90" t="str">
            <v>TRABAJOS PRELIMINARES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A91">
            <v>1.0701010099999999</v>
          </cell>
          <cell r="B91" t="str">
            <v>LIMPIEZA DE TERRENO MANUAL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16.374423602330989</v>
          </cell>
          <cell r="J91" t="str">
            <v>m2</v>
          </cell>
        </row>
        <row r="92">
          <cell r="A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>
            <v>0</v>
          </cell>
          <cell r="B93" t="str">
            <v>DESCRIPCION</v>
          </cell>
          <cell r="C93">
            <v>0</v>
          </cell>
          <cell r="D93" t="str">
            <v>N° VECES</v>
          </cell>
          <cell r="E93" t="str">
            <v>LARGO</v>
          </cell>
          <cell r="F93" t="str">
            <v>ANCHO</v>
          </cell>
          <cell r="G93" t="str">
            <v>ALTO</v>
          </cell>
          <cell r="H93" t="str">
            <v>PARCIAL</v>
          </cell>
          <cell r="I93" t="str">
            <v>TOTAL</v>
          </cell>
          <cell r="J93" t="str">
            <v>UNIDAD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16.374423602330989</v>
          </cell>
          <cell r="J94" t="str">
            <v>m2</v>
          </cell>
        </row>
        <row r="95">
          <cell r="A95">
            <v>0</v>
          </cell>
          <cell r="B95" t="str">
            <v>RESERVORIO + ENROCADO</v>
          </cell>
          <cell r="C95">
            <v>0</v>
          </cell>
          <cell r="D95">
            <v>1</v>
          </cell>
          <cell r="E95">
            <v>4.2</v>
          </cell>
          <cell r="F95">
            <v>0</v>
          </cell>
          <cell r="G95">
            <v>0</v>
          </cell>
          <cell r="H95">
            <v>13.854423602330987</v>
          </cell>
          <cell r="I95">
            <v>0</v>
          </cell>
          <cell r="J95">
            <v>0</v>
          </cell>
        </row>
        <row r="96">
          <cell r="A96">
            <v>0</v>
          </cell>
          <cell r="B96" t="str">
            <v>CASETA DE VALVULAS</v>
          </cell>
          <cell r="C96">
            <v>0</v>
          </cell>
          <cell r="D96">
            <v>1</v>
          </cell>
          <cell r="E96">
            <v>1.8</v>
          </cell>
          <cell r="F96">
            <v>1.4</v>
          </cell>
          <cell r="G96">
            <v>0</v>
          </cell>
          <cell r="H96">
            <v>2.52</v>
          </cell>
          <cell r="I96">
            <v>0</v>
          </cell>
          <cell r="J96">
            <v>0</v>
          </cell>
        </row>
        <row r="97">
          <cell r="A97">
            <v>0</v>
          </cell>
          <cell r="C97">
            <v>0</v>
          </cell>
          <cell r="E97">
            <v>0</v>
          </cell>
          <cell r="F97">
            <v>0</v>
          </cell>
        </row>
        <row r="98">
          <cell r="A98">
            <v>0</v>
          </cell>
          <cell r="C98">
            <v>0</v>
          </cell>
          <cell r="E98">
            <v>0</v>
          </cell>
          <cell r="F98">
            <v>0</v>
          </cell>
        </row>
        <row r="99">
          <cell r="A99">
            <v>0</v>
          </cell>
          <cell r="C99">
            <v>0</v>
          </cell>
          <cell r="E99">
            <v>0</v>
          </cell>
          <cell r="F99">
            <v>0</v>
          </cell>
        </row>
        <row r="100">
          <cell r="A100">
            <v>0</v>
          </cell>
          <cell r="C100">
            <v>0</v>
          </cell>
          <cell r="E100">
            <v>0</v>
          </cell>
          <cell r="F100">
            <v>0</v>
          </cell>
        </row>
        <row r="101">
          <cell r="A101">
            <v>1.0701010199999998</v>
          </cell>
          <cell r="B101" t="str">
            <v>TRAZO Y REPLANTEO PRELIMINAR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16.374423602330989</v>
          </cell>
          <cell r="J101" t="str">
            <v>m2</v>
          </cell>
        </row>
        <row r="102">
          <cell r="A102">
            <v>0</v>
          </cell>
        </row>
        <row r="103">
          <cell r="A103">
            <v>0</v>
          </cell>
          <cell r="B103" t="str">
            <v>DESCRIPCION</v>
          </cell>
          <cell r="C103">
            <v>0</v>
          </cell>
          <cell r="D103" t="str">
            <v>N° VECES</v>
          </cell>
          <cell r="E103" t="str">
            <v>LARGO</v>
          </cell>
          <cell r="F103" t="str">
            <v>ANCHO</v>
          </cell>
          <cell r="G103" t="str">
            <v>ALTO</v>
          </cell>
          <cell r="H103" t="str">
            <v>PARCIAL</v>
          </cell>
          <cell r="I103" t="str">
            <v>TOTAL</v>
          </cell>
          <cell r="J103" t="str">
            <v>UNIDAD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16.374423602330989</v>
          </cell>
          <cell r="J104" t="str">
            <v>m2</v>
          </cell>
        </row>
        <row r="105">
          <cell r="A105">
            <v>0</v>
          </cell>
          <cell r="B105" t="str">
            <v>RESERVORIO + ENROCADO</v>
          </cell>
          <cell r="C105">
            <v>0</v>
          </cell>
          <cell r="D105">
            <v>1</v>
          </cell>
          <cell r="E105">
            <v>4.2</v>
          </cell>
          <cell r="F105">
            <v>0</v>
          </cell>
          <cell r="G105">
            <v>0</v>
          </cell>
          <cell r="H105">
            <v>13.854423602330987</v>
          </cell>
          <cell r="I105">
            <v>0</v>
          </cell>
          <cell r="J105">
            <v>0</v>
          </cell>
        </row>
        <row r="106">
          <cell r="A106">
            <v>0</v>
          </cell>
          <cell r="B106" t="str">
            <v>CASETA DE VALVULAS</v>
          </cell>
          <cell r="C106">
            <v>0</v>
          </cell>
          <cell r="D106">
            <v>1</v>
          </cell>
          <cell r="E106">
            <v>1.8</v>
          </cell>
          <cell r="F106">
            <v>1.4</v>
          </cell>
          <cell r="G106">
            <v>0</v>
          </cell>
          <cell r="H106">
            <v>2.52</v>
          </cell>
          <cell r="I106">
            <v>0</v>
          </cell>
          <cell r="J106">
            <v>0</v>
          </cell>
        </row>
        <row r="107">
          <cell r="A107">
            <v>0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</row>
        <row r="109">
          <cell r="A109">
            <v>1.0701019999999999</v>
          </cell>
          <cell r="B109" t="str">
            <v>ESTRUCTURAS</v>
          </cell>
        </row>
        <row r="110">
          <cell r="A110">
            <v>1.0701020099999998</v>
          </cell>
          <cell r="B110" t="str">
            <v>MOVIMIENTO DE TIERRAS</v>
          </cell>
        </row>
        <row r="111">
          <cell r="A111">
            <v>1.0701020100999998</v>
          </cell>
          <cell r="B111" t="str">
            <v>EXCAVACIÓN EN TERRENO NORMAL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6.8550094378628836</v>
          </cell>
          <cell r="J111" t="str">
            <v>m3</v>
          </cell>
        </row>
        <row r="112">
          <cell r="A112">
            <v>0</v>
          </cell>
          <cell r="I112">
            <v>0</v>
          </cell>
        </row>
        <row r="113">
          <cell r="A113">
            <v>0</v>
          </cell>
          <cell r="B113" t="str">
            <v>DESCRIPCION</v>
          </cell>
          <cell r="C113">
            <v>0</v>
          </cell>
          <cell r="D113" t="str">
            <v>N° VECES</v>
          </cell>
          <cell r="E113" t="str">
            <v>LARGO</v>
          </cell>
          <cell r="F113" t="str">
            <v>ANCHO</v>
          </cell>
          <cell r="G113" t="str">
            <v>ALTO</v>
          </cell>
          <cell r="H113" t="str">
            <v>PARCIAL</v>
          </cell>
          <cell r="I113" t="str">
            <v>TOTAL</v>
          </cell>
          <cell r="J113" t="str">
            <v>UNIDAD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6.8550094378628836</v>
          </cell>
          <cell r="J114" t="str">
            <v>m3</v>
          </cell>
        </row>
        <row r="115">
          <cell r="A115">
            <v>0</v>
          </cell>
          <cell r="B115" t="str">
            <v>Explanación</v>
          </cell>
          <cell r="C115">
            <v>0</v>
          </cell>
          <cell r="D115">
            <v>1</v>
          </cell>
          <cell r="E115">
            <v>16.374423602330989</v>
          </cell>
          <cell r="F115">
            <v>0</v>
          </cell>
          <cell r="G115">
            <v>0.1</v>
          </cell>
          <cell r="H115">
            <v>1.637442360233099</v>
          </cell>
          <cell r="I115">
            <v>0</v>
          </cell>
        </row>
        <row r="116">
          <cell r="A116">
            <v>0</v>
          </cell>
          <cell r="B116" t="str">
            <v>Para el reservorio</v>
          </cell>
          <cell r="C116">
            <v>0</v>
          </cell>
          <cell r="D116">
            <v>1</v>
          </cell>
          <cell r="E116">
            <v>3.3</v>
          </cell>
          <cell r="F116">
            <v>0</v>
          </cell>
          <cell r="G116">
            <v>0.5</v>
          </cell>
          <cell r="H116">
            <v>4.276492999699105</v>
          </cell>
          <cell r="I116">
            <v>0</v>
          </cell>
          <cell r="J116">
            <v>0</v>
          </cell>
        </row>
        <row r="117">
          <cell r="A117">
            <v>0</v>
          </cell>
          <cell r="B117" t="str">
            <v>Enrocado</v>
          </cell>
          <cell r="C117">
            <v>0</v>
          </cell>
          <cell r="D117">
            <v>1</v>
          </cell>
          <cell r="E117">
            <v>7.8214376029327788</v>
          </cell>
          <cell r="F117">
            <v>0</v>
          </cell>
          <cell r="G117">
            <v>0.2</v>
          </cell>
          <cell r="H117">
            <v>1.5642875205865558</v>
          </cell>
          <cell r="I117">
            <v>0</v>
          </cell>
          <cell r="J117">
            <v>0</v>
          </cell>
        </row>
        <row r="118">
          <cell r="A118">
            <v>0</v>
          </cell>
          <cell r="B118" t="str">
            <v>Descuento por cimiento</v>
          </cell>
          <cell r="C118">
            <v>0</v>
          </cell>
          <cell r="D118">
            <v>-1</v>
          </cell>
          <cell r="E118">
            <v>2.2999999999999998</v>
          </cell>
          <cell r="F118">
            <v>0</v>
          </cell>
          <cell r="G118">
            <v>0.15</v>
          </cell>
          <cell r="H118">
            <v>-0.62321344265587508</v>
          </cell>
          <cell r="I118">
            <v>0</v>
          </cell>
          <cell r="J118">
            <v>0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I120">
            <v>0</v>
          </cell>
        </row>
        <row r="121">
          <cell r="A121">
            <v>1.0701020101999998</v>
          </cell>
          <cell r="B121" t="str">
            <v>RELLENO CON MATERIAL PROPIO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1.3656503265154829</v>
          </cell>
          <cell r="J121" t="str">
            <v>m3</v>
          </cell>
        </row>
        <row r="122">
          <cell r="A122">
            <v>0</v>
          </cell>
          <cell r="I122">
            <v>0</v>
          </cell>
        </row>
        <row r="123">
          <cell r="A123">
            <v>0</v>
          </cell>
          <cell r="B123" t="str">
            <v>DESCRIPCION</v>
          </cell>
          <cell r="C123">
            <v>0</v>
          </cell>
          <cell r="D123" t="str">
            <v>N° VECES</v>
          </cell>
          <cell r="E123" t="str">
            <v>LARGO</v>
          </cell>
          <cell r="F123" t="str">
            <v>AREA</v>
          </cell>
          <cell r="G123" t="str">
            <v>FACTOR</v>
          </cell>
          <cell r="H123" t="str">
            <v>PARCIAL</v>
          </cell>
          <cell r="I123" t="str">
            <v>TOTAL</v>
          </cell>
          <cell r="J123" t="str">
            <v>UNIDAD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1.3656503265154829</v>
          </cell>
          <cell r="J124" t="str">
            <v>m3</v>
          </cell>
        </row>
        <row r="125">
          <cell r="A125">
            <v>0</v>
          </cell>
          <cell r="B125" t="str">
            <v>Para el reservorio</v>
          </cell>
          <cell r="C125">
            <v>0</v>
          </cell>
          <cell r="D125">
            <v>1</v>
          </cell>
          <cell r="E125">
            <v>10.838494654884785</v>
          </cell>
          <cell r="F125">
            <v>0.03</v>
          </cell>
          <cell r="G125">
            <v>1.2</v>
          </cell>
          <cell r="H125">
            <v>0.39018580757585225</v>
          </cell>
          <cell r="I125">
            <v>0</v>
          </cell>
          <cell r="J125">
            <v>0</v>
          </cell>
        </row>
        <row r="126">
          <cell r="A126">
            <v>0</v>
          </cell>
          <cell r="B126" t="str">
            <v>Extra por encofrado de cimiento</v>
          </cell>
          <cell r="C126">
            <v>0</v>
          </cell>
          <cell r="D126">
            <v>1</v>
          </cell>
          <cell r="E126">
            <v>10.838494654884785</v>
          </cell>
          <cell r="F126">
            <v>7.4999999999999997E-2</v>
          </cell>
          <cell r="G126">
            <v>1.2</v>
          </cell>
          <cell r="H126">
            <v>0.97546451893963071</v>
          </cell>
          <cell r="I126">
            <v>0</v>
          </cell>
          <cell r="J126">
            <v>0</v>
          </cell>
        </row>
        <row r="127">
          <cell r="A127">
            <v>0</v>
          </cell>
          <cell r="I127">
            <v>0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I128">
            <v>0</v>
          </cell>
        </row>
        <row r="129">
          <cell r="A129">
            <v>1.0701020102999999</v>
          </cell>
          <cell r="B129" t="str">
            <v>RELLENO CON MATERIAL DE PRÉSTAMO (AFIRMADO)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2.2770263553218824</v>
          </cell>
          <cell r="J129" t="str">
            <v>m3</v>
          </cell>
        </row>
        <row r="130">
          <cell r="A130">
            <v>0</v>
          </cell>
          <cell r="F130">
            <v>0</v>
          </cell>
          <cell r="I130">
            <v>0</v>
          </cell>
        </row>
        <row r="131">
          <cell r="A131">
            <v>0</v>
          </cell>
          <cell r="B131" t="str">
            <v>DESCRIPCION</v>
          </cell>
          <cell r="C131">
            <v>0</v>
          </cell>
          <cell r="D131" t="str">
            <v>N° VECES</v>
          </cell>
          <cell r="E131" t="str">
            <v>AREA</v>
          </cell>
          <cell r="F131" t="str">
            <v>ALTURA</v>
          </cell>
          <cell r="G131" t="str">
            <v>FACTOR</v>
          </cell>
          <cell r="H131" t="str">
            <v>PARCIAL</v>
          </cell>
          <cell r="I131" t="str">
            <v>TOTAL</v>
          </cell>
          <cell r="J131" t="str">
            <v>UNIDAD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2.2770263553218824</v>
          </cell>
          <cell r="J132" t="str">
            <v>m3</v>
          </cell>
        </row>
        <row r="133">
          <cell r="A133">
            <v>0</v>
          </cell>
          <cell r="B133" t="str">
            <v>Para el reservorio</v>
          </cell>
          <cell r="C133">
            <v>0</v>
          </cell>
          <cell r="D133">
            <v>1</v>
          </cell>
          <cell r="E133">
            <v>10.178760197630931</v>
          </cell>
          <cell r="F133">
            <v>0.1</v>
          </cell>
          <cell r="G133">
            <v>1.2</v>
          </cell>
          <cell r="H133">
            <v>1.2214512237157118</v>
          </cell>
          <cell r="I133">
            <v>0</v>
          </cell>
          <cell r="J133">
            <v>0</v>
          </cell>
        </row>
        <row r="134">
          <cell r="A134">
            <v>0</v>
          </cell>
          <cell r="B134" t="str">
            <v>Para enrocado</v>
          </cell>
          <cell r="C134">
            <v>0</v>
          </cell>
          <cell r="D134">
            <v>1</v>
          </cell>
          <cell r="E134">
            <v>8.7964594300514243</v>
          </cell>
          <cell r="F134">
            <v>0.1</v>
          </cell>
          <cell r="G134">
            <v>1.2</v>
          </cell>
          <cell r="H134">
            <v>1.0555751316061708</v>
          </cell>
          <cell r="I134">
            <v>0</v>
          </cell>
          <cell r="J134">
            <v>0</v>
          </cell>
        </row>
        <row r="135">
          <cell r="A135">
            <v>0</v>
          </cell>
          <cell r="F135">
            <v>0</v>
          </cell>
          <cell r="I135">
            <v>0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I136">
            <v>0</v>
          </cell>
        </row>
        <row r="137">
          <cell r="A137">
            <v>1.0701020103999999</v>
          </cell>
          <cell r="B137" t="str">
            <v>RELLENO CON MATERIAL DE PRESTAMO (GRAVA DE 4")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2.239327243478805</v>
          </cell>
          <cell r="J137" t="str">
            <v>m3</v>
          </cell>
        </row>
        <row r="138">
          <cell r="A138">
            <v>0</v>
          </cell>
          <cell r="F138">
            <v>0</v>
          </cell>
          <cell r="I138">
            <v>0</v>
          </cell>
        </row>
        <row r="139">
          <cell r="A139">
            <v>0</v>
          </cell>
          <cell r="B139" t="str">
            <v>DESCRIPCION</v>
          </cell>
          <cell r="C139">
            <v>0</v>
          </cell>
          <cell r="D139" t="str">
            <v>N° VECES</v>
          </cell>
          <cell r="E139" t="str">
            <v>AREA</v>
          </cell>
          <cell r="F139" t="str">
            <v>ALTURA</v>
          </cell>
          <cell r="G139" t="str">
            <v>FACTOR</v>
          </cell>
          <cell r="H139" t="str">
            <v>PARCIAL</v>
          </cell>
          <cell r="I139" t="str">
            <v>TOTAL</v>
          </cell>
          <cell r="J139" t="str">
            <v>UNIDAD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2.239327243478805</v>
          </cell>
          <cell r="J140" t="str">
            <v>m3</v>
          </cell>
        </row>
        <row r="141">
          <cell r="A141">
            <v>0</v>
          </cell>
          <cell r="B141" t="str">
            <v>Para el reservorio</v>
          </cell>
          <cell r="C141">
            <v>0</v>
          </cell>
          <cell r="D141">
            <v>1</v>
          </cell>
          <cell r="E141">
            <v>10.178760197630931</v>
          </cell>
          <cell r="F141">
            <v>0.2</v>
          </cell>
          <cell r="G141">
            <v>1.1000000000000001</v>
          </cell>
          <cell r="H141">
            <v>2.239327243478805</v>
          </cell>
          <cell r="I141">
            <v>0</v>
          </cell>
          <cell r="J141">
            <v>0</v>
          </cell>
        </row>
        <row r="142">
          <cell r="A142">
            <v>0</v>
          </cell>
          <cell r="F142">
            <v>0</v>
          </cell>
          <cell r="I142">
            <v>0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I143">
            <v>0</v>
          </cell>
        </row>
        <row r="144">
          <cell r="A144">
            <v>1.0701020104999999</v>
          </cell>
          <cell r="B144" t="str">
            <v>NIVELACIÓN INTERIOR Y APISONADO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18.975219627682357</v>
          </cell>
          <cell r="J144" t="str">
            <v>m2</v>
          </cell>
        </row>
        <row r="145">
          <cell r="A145">
            <v>0</v>
          </cell>
        </row>
        <row r="146">
          <cell r="A146">
            <v>0</v>
          </cell>
          <cell r="B146" t="str">
            <v>DESCRIPCION</v>
          </cell>
          <cell r="C146">
            <v>0</v>
          </cell>
          <cell r="D146" t="str">
            <v>N° VECES</v>
          </cell>
          <cell r="E146" t="str">
            <v>AREA</v>
          </cell>
          <cell r="F146" t="str">
            <v>ANCHO</v>
          </cell>
          <cell r="G146" t="str">
            <v>ALTURA</v>
          </cell>
          <cell r="H146" t="str">
            <v>PARCIAL</v>
          </cell>
          <cell r="I146" t="str">
            <v>TOTAL</v>
          </cell>
          <cell r="J146" t="str">
            <v>UNIDAD</v>
          </cell>
        </row>
        <row r="147">
          <cell r="A147">
            <v>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18.975219627682357</v>
          </cell>
          <cell r="J147" t="str">
            <v>m2</v>
          </cell>
        </row>
        <row r="148">
          <cell r="A148">
            <v>0</v>
          </cell>
          <cell r="B148" t="str">
            <v>Para el reservorio</v>
          </cell>
          <cell r="C148">
            <v>0</v>
          </cell>
          <cell r="D148">
            <v>1</v>
          </cell>
          <cell r="E148">
            <v>10.178760197630931</v>
          </cell>
          <cell r="F148">
            <v>0</v>
          </cell>
          <cell r="G148">
            <v>0</v>
          </cell>
          <cell r="H148">
            <v>10.178760197630931</v>
          </cell>
          <cell r="I148">
            <v>0</v>
          </cell>
          <cell r="J148">
            <v>0</v>
          </cell>
        </row>
        <row r="149">
          <cell r="A149">
            <v>0</v>
          </cell>
          <cell r="B149" t="str">
            <v>Para enrocado</v>
          </cell>
          <cell r="C149">
            <v>0</v>
          </cell>
          <cell r="D149">
            <v>1</v>
          </cell>
          <cell r="E149">
            <v>8.7964594300514243</v>
          </cell>
          <cell r="F149">
            <v>0</v>
          </cell>
          <cell r="G149">
            <v>0</v>
          </cell>
          <cell r="H149">
            <v>8.7964594300514243</v>
          </cell>
          <cell r="I149">
            <v>0</v>
          </cell>
          <cell r="J149">
            <v>0</v>
          </cell>
        </row>
        <row r="150">
          <cell r="A150">
            <v>0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</row>
        <row r="152">
          <cell r="A152">
            <v>1.0701020105999999</v>
          </cell>
          <cell r="B152" t="str">
            <v>ELIMINACION DE MATERIAL EXCEDENTE DP=30m.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6.860360998919977</v>
          </cell>
          <cell r="J152" t="str">
            <v>m3</v>
          </cell>
        </row>
        <row r="153">
          <cell r="A153">
            <v>0</v>
          </cell>
        </row>
        <row r="154">
          <cell r="A154">
            <v>0</v>
          </cell>
          <cell r="B154" t="str">
            <v>DESCRIPCION</v>
          </cell>
          <cell r="C154">
            <v>0</v>
          </cell>
          <cell r="D154" t="str">
            <v>N° VECES</v>
          </cell>
          <cell r="E154" t="str">
            <v>EXC.</v>
          </cell>
          <cell r="F154" t="str">
            <v>RELLENO</v>
          </cell>
          <cell r="G154" t="str">
            <v>ALTURA</v>
          </cell>
          <cell r="H154" t="str">
            <v>PARCIAL</v>
          </cell>
          <cell r="I154" t="str">
            <v>TOTAL</v>
          </cell>
          <cell r="J154" t="str">
            <v>UNIDAD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6.860360998919977</v>
          </cell>
          <cell r="J155" t="str">
            <v>m3</v>
          </cell>
        </row>
        <row r="156">
          <cell r="A156">
            <v>0</v>
          </cell>
          <cell r="B156" t="str">
            <v>Volumen descontado</v>
          </cell>
          <cell r="C156">
            <v>0</v>
          </cell>
          <cell r="D156">
            <v>1</v>
          </cell>
          <cell r="E156">
            <v>8.2260113254354597</v>
          </cell>
          <cell r="F156">
            <v>1.3656503265154829</v>
          </cell>
          <cell r="G156">
            <v>0</v>
          </cell>
          <cell r="H156">
            <v>6.860360998919977</v>
          </cell>
          <cell r="I156">
            <v>0</v>
          </cell>
          <cell r="J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1.0701020199999998</v>
          </cell>
          <cell r="B159" t="str">
            <v>CONCRETO SIMPLE</v>
          </cell>
        </row>
        <row r="160">
          <cell r="A160">
            <v>0</v>
          </cell>
        </row>
        <row r="161">
          <cell r="A161">
            <v>1.0701020200999998</v>
          </cell>
          <cell r="B161" t="str">
            <v>FALSA ZAPATA</v>
          </cell>
          <cell r="I161">
            <v>0</v>
          </cell>
        </row>
        <row r="162">
          <cell r="A162">
            <v>1.0701020201009999</v>
          </cell>
          <cell r="B162" t="str">
            <v>CONCRETO f'c=140 kg/cm2, S/MEZCLADORA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10.178760197630927</v>
          </cell>
          <cell r="J162" t="str">
            <v>m2</v>
          </cell>
        </row>
        <row r="163">
          <cell r="A163">
            <v>0</v>
          </cell>
          <cell r="B163">
            <v>0</v>
          </cell>
          <cell r="I163">
            <v>0</v>
          </cell>
          <cell r="J163">
            <v>0</v>
          </cell>
        </row>
        <row r="164">
          <cell r="A164">
            <v>0</v>
          </cell>
          <cell r="B164" t="str">
            <v>DESCRIPCION</v>
          </cell>
          <cell r="C164">
            <v>0</v>
          </cell>
          <cell r="D164" t="str">
            <v>N° VECES</v>
          </cell>
          <cell r="E164" t="str">
            <v>LARGO</v>
          </cell>
          <cell r="F164" t="str">
            <v>ANCHO</v>
          </cell>
          <cell r="G164" t="str">
            <v>ALTURA</v>
          </cell>
          <cell r="H164" t="str">
            <v>PARCIAL</v>
          </cell>
          <cell r="I164" t="str">
            <v>TOTAL</v>
          </cell>
          <cell r="J164" t="str">
            <v>UNIDAD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10.178760197630927</v>
          </cell>
          <cell r="J165" t="str">
            <v>m2</v>
          </cell>
        </row>
        <row r="166">
          <cell r="A166">
            <v>0</v>
          </cell>
          <cell r="B166" t="str">
            <v>Área de solado</v>
          </cell>
          <cell r="C166">
            <v>0</v>
          </cell>
          <cell r="D166">
            <v>1</v>
          </cell>
          <cell r="E166">
            <v>3.5999999999999996</v>
          </cell>
          <cell r="F166">
            <v>0</v>
          </cell>
          <cell r="G166">
            <v>0</v>
          </cell>
          <cell r="H166">
            <v>10.178760197630927</v>
          </cell>
          <cell r="I166">
            <v>0</v>
          </cell>
          <cell r="J166">
            <v>0</v>
          </cell>
        </row>
        <row r="167">
          <cell r="A167">
            <v>0</v>
          </cell>
          <cell r="B167">
            <v>0</v>
          </cell>
          <cell r="I167">
            <v>0</v>
          </cell>
          <cell r="J167">
            <v>0</v>
          </cell>
        </row>
        <row r="168">
          <cell r="A168">
            <v>0</v>
          </cell>
          <cell r="I168">
            <v>0</v>
          </cell>
        </row>
        <row r="169">
          <cell r="A169">
            <v>1.070102020102</v>
          </cell>
          <cell r="B169" t="str">
            <v>ENCOFRADO Y DESENCOFRADO NORMAL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3.0536280592892782</v>
          </cell>
          <cell r="J169" t="str">
            <v>m2</v>
          </cell>
        </row>
        <row r="170">
          <cell r="A170">
            <v>0</v>
          </cell>
          <cell r="B170">
            <v>0</v>
          </cell>
          <cell r="I170">
            <v>0</v>
          </cell>
          <cell r="J170">
            <v>0</v>
          </cell>
        </row>
        <row r="171">
          <cell r="A171">
            <v>0</v>
          </cell>
          <cell r="B171" t="str">
            <v>DESCRIPCION</v>
          </cell>
          <cell r="C171">
            <v>0</v>
          </cell>
          <cell r="D171" t="str">
            <v>N° VECES</v>
          </cell>
          <cell r="E171" t="str">
            <v>LARGO</v>
          </cell>
          <cell r="F171" t="str">
            <v>ANCHO</v>
          </cell>
          <cell r="G171" t="str">
            <v>ALTURA</v>
          </cell>
          <cell r="H171" t="str">
            <v>PARCIAL</v>
          </cell>
          <cell r="I171" t="str">
            <v>TOTAL</v>
          </cell>
          <cell r="J171" t="str">
            <v>UNIDAD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3.0536280592892782</v>
          </cell>
          <cell r="J172" t="str">
            <v>m2</v>
          </cell>
        </row>
        <row r="173">
          <cell r="A173">
            <v>0</v>
          </cell>
          <cell r="B173" t="str">
            <v>Frisos</v>
          </cell>
          <cell r="C173">
            <v>0</v>
          </cell>
          <cell r="D173">
            <v>1</v>
          </cell>
          <cell r="E173">
            <v>3.5999999999999996</v>
          </cell>
          <cell r="F173">
            <v>0</v>
          </cell>
          <cell r="G173">
            <v>0.3</v>
          </cell>
          <cell r="H173">
            <v>3.0536280592892782</v>
          </cell>
          <cell r="I173">
            <v>0</v>
          </cell>
          <cell r="J173">
            <v>0</v>
          </cell>
        </row>
        <row r="174">
          <cell r="A174">
            <v>0</v>
          </cell>
          <cell r="B174">
            <v>0</v>
          </cell>
          <cell r="I174">
            <v>0</v>
          </cell>
          <cell r="J174">
            <v>0</v>
          </cell>
        </row>
        <row r="175">
          <cell r="A175">
            <v>1.0701020201999998</v>
          </cell>
          <cell r="B175" t="str">
            <v>VEREDAS</v>
          </cell>
          <cell r="I175">
            <v>0</v>
          </cell>
        </row>
        <row r="176">
          <cell r="A176">
            <v>1.0701020202009999</v>
          </cell>
          <cell r="B176" t="str">
            <v>CONCRETO f'c=140 kg/cm2, S/MEZCLADORA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1.1592476891746333</v>
          </cell>
          <cell r="J176" t="str">
            <v>m3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</row>
        <row r="178">
          <cell r="A178">
            <v>0</v>
          </cell>
          <cell r="B178" t="str">
            <v>DESCRIPCION</v>
          </cell>
          <cell r="C178">
            <v>0</v>
          </cell>
          <cell r="D178" t="str">
            <v>N° VECES</v>
          </cell>
          <cell r="E178" t="str">
            <v>LARGO</v>
          </cell>
          <cell r="F178" t="str">
            <v>ANCHO</v>
          </cell>
          <cell r="G178" t="str">
            <v>ALTURA</v>
          </cell>
          <cell r="H178" t="str">
            <v>PARCIAL</v>
          </cell>
          <cell r="I178" t="str">
            <v>TOTAL</v>
          </cell>
          <cell r="J178" t="str">
            <v>UNIDAD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1.1592476891746333</v>
          </cell>
          <cell r="J179" t="str">
            <v>m3</v>
          </cell>
        </row>
        <row r="180">
          <cell r="A180">
            <v>0</v>
          </cell>
          <cell r="B180" t="str">
            <v>Volumen de veredas</v>
          </cell>
          <cell r="C180">
            <v>0</v>
          </cell>
          <cell r="D180">
            <v>1</v>
          </cell>
          <cell r="E180">
            <v>12.88052987971815</v>
          </cell>
          <cell r="F180">
            <v>0.89999999999999991</v>
          </cell>
          <cell r="G180">
            <v>0.1</v>
          </cell>
          <cell r="H180">
            <v>1.1592476891746333</v>
          </cell>
          <cell r="I180">
            <v>0</v>
          </cell>
          <cell r="J180">
            <v>0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</row>
        <row r="183">
          <cell r="A183">
            <v>1.070102020202</v>
          </cell>
          <cell r="B183" t="str">
            <v>ENCOFRADO Y DESENCOFRADO NORMAL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10.283185005736053</v>
          </cell>
          <cell r="J183" t="str">
            <v>m2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</row>
        <row r="185">
          <cell r="A185">
            <v>0</v>
          </cell>
          <cell r="B185" t="str">
            <v>DESCRIPCION</v>
          </cell>
          <cell r="C185">
            <v>0</v>
          </cell>
          <cell r="D185" t="str">
            <v>N° VECES</v>
          </cell>
          <cell r="E185" t="str">
            <v>LARGO</v>
          </cell>
          <cell r="F185" t="str">
            <v>ANCHO</v>
          </cell>
          <cell r="G185" t="str">
            <v>ALTURA</v>
          </cell>
          <cell r="H185" t="str">
            <v>PARCIAL</v>
          </cell>
          <cell r="I185" t="str">
            <v>TOTAL</v>
          </cell>
          <cell r="J185" t="str">
            <v>UNIDAD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10.283185005736053</v>
          </cell>
          <cell r="J186" t="str">
            <v>m2</v>
          </cell>
        </row>
        <row r="187">
          <cell r="A187">
            <v>0</v>
          </cell>
          <cell r="B187" t="str">
            <v>Encofrado de juntas</v>
          </cell>
          <cell r="C187">
            <v>0</v>
          </cell>
          <cell r="D187">
            <v>5</v>
          </cell>
          <cell r="E187">
            <v>0.9</v>
          </cell>
          <cell r="F187">
            <v>0</v>
          </cell>
          <cell r="G187">
            <v>0.1</v>
          </cell>
          <cell r="H187">
            <v>0.45</v>
          </cell>
          <cell r="I187">
            <v>0</v>
          </cell>
          <cell r="J187">
            <v>0</v>
          </cell>
        </row>
        <row r="188">
          <cell r="A188">
            <v>0</v>
          </cell>
          <cell r="B188" t="str">
            <v>Altura exterior</v>
          </cell>
          <cell r="C188">
            <v>0</v>
          </cell>
          <cell r="D188">
            <v>1</v>
          </cell>
          <cell r="E188">
            <v>4.7</v>
          </cell>
          <cell r="F188">
            <v>0</v>
          </cell>
          <cell r="G188">
            <v>0.30000000000000004</v>
          </cell>
          <cell r="H188">
            <v>4.429645641561609</v>
          </cell>
          <cell r="I188">
            <v>0</v>
          </cell>
          <cell r="J188">
            <v>0</v>
          </cell>
        </row>
        <row r="189">
          <cell r="A189">
            <v>0</v>
          </cell>
          <cell r="B189" t="str">
            <v>Altura interior izquierda</v>
          </cell>
          <cell r="C189">
            <v>0</v>
          </cell>
          <cell r="D189">
            <v>1</v>
          </cell>
          <cell r="E189">
            <v>4.5</v>
          </cell>
          <cell r="F189">
            <v>0</v>
          </cell>
          <cell r="G189">
            <v>0.2</v>
          </cell>
          <cell r="H189">
            <v>2.8274333882308138</v>
          </cell>
          <cell r="I189">
            <v>0</v>
          </cell>
          <cell r="J189">
            <v>0</v>
          </cell>
        </row>
        <row r="190">
          <cell r="A190">
            <v>0</v>
          </cell>
          <cell r="B190" t="str">
            <v>Altura interior derecha</v>
          </cell>
          <cell r="C190">
            <v>0</v>
          </cell>
          <cell r="D190">
            <v>1</v>
          </cell>
          <cell r="E190">
            <v>4.0999999999999996</v>
          </cell>
          <cell r="F190">
            <v>0</v>
          </cell>
          <cell r="G190">
            <v>0.2</v>
          </cell>
          <cell r="H190">
            <v>2.57610597594363</v>
          </cell>
          <cell r="I190">
            <v>0</v>
          </cell>
          <cell r="J190">
            <v>0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</row>
        <row r="193">
          <cell r="A193">
            <v>1.070102020203</v>
          </cell>
          <cell r="B193" t="str">
            <v>JUNTAS CON TEKNOPOR E=1"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1.0447052210247498</v>
          </cell>
          <cell r="J193" t="str">
            <v>m2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</row>
        <row r="195">
          <cell r="A195">
            <v>0</v>
          </cell>
          <cell r="B195" t="str">
            <v>DESCRIPCION</v>
          </cell>
          <cell r="C195">
            <v>0</v>
          </cell>
          <cell r="D195" t="str">
            <v>N° VECES</v>
          </cell>
          <cell r="E195" t="str">
            <v>LARGO</v>
          </cell>
          <cell r="F195" t="str">
            <v>ANCHO</v>
          </cell>
          <cell r="G195" t="str">
            <v>ALTURA</v>
          </cell>
          <cell r="H195" t="str">
            <v>PARCIAL</v>
          </cell>
          <cell r="I195" t="str">
            <v>TOTAL</v>
          </cell>
          <cell r="J195" t="str">
            <v>UNIDAD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1.0447052210247498</v>
          </cell>
          <cell r="J196" t="str">
            <v>m2</v>
          </cell>
        </row>
        <row r="197">
          <cell r="A197">
            <v>0</v>
          </cell>
          <cell r="B197" t="str">
            <v>Juntas</v>
          </cell>
          <cell r="C197">
            <v>0</v>
          </cell>
          <cell r="D197">
            <v>1</v>
          </cell>
          <cell r="E197">
            <v>10.447052210247497</v>
          </cell>
          <cell r="F197">
            <v>0</v>
          </cell>
          <cell r="G197">
            <v>0.1</v>
          </cell>
          <cell r="H197">
            <v>1.0447052210247498</v>
          </cell>
          <cell r="I197">
            <v>0</v>
          </cell>
          <cell r="J197">
            <v>0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</row>
        <row r="199">
          <cell r="A199">
            <v>1.0701020202040001</v>
          </cell>
          <cell r="B199" t="str">
            <v>SELLADO DE JUNTAS CON MASILLA DE POLIURETANO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15.947052210247497</v>
          </cell>
          <cell r="J199" t="str">
            <v>m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</row>
        <row r="201">
          <cell r="A201">
            <v>0</v>
          </cell>
          <cell r="B201" t="str">
            <v>DESCRIPCION</v>
          </cell>
          <cell r="C201">
            <v>0</v>
          </cell>
          <cell r="D201" t="str">
            <v>N° VECES</v>
          </cell>
          <cell r="E201" t="str">
            <v>LARGO</v>
          </cell>
          <cell r="F201" t="str">
            <v>ANCHO</v>
          </cell>
          <cell r="G201" t="str">
            <v>ALTURA</v>
          </cell>
          <cell r="H201" t="str">
            <v>PARCIAL</v>
          </cell>
          <cell r="I201" t="str">
            <v>TOTAL</v>
          </cell>
          <cell r="J201" t="str">
            <v>UNIDAD</v>
          </cell>
        </row>
        <row r="202">
          <cell r="A202">
            <v>0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15.947052210247497</v>
          </cell>
          <cell r="J202" t="str">
            <v>m</v>
          </cell>
        </row>
        <row r="203">
          <cell r="A203">
            <v>0</v>
          </cell>
          <cell r="B203" t="str">
            <v>Radial enrocado</v>
          </cell>
          <cell r="C203">
            <v>0</v>
          </cell>
          <cell r="D203">
            <v>5</v>
          </cell>
          <cell r="E203">
            <v>1.1000000000000001</v>
          </cell>
          <cell r="F203">
            <v>0</v>
          </cell>
          <cell r="G203">
            <v>0</v>
          </cell>
          <cell r="H203">
            <v>5.5</v>
          </cell>
          <cell r="I203">
            <v>0</v>
          </cell>
          <cell r="J203">
            <v>0</v>
          </cell>
        </row>
        <row r="204">
          <cell r="A204">
            <v>0</v>
          </cell>
          <cell r="B204" t="str">
            <v>Circunferencia reservorio</v>
          </cell>
          <cell r="C204">
            <v>0</v>
          </cell>
          <cell r="D204">
            <v>1</v>
          </cell>
          <cell r="E204">
            <v>10.447052210247497</v>
          </cell>
          <cell r="F204">
            <v>0</v>
          </cell>
          <cell r="G204">
            <v>0</v>
          </cell>
          <cell r="H204">
            <v>10.447052210247497</v>
          </cell>
          <cell r="I204">
            <v>0</v>
          </cell>
          <cell r="J204">
            <v>0</v>
          </cell>
        </row>
        <row r="205">
          <cell r="A205">
            <v>0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</row>
        <row r="206">
          <cell r="A206">
            <v>1.0701020202999998</v>
          </cell>
          <cell r="B206" t="str">
            <v>DADO DE CONCRETO EN REBOSE</v>
          </cell>
          <cell r="I206">
            <v>0</v>
          </cell>
        </row>
        <row r="207">
          <cell r="A207">
            <v>1.0701020203009999</v>
          </cell>
          <cell r="B207" t="str">
            <v>CONCRETO f'c=140 kg/cm2,S/MEZCLADORA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1.2E-2</v>
          </cell>
          <cell r="J207" t="str">
            <v>m3</v>
          </cell>
        </row>
        <row r="208">
          <cell r="A208">
            <v>0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>
            <v>0</v>
          </cell>
          <cell r="B209" t="str">
            <v>DESCRIPCION</v>
          </cell>
          <cell r="C209">
            <v>0</v>
          </cell>
          <cell r="D209" t="str">
            <v>N° VECES</v>
          </cell>
          <cell r="E209" t="str">
            <v>LARGO</v>
          </cell>
          <cell r="F209" t="str">
            <v>ANCHO</v>
          </cell>
          <cell r="G209" t="str">
            <v>ALTURA</v>
          </cell>
          <cell r="H209" t="str">
            <v>PARCIAL</v>
          </cell>
          <cell r="I209" t="str">
            <v>TOTAL</v>
          </cell>
          <cell r="J209" t="str">
            <v>UNIDAD</v>
          </cell>
        </row>
        <row r="210">
          <cell r="A210">
            <v>0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1.2E-2</v>
          </cell>
          <cell r="J210" t="str">
            <v>m3</v>
          </cell>
        </row>
        <row r="211">
          <cell r="A211">
            <v>0</v>
          </cell>
          <cell r="B211" t="str">
            <v>Concreto en dado</v>
          </cell>
          <cell r="C211">
            <v>0</v>
          </cell>
          <cell r="D211">
            <v>1</v>
          </cell>
          <cell r="E211">
            <v>0.3</v>
          </cell>
          <cell r="F211">
            <v>0.2</v>
          </cell>
          <cell r="G211">
            <v>0.2</v>
          </cell>
          <cell r="H211">
            <v>1.2E-2</v>
          </cell>
          <cell r="I211">
            <v>0</v>
          </cell>
          <cell r="J211">
            <v>0</v>
          </cell>
        </row>
        <row r="212">
          <cell r="A212">
            <v>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>
            <v>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</row>
        <row r="214">
          <cell r="A214">
            <v>1.070102020302</v>
          </cell>
          <cell r="B214" t="str">
            <v>CONCRETO  f'c=140 kg/cm2 + 30 PM, S/MEZCLADORA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0.15</v>
          </cell>
          <cell r="J214" t="str">
            <v>m3</v>
          </cell>
        </row>
        <row r="215">
          <cell r="A215">
            <v>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>
            <v>0</v>
          </cell>
          <cell r="B216" t="str">
            <v>DESCRIPCION</v>
          </cell>
          <cell r="C216">
            <v>0</v>
          </cell>
          <cell r="D216" t="str">
            <v>N° VECES</v>
          </cell>
          <cell r="E216" t="str">
            <v>LARGO</v>
          </cell>
          <cell r="F216" t="str">
            <v>ANCHO</v>
          </cell>
          <cell r="G216" t="str">
            <v>ALTURA</v>
          </cell>
          <cell r="H216" t="str">
            <v>PARCIAL</v>
          </cell>
          <cell r="I216" t="str">
            <v>TOTAL</v>
          </cell>
          <cell r="J216" t="str">
            <v>UNIDAD</v>
          </cell>
        </row>
        <row r="217">
          <cell r="A217">
            <v>0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0.15</v>
          </cell>
          <cell r="J217" t="str">
            <v>m3</v>
          </cell>
        </row>
        <row r="218">
          <cell r="A218">
            <v>0</v>
          </cell>
          <cell r="B218" t="str">
            <v>Concreto en zona de rebose</v>
          </cell>
          <cell r="C218">
            <v>0</v>
          </cell>
          <cell r="D218">
            <v>1</v>
          </cell>
          <cell r="E218">
            <v>1</v>
          </cell>
          <cell r="F218">
            <v>0.5</v>
          </cell>
          <cell r="G218">
            <v>0.3</v>
          </cell>
          <cell r="H218">
            <v>0.15</v>
          </cell>
          <cell r="I218">
            <v>0</v>
          </cell>
          <cell r="J218">
            <v>0</v>
          </cell>
        </row>
        <row r="219">
          <cell r="A219">
            <v>0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</row>
        <row r="220">
          <cell r="A220">
            <v>0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>
            <v>0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>
            <v>1.0701020203030001</v>
          </cell>
          <cell r="B222" t="str">
            <v>ENCOFRADO Y DESENCOFRADO NORMAL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0.24</v>
          </cell>
          <cell r="J222" t="str">
            <v>m2</v>
          </cell>
        </row>
        <row r="223">
          <cell r="A223">
            <v>0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</row>
        <row r="224">
          <cell r="A224">
            <v>0</v>
          </cell>
          <cell r="B224" t="str">
            <v>DESCRIPCION</v>
          </cell>
          <cell r="C224">
            <v>0</v>
          </cell>
          <cell r="D224" t="str">
            <v>N° VECES</v>
          </cell>
          <cell r="E224" t="str">
            <v>LARGO</v>
          </cell>
          <cell r="F224" t="str">
            <v>ANCHO</v>
          </cell>
          <cell r="G224" t="str">
            <v>ALTURA</v>
          </cell>
          <cell r="H224" t="str">
            <v>PARCIAL</v>
          </cell>
          <cell r="I224" t="str">
            <v>TOTAL</v>
          </cell>
          <cell r="J224" t="str">
            <v>UNIDAD</v>
          </cell>
        </row>
        <row r="225">
          <cell r="A225">
            <v>0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0.24</v>
          </cell>
          <cell r="J225" t="str">
            <v>m3</v>
          </cell>
        </row>
        <row r="226">
          <cell r="A226">
            <v>0</v>
          </cell>
          <cell r="B226" t="str">
            <v>Encofrado y desencofrado</v>
          </cell>
          <cell r="C226">
            <v>0</v>
          </cell>
          <cell r="D226">
            <v>4</v>
          </cell>
          <cell r="E226">
            <v>0.3</v>
          </cell>
          <cell r="F226">
            <v>0.2</v>
          </cell>
          <cell r="G226">
            <v>0</v>
          </cell>
          <cell r="H226">
            <v>0.24</v>
          </cell>
          <cell r="I226">
            <v>0</v>
          </cell>
          <cell r="J226">
            <v>0</v>
          </cell>
        </row>
        <row r="227">
          <cell r="A227">
            <v>0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A228">
            <v>0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>
            <v>1.0701020299999997</v>
          </cell>
          <cell r="B229" t="str">
            <v>CONCRETO ARMADO</v>
          </cell>
        </row>
        <row r="230">
          <cell r="A230">
            <v>1.0701020300999997</v>
          </cell>
          <cell r="B230" t="str">
            <v>ZAPATA CORRIDA</v>
          </cell>
          <cell r="I230">
            <v>0</v>
          </cell>
        </row>
        <row r="231">
          <cell r="A231">
            <v>1.0701020301009998</v>
          </cell>
          <cell r="B231" t="str">
            <v>CONCRETO f'c=210 kg/cm2 S/MEZCLADORA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1.4608405839192538</v>
          </cell>
          <cell r="J231" t="str">
            <v>m3</v>
          </cell>
        </row>
        <row r="232">
          <cell r="A232">
            <v>0</v>
          </cell>
        </row>
        <row r="233">
          <cell r="A233">
            <v>0</v>
          </cell>
          <cell r="B233" t="str">
            <v>DESCRIPCION</v>
          </cell>
          <cell r="C233">
            <v>0</v>
          </cell>
          <cell r="D233" t="str">
            <v>N° VECES</v>
          </cell>
          <cell r="E233" t="str">
            <v>LARGO</v>
          </cell>
          <cell r="F233" t="str">
            <v>ANCHO</v>
          </cell>
          <cell r="G233" t="str">
            <v>ALTURA</v>
          </cell>
          <cell r="H233" t="str">
            <v>PARCIAL</v>
          </cell>
          <cell r="I233" t="str">
            <v>TOTAL</v>
          </cell>
          <cell r="J233" t="str">
            <v>UNIDAD</v>
          </cell>
        </row>
        <row r="234">
          <cell r="A234">
            <v>0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1.4608405839192538</v>
          </cell>
          <cell r="J234" t="str">
            <v>m3</v>
          </cell>
        </row>
        <row r="235">
          <cell r="A235">
            <v>0</v>
          </cell>
          <cell r="B235" t="str">
            <v>zapata corrida</v>
          </cell>
          <cell r="C235">
            <v>0</v>
          </cell>
          <cell r="D235">
            <v>1</v>
          </cell>
          <cell r="E235">
            <v>9.7389372261283587</v>
          </cell>
          <cell r="F235">
            <v>0.5</v>
          </cell>
          <cell r="G235">
            <v>0.3</v>
          </cell>
          <cell r="H235">
            <v>1.4608405839192538</v>
          </cell>
          <cell r="I235">
            <v>0</v>
          </cell>
          <cell r="J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1.0701020301019999</v>
          </cell>
          <cell r="B238" t="str">
            <v>ENCOFRADO Y DESENCOFRADO NORMAL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3.3929200658769765</v>
          </cell>
          <cell r="J238" t="str">
            <v>m2</v>
          </cell>
        </row>
        <row r="239">
          <cell r="A239">
            <v>0</v>
          </cell>
        </row>
        <row r="240">
          <cell r="A240">
            <v>0</v>
          </cell>
          <cell r="B240" t="str">
            <v>DESCRIPCION</v>
          </cell>
          <cell r="C240">
            <v>0</v>
          </cell>
          <cell r="D240" t="str">
            <v>N° VECES</v>
          </cell>
          <cell r="E240" t="str">
            <v>LARGO</v>
          </cell>
          <cell r="F240" t="str">
            <v>ANCHO</v>
          </cell>
          <cell r="G240" t="str">
            <v>ALTURA</v>
          </cell>
          <cell r="H240" t="str">
            <v>PARCIAL</v>
          </cell>
          <cell r="I240" t="str">
            <v>TOTAL</v>
          </cell>
          <cell r="J240" t="str">
            <v>UNIDAD</v>
          </cell>
        </row>
        <row r="241">
          <cell r="A241">
            <v>0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3.3929200658769765</v>
          </cell>
          <cell r="J241" t="str">
            <v>m3</v>
          </cell>
        </row>
        <row r="242">
          <cell r="A242">
            <v>0</v>
          </cell>
          <cell r="B242" t="str">
            <v>Frisos</v>
          </cell>
          <cell r="C242">
            <v>0</v>
          </cell>
          <cell r="D242">
            <v>1</v>
          </cell>
          <cell r="E242">
            <v>11.309733552923255</v>
          </cell>
          <cell r="F242">
            <v>0</v>
          </cell>
          <cell r="G242">
            <v>0.3</v>
          </cell>
          <cell r="H242">
            <v>3.3929200658769765</v>
          </cell>
          <cell r="I242">
            <v>0</v>
          </cell>
          <cell r="J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1.070102030103</v>
          </cell>
          <cell r="B245" t="str">
            <v>ACERO CORRUGADO fy=4200 kg/cm2 GRADO 60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80.239101366060581</v>
          </cell>
          <cell r="J245" t="str">
            <v>kg</v>
          </cell>
        </row>
        <row r="246">
          <cell r="A246">
            <v>0</v>
          </cell>
        </row>
        <row r="247">
          <cell r="A247">
            <v>1.0701020301999997</v>
          </cell>
          <cell r="B247" t="str">
            <v>LOSA DE CIMENTACIÓN</v>
          </cell>
          <cell r="I247">
            <v>0</v>
          </cell>
        </row>
        <row r="248">
          <cell r="A248">
            <v>1.0701020302009998</v>
          </cell>
          <cell r="B248" t="str">
            <v>CONCRETO f'c=210 kg/cm2 S/MEZCLADORA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1.1645491267775665</v>
          </cell>
          <cell r="J248" t="str">
            <v>m3</v>
          </cell>
        </row>
        <row r="249">
          <cell r="A249">
            <v>0</v>
          </cell>
        </row>
        <row r="250">
          <cell r="A250">
            <v>0</v>
          </cell>
          <cell r="B250" t="str">
            <v>DESCRIPCION</v>
          </cell>
          <cell r="C250">
            <v>0</v>
          </cell>
          <cell r="D250" t="str">
            <v>N° VECES</v>
          </cell>
          <cell r="E250" t="str">
            <v>LARGO</v>
          </cell>
          <cell r="F250" t="str">
            <v>AREA</v>
          </cell>
          <cell r="G250" t="str">
            <v>ALTURA</v>
          </cell>
          <cell r="H250" t="str">
            <v>PARCIAL</v>
          </cell>
          <cell r="I250" t="str">
            <v>TOTAL</v>
          </cell>
          <cell r="J250" t="str">
            <v>UNIDAD</v>
          </cell>
        </row>
        <row r="251">
          <cell r="A251">
            <v>0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1.1645491267775665</v>
          </cell>
          <cell r="J251" t="str">
            <v>m3</v>
          </cell>
        </row>
        <row r="252">
          <cell r="A252">
            <v>0</v>
          </cell>
          <cell r="B252" t="str">
            <v>Losa</v>
          </cell>
          <cell r="C252">
            <v>0</v>
          </cell>
          <cell r="D252">
            <v>1</v>
          </cell>
          <cell r="E252">
            <v>3</v>
          </cell>
          <cell r="F252">
            <v>0</v>
          </cell>
          <cell r="G252">
            <v>0.15</v>
          </cell>
          <cell r="H252">
            <v>1.0602875205865552</v>
          </cell>
          <cell r="I252">
            <v>0</v>
          </cell>
          <cell r="J252">
            <v>0</v>
          </cell>
        </row>
        <row r="253">
          <cell r="A253">
            <v>0</v>
          </cell>
          <cell r="B253" t="str">
            <v>Cuña</v>
          </cell>
          <cell r="C253">
            <v>0</v>
          </cell>
          <cell r="D253">
            <v>1</v>
          </cell>
          <cell r="E253">
            <v>0.15</v>
          </cell>
          <cell r="F253">
            <v>0</v>
          </cell>
          <cell r="G253">
            <v>0.15</v>
          </cell>
          <cell r="H253">
            <v>0.10426160619101127</v>
          </cell>
          <cell r="I253">
            <v>0</v>
          </cell>
          <cell r="J253">
            <v>0</v>
          </cell>
        </row>
        <row r="254">
          <cell r="A254">
            <v>0</v>
          </cell>
        </row>
        <row r="255">
          <cell r="A255">
            <v>0</v>
          </cell>
          <cell r="B255">
            <v>0</v>
          </cell>
        </row>
        <row r="256">
          <cell r="A256">
            <v>1.0701020302019999</v>
          </cell>
          <cell r="B256" t="str">
            <v>ACERO CORRUGADO fy=4200 kg/cm2 GRADO 60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159.94392330000002</v>
          </cell>
          <cell r="J256" t="str">
            <v>kg</v>
          </cell>
        </row>
        <row r="257">
          <cell r="A257">
            <v>0</v>
          </cell>
        </row>
        <row r="258">
          <cell r="A258">
            <v>1.0701020302999997</v>
          </cell>
          <cell r="B258" t="str">
            <v>MURO DE CUBA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>
            <v>1.0701020303009998</v>
          </cell>
          <cell r="B259" t="str">
            <v>CONCRETO f'c=210 kg/cm2 S/MEZCLADORA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3.1172453105244706</v>
          </cell>
          <cell r="J259" t="str">
            <v>m3</v>
          </cell>
        </row>
        <row r="260">
          <cell r="A260">
            <v>0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>
            <v>0</v>
          </cell>
          <cell r="B261" t="str">
            <v>DESCRIPCION</v>
          </cell>
          <cell r="C261">
            <v>0</v>
          </cell>
          <cell r="D261" t="str">
            <v>N° VECES</v>
          </cell>
          <cell r="E261" t="str">
            <v>LONG. DIA. EXTE</v>
          </cell>
          <cell r="F261" t="str">
            <v>LONG. DIA. INT</v>
          </cell>
          <cell r="G261" t="str">
            <v>ALTURA</v>
          </cell>
          <cell r="H261" t="str">
            <v>PARCIAL</v>
          </cell>
          <cell r="I261" t="str">
            <v>TOTAL</v>
          </cell>
          <cell r="J261" t="str">
            <v>UNIDAD</v>
          </cell>
        </row>
        <row r="262">
          <cell r="A262">
            <v>0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3.1172453105244706</v>
          </cell>
          <cell r="J262" t="str">
            <v>m3</v>
          </cell>
        </row>
        <row r="263">
          <cell r="A263">
            <v>0</v>
          </cell>
          <cell r="B263" t="str">
            <v>Cuba</v>
          </cell>
          <cell r="C263">
            <v>0</v>
          </cell>
          <cell r="D263">
            <v>1</v>
          </cell>
          <cell r="E263">
            <v>3.3</v>
          </cell>
          <cell r="F263">
            <v>3</v>
          </cell>
          <cell r="G263">
            <v>2.1</v>
          </cell>
          <cell r="H263">
            <v>3.1172453105244706</v>
          </cell>
          <cell r="I263">
            <v>0</v>
          </cell>
          <cell r="J263">
            <v>0</v>
          </cell>
        </row>
        <row r="264">
          <cell r="A264">
            <v>0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>
            <v>1.0701020303019999</v>
          </cell>
          <cell r="B265" t="str">
            <v>ENCOFRADO Y DESENCOFRADO NORMAL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41.563270806992961</v>
          </cell>
          <cell r="J265" t="str">
            <v>m2</v>
          </cell>
        </row>
        <row r="266">
          <cell r="A266">
            <v>0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>
            <v>0</v>
          </cell>
          <cell r="B267" t="str">
            <v>DESCRIPCION</v>
          </cell>
          <cell r="C267">
            <v>0</v>
          </cell>
          <cell r="D267" t="str">
            <v>N° VECES</v>
          </cell>
          <cell r="E267" t="str">
            <v>LONG. DIA. EXTE</v>
          </cell>
          <cell r="F267" t="str">
            <v>LONG. DIA. INT</v>
          </cell>
          <cell r="G267" t="str">
            <v>ALTURA</v>
          </cell>
          <cell r="H267" t="str">
            <v>PARCIAL</v>
          </cell>
          <cell r="I267" t="str">
            <v>TOTAL</v>
          </cell>
          <cell r="J267" t="str">
            <v>UNIDAD</v>
          </cell>
        </row>
        <row r="268">
          <cell r="A268">
            <v>0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41.563270806992961</v>
          </cell>
          <cell r="J268" t="str">
            <v>m2</v>
          </cell>
        </row>
        <row r="269">
          <cell r="A269">
            <v>0</v>
          </cell>
          <cell r="B269" t="str">
            <v>Cuba exterior</v>
          </cell>
          <cell r="C269">
            <v>0</v>
          </cell>
          <cell r="D269">
            <v>1</v>
          </cell>
          <cell r="E269">
            <v>3.3</v>
          </cell>
          <cell r="F269">
            <v>0</v>
          </cell>
          <cell r="G269">
            <v>2.1</v>
          </cell>
          <cell r="H269">
            <v>21.771237089377266</v>
          </cell>
          <cell r="I269">
            <v>0</v>
          </cell>
          <cell r="J269">
            <v>0</v>
          </cell>
        </row>
        <row r="270">
          <cell r="A270">
            <v>0</v>
          </cell>
          <cell r="B270" t="str">
            <v>Cuba interior</v>
          </cell>
          <cell r="C270">
            <v>0</v>
          </cell>
          <cell r="D270">
            <v>1</v>
          </cell>
          <cell r="E270">
            <v>0</v>
          </cell>
          <cell r="F270">
            <v>3</v>
          </cell>
          <cell r="G270">
            <v>2.1</v>
          </cell>
          <cell r="H270">
            <v>19.792033717615698</v>
          </cell>
          <cell r="I270">
            <v>0</v>
          </cell>
          <cell r="J270">
            <v>0</v>
          </cell>
        </row>
        <row r="271">
          <cell r="A271">
            <v>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>
            <v>0</v>
          </cell>
        </row>
        <row r="273">
          <cell r="A273">
            <v>1.070102030303</v>
          </cell>
          <cell r="B273" t="str">
            <v>ACERO CORRUGADO fy=4200 kg/cm2 GRADO 60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409.5344719787347</v>
          </cell>
          <cell r="J273" t="str">
            <v>kg</v>
          </cell>
        </row>
        <row r="274">
          <cell r="A274">
            <v>0</v>
          </cell>
        </row>
        <row r="275">
          <cell r="A275">
            <v>1.0701020303999997</v>
          </cell>
          <cell r="B275" t="str">
            <v>LOSA DE TECHO</v>
          </cell>
          <cell r="I275">
            <v>0</v>
          </cell>
        </row>
        <row r="276">
          <cell r="A276">
            <v>1.0701020304009998</v>
          </cell>
          <cell r="B276" t="str">
            <v>CONCRETO f´c=210 Kg/cm2 S/MEZCLADORA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1.4431691252428112</v>
          </cell>
          <cell r="J276" t="str">
            <v>m3</v>
          </cell>
        </row>
        <row r="277">
          <cell r="A277">
            <v>0</v>
          </cell>
        </row>
        <row r="278">
          <cell r="A278">
            <v>0</v>
          </cell>
          <cell r="B278" t="str">
            <v>DESCRIPCION</v>
          </cell>
          <cell r="C278">
            <v>0</v>
          </cell>
          <cell r="D278" t="str">
            <v>N° VECES</v>
          </cell>
          <cell r="E278" t="str">
            <v>LONG. DIAM.</v>
          </cell>
          <cell r="F278" t="str">
            <v>ANCHO</v>
          </cell>
          <cell r="G278" t="str">
            <v>ALTURA</v>
          </cell>
          <cell r="H278" t="str">
            <v>PARCIAL</v>
          </cell>
          <cell r="I278" t="str">
            <v>TOTAL</v>
          </cell>
          <cell r="J278" t="str">
            <v>UNIDAD</v>
          </cell>
        </row>
        <row r="279">
          <cell r="A279">
            <v>0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1.4431691252428112</v>
          </cell>
          <cell r="J279" t="str">
            <v>m3</v>
          </cell>
        </row>
        <row r="280">
          <cell r="A280">
            <v>0</v>
          </cell>
          <cell r="B280" t="str">
            <v>Losa de techo</v>
          </cell>
          <cell r="C280">
            <v>0</v>
          </cell>
          <cell r="D280">
            <v>1</v>
          </cell>
          <cell r="E280">
            <v>3.5</v>
          </cell>
          <cell r="F280">
            <v>0</v>
          </cell>
          <cell r="G280">
            <v>0.15</v>
          </cell>
          <cell r="H280">
            <v>1.4431691252428112</v>
          </cell>
          <cell r="I280">
            <v>0</v>
          </cell>
          <cell r="J280">
            <v>0</v>
          </cell>
        </row>
        <row r="281">
          <cell r="A281">
            <v>0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</row>
        <row r="282">
          <cell r="A282">
            <v>0</v>
          </cell>
        </row>
        <row r="283">
          <cell r="A283">
            <v>1.0701020304019999</v>
          </cell>
          <cell r="B283" t="str">
            <v>ENCOFRADO Y DESENCOFRADO NORMAL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9.7860611159322062</v>
          </cell>
          <cell r="J283" t="str">
            <v>m2</v>
          </cell>
        </row>
        <row r="284">
          <cell r="A284">
            <v>0</v>
          </cell>
        </row>
        <row r="285">
          <cell r="A285">
            <v>0</v>
          </cell>
          <cell r="B285" t="str">
            <v>DESCRIPCION</v>
          </cell>
          <cell r="C285">
            <v>0</v>
          </cell>
          <cell r="D285" t="str">
            <v>N° VECES</v>
          </cell>
          <cell r="E285" t="str">
            <v>LONG. DIAM.</v>
          </cell>
          <cell r="F285" t="str">
            <v>AREA</v>
          </cell>
          <cell r="G285" t="str">
            <v>ALTURA</v>
          </cell>
          <cell r="H285" t="str">
            <v>PARCIAL</v>
          </cell>
          <cell r="I285" t="str">
            <v>TOTAL</v>
          </cell>
          <cell r="J285" t="str">
            <v>UNIDAD</v>
          </cell>
        </row>
        <row r="286">
          <cell r="A286">
            <v>0</v>
          </cell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9.7860611159322062</v>
          </cell>
          <cell r="J286" t="str">
            <v>m2</v>
          </cell>
        </row>
        <row r="287">
          <cell r="A287">
            <v>0</v>
          </cell>
          <cell r="B287" t="str">
            <v>Área interior</v>
          </cell>
          <cell r="C287">
            <v>0</v>
          </cell>
          <cell r="D287">
            <v>1</v>
          </cell>
          <cell r="E287">
            <v>3</v>
          </cell>
          <cell r="F287">
            <v>0</v>
          </cell>
          <cell r="G287">
            <v>0</v>
          </cell>
          <cell r="H287">
            <v>7.0685834705770345</v>
          </cell>
          <cell r="I287">
            <v>0</v>
          </cell>
          <cell r="J287">
            <v>0</v>
          </cell>
        </row>
        <row r="288">
          <cell r="A288">
            <v>0</v>
          </cell>
          <cell r="B288" t="str">
            <v>Área volado</v>
          </cell>
          <cell r="C288">
            <v>0</v>
          </cell>
          <cell r="D288">
            <v>1</v>
          </cell>
          <cell r="F288">
            <v>1.0681415022205305</v>
          </cell>
          <cell r="G288">
            <v>0</v>
          </cell>
          <cell r="H288">
            <v>1.0681415022205305</v>
          </cell>
          <cell r="I288">
            <v>0</v>
          </cell>
          <cell r="J288">
            <v>0</v>
          </cell>
        </row>
        <row r="289">
          <cell r="A289">
            <v>0</v>
          </cell>
          <cell r="B289" t="str">
            <v>Área frisos</v>
          </cell>
          <cell r="C289">
            <v>0</v>
          </cell>
          <cell r="D289">
            <v>1</v>
          </cell>
          <cell r="E289">
            <v>3.5</v>
          </cell>
          <cell r="F289">
            <v>0</v>
          </cell>
          <cell r="G289">
            <v>0.15</v>
          </cell>
          <cell r="H289">
            <v>1.6493361431346414</v>
          </cell>
          <cell r="I289">
            <v>0</v>
          </cell>
          <cell r="J289">
            <v>0</v>
          </cell>
        </row>
        <row r="290">
          <cell r="A290">
            <v>0</v>
          </cell>
        </row>
        <row r="291">
          <cell r="A291">
            <v>0</v>
          </cell>
          <cell r="B291">
            <v>0</v>
          </cell>
          <cell r="C291">
            <v>0</v>
          </cell>
          <cell r="D291">
            <v>0</v>
          </cell>
        </row>
        <row r="292">
          <cell r="A292">
            <v>1.070102030403</v>
          </cell>
          <cell r="B292" t="str">
            <v>ACERO CORRUGADO fy=4200 kg/cm2 GRADO 60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127.74888000000001</v>
          </cell>
          <cell r="J292" t="str">
            <v>kg</v>
          </cell>
        </row>
        <row r="293">
          <cell r="A293">
            <v>0</v>
          </cell>
        </row>
        <row r="294">
          <cell r="A294">
            <v>1.0701020399999996</v>
          </cell>
          <cell r="B294" t="str">
            <v>ESTRUCTURA METÁLICA</v>
          </cell>
        </row>
        <row r="295">
          <cell r="A295">
            <v>0</v>
          </cell>
        </row>
        <row r="296">
          <cell r="A296">
            <v>1.0701020400999997</v>
          </cell>
          <cell r="B296" t="str">
            <v>ESCALERA METÁLICA INTERIOR TIPO GATO 5/8" ACERO INOXIDABLE</v>
          </cell>
          <cell r="I296">
            <v>1</v>
          </cell>
          <cell r="J296" t="str">
            <v>und</v>
          </cell>
        </row>
        <row r="297">
          <cell r="A297">
            <v>0</v>
          </cell>
          <cell r="B297">
            <v>0</v>
          </cell>
          <cell r="I297">
            <v>0</v>
          </cell>
        </row>
        <row r="298">
          <cell r="A298">
            <v>0</v>
          </cell>
          <cell r="B298" t="str">
            <v>DESCRIPCION</v>
          </cell>
          <cell r="C298">
            <v>0</v>
          </cell>
          <cell r="D298" t="str">
            <v>LON/DIA EXT</v>
          </cell>
          <cell r="E298" t="str">
            <v>N°</v>
          </cell>
          <cell r="F298" t="str">
            <v>TOTAL</v>
          </cell>
          <cell r="I298">
            <v>0</v>
          </cell>
        </row>
        <row r="299">
          <cell r="A299">
            <v>0</v>
          </cell>
          <cell r="B299" t="str">
            <v>TUBERIA INOXIDABLE 5/8"</v>
          </cell>
          <cell r="C299">
            <v>0</v>
          </cell>
          <cell r="D299">
            <v>0.80500000000000005</v>
          </cell>
          <cell r="E299">
            <v>7</v>
          </cell>
          <cell r="F299">
            <v>5.6350000000000007</v>
          </cell>
          <cell r="I299">
            <v>0</v>
          </cell>
        </row>
        <row r="300">
          <cell r="A300">
            <v>0</v>
          </cell>
          <cell r="B300" t="str">
            <v>FIERRO CORRUGADO 3/8"</v>
          </cell>
          <cell r="C300">
            <v>0</v>
          </cell>
          <cell r="D300">
            <v>7.5999999999999998E-2</v>
          </cell>
          <cell r="E300">
            <v>14</v>
          </cell>
          <cell r="F300">
            <v>1.0640000000000001</v>
          </cell>
          <cell r="I300">
            <v>0</v>
          </cell>
        </row>
        <row r="301">
          <cell r="A301">
            <v>0</v>
          </cell>
          <cell r="B301" t="str">
            <v>SOLDADURA INOX</v>
          </cell>
          <cell r="C301">
            <v>0</v>
          </cell>
          <cell r="D301">
            <v>7.9796453401180745E-2</v>
          </cell>
          <cell r="E301">
            <v>14</v>
          </cell>
          <cell r="F301">
            <v>1.1171503476165303</v>
          </cell>
          <cell r="G301" t="str">
            <v>#VARILLAS =</v>
          </cell>
          <cell r="H301">
            <v>11.171503476165302</v>
          </cell>
          <cell r="I301">
            <v>0</v>
          </cell>
        </row>
        <row r="302">
          <cell r="A302">
            <v>0</v>
          </cell>
          <cell r="B302">
            <v>0</v>
          </cell>
          <cell r="G302" t="str">
            <v>Kilogramos=</v>
          </cell>
          <cell r="H302">
            <v>0.69821896726033139</v>
          </cell>
          <cell r="I302">
            <v>0</v>
          </cell>
        </row>
        <row r="303">
          <cell r="A303">
            <v>1.0701020401999997</v>
          </cell>
          <cell r="B303" t="str">
            <v>ESCALERA METALICA EXTERIOR TIPO GATO FºGº 5/8"</v>
          </cell>
          <cell r="I303">
            <v>1</v>
          </cell>
          <cell r="J303" t="str">
            <v>und</v>
          </cell>
        </row>
        <row r="304">
          <cell r="A304">
            <v>0</v>
          </cell>
          <cell r="B304">
            <v>0</v>
          </cell>
          <cell r="I304">
            <v>0</v>
          </cell>
        </row>
        <row r="305">
          <cell r="A305">
            <v>0</v>
          </cell>
          <cell r="B305" t="str">
            <v>DESCRIPCION</v>
          </cell>
          <cell r="C305">
            <v>0</v>
          </cell>
          <cell r="D305" t="str">
            <v>LON/DIA EXT</v>
          </cell>
          <cell r="E305" t="str">
            <v>N°</v>
          </cell>
          <cell r="F305" t="str">
            <v>TOTAL</v>
          </cell>
          <cell r="I305">
            <v>0</v>
          </cell>
        </row>
        <row r="306">
          <cell r="A306">
            <v>0</v>
          </cell>
          <cell r="B306" t="str">
            <v>TUBERIA INOXIDABLE 5/8"</v>
          </cell>
          <cell r="C306">
            <v>0</v>
          </cell>
          <cell r="D306">
            <v>0.80500000000000005</v>
          </cell>
          <cell r="E306">
            <v>7</v>
          </cell>
          <cell r="F306">
            <v>5.6350000000000007</v>
          </cell>
          <cell r="I306">
            <v>0</v>
          </cell>
        </row>
        <row r="307">
          <cell r="A307">
            <v>0</v>
          </cell>
          <cell r="B307" t="str">
            <v>FIERRO CORRUGADO 3/8"</v>
          </cell>
          <cell r="C307">
            <v>0</v>
          </cell>
          <cell r="D307">
            <v>7.5999999999999998E-2</v>
          </cell>
          <cell r="E307">
            <v>14</v>
          </cell>
          <cell r="F307">
            <v>1.0640000000000001</v>
          </cell>
          <cell r="I307">
            <v>0</v>
          </cell>
        </row>
        <row r="308">
          <cell r="A308">
            <v>0</v>
          </cell>
          <cell r="B308" t="str">
            <v>SOLADADURA INOX</v>
          </cell>
          <cell r="C308">
            <v>0</v>
          </cell>
          <cell r="D308">
            <v>7.9796453401180745E-2</v>
          </cell>
          <cell r="E308">
            <v>14</v>
          </cell>
          <cell r="F308">
            <v>1.1171503476165303</v>
          </cell>
          <cell r="G308" t="str">
            <v>#VARILLAS =</v>
          </cell>
          <cell r="H308">
            <v>11.171503476165302</v>
          </cell>
          <cell r="I308">
            <v>0</v>
          </cell>
        </row>
        <row r="309">
          <cell r="A309">
            <v>0</v>
          </cell>
          <cell r="B309">
            <v>0</v>
          </cell>
          <cell r="G309" t="str">
            <v>Kilogramos=</v>
          </cell>
          <cell r="H309">
            <v>0.69821896726033139</v>
          </cell>
          <cell r="I309">
            <v>0</v>
          </cell>
        </row>
        <row r="310">
          <cell r="A310">
            <v>0</v>
          </cell>
          <cell r="B310">
            <v>0</v>
          </cell>
          <cell r="I310">
            <v>0</v>
          </cell>
        </row>
        <row r="311">
          <cell r="A311">
            <v>1.0701020402999997</v>
          </cell>
          <cell r="B311" t="str">
            <v>TAPA METALICA P/RESERVORIO DE 0.60x0.60m E=1/8"</v>
          </cell>
          <cell r="I311">
            <v>1</v>
          </cell>
          <cell r="J311" t="str">
            <v>und</v>
          </cell>
        </row>
        <row r="312">
          <cell r="A312">
            <v>0</v>
          </cell>
        </row>
        <row r="313">
          <cell r="A313">
            <v>1.0701029999999998</v>
          </cell>
          <cell r="B313" t="str">
            <v>ARQUITECTURA</v>
          </cell>
        </row>
        <row r="314">
          <cell r="A314">
            <v>1.0701030099999997</v>
          </cell>
          <cell r="B314" t="str">
            <v>REVOQUES Y ENLUCIDOS</v>
          </cell>
        </row>
        <row r="315">
          <cell r="A315">
            <v>0</v>
          </cell>
          <cell r="B315">
            <v>0</v>
          </cell>
          <cell r="I315">
            <v>0</v>
          </cell>
          <cell r="J315">
            <v>0</v>
          </cell>
        </row>
        <row r="316">
          <cell r="A316">
            <v>1.0701030100999998</v>
          </cell>
          <cell r="B316" t="str">
            <v xml:space="preserve">TARRAJEO INT. Y EXT. MEZC. 1:2 E=1.5 cm 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38.625881675886504</v>
          </cell>
          <cell r="J316" t="str">
            <v>m2</v>
          </cell>
        </row>
        <row r="317">
          <cell r="A317">
            <v>0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</row>
        <row r="318">
          <cell r="A318">
            <v>0</v>
          </cell>
          <cell r="B318" t="str">
            <v>DESCRIPCION</v>
          </cell>
          <cell r="C318">
            <v>0</v>
          </cell>
          <cell r="D318" t="str">
            <v>N° VECES</v>
          </cell>
          <cell r="E318" t="str">
            <v>LONG. DIAM.</v>
          </cell>
          <cell r="F318" t="str">
            <v>ANCHO</v>
          </cell>
          <cell r="G318" t="str">
            <v>ALTURA</v>
          </cell>
          <cell r="H318" t="str">
            <v>PARCIAL</v>
          </cell>
          <cell r="I318" t="str">
            <v>TOTAL</v>
          </cell>
          <cell r="J318" t="str">
            <v>UNIDAD</v>
          </cell>
        </row>
        <row r="319">
          <cell r="A319">
            <v>0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38.625881675886504</v>
          </cell>
          <cell r="J319" t="str">
            <v>m2</v>
          </cell>
        </row>
        <row r="320">
          <cell r="A320">
            <v>0</v>
          </cell>
          <cell r="B320" t="str">
            <v>Área paredes externas</v>
          </cell>
          <cell r="C320">
            <v>0</v>
          </cell>
          <cell r="D320">
            <v>1</v>
          </cell>
          <cell r="E320">
            <v>10.367255756846317</v>
          </cell>
          <cell r="F320">
            <v>0</v>
          </cell>
          <cell r="G320">
            <v>2.1</v>
          </cell>
          <cell r="H320">
            <v>21.771237089377266</v>
          </cell>
          <cell r="I320">
            <v>0</v>
          </cell>
          <cell r="J320">
            <v>0</v>
          </cell>
        </row>
        <row r="321">
          <cell r="A321">
            <v>0</v>
          </cell>
          <cell r="B321" t="str">
            <v xml:space="preserve">Área interna losa de techo </v>
          </cell>
          <cell r="C321">
            <v>0</v>
          </cell>
          <cell r="D321">
            <v>1</v>
          </cell>
          <cell r="E321">
            <v>3</v>
          </cell>
          <cell r="F321">
            <v>0</v>
          </cell>
          <cell r="G321">
            <v>0</v>
          </cell>
          <cell r="H321">
            <v>7.0685834705770345</v>
          </cell>
          <cell r="I321">
            <v>0</v>
          </cell>
          <cell r="J321">
            <v>0</v>
          </cell>
        </row>
        <row r="322">
          <cell r="A322">
            <v>0</v>
          </cell>
          <cell r="B322" t="str">
            <v xml:space="preserve">Área externa losa de techo </v>
          </cell>
          <cell r="C322">
            <v>0</v>
          </cell>
          <cell r="D322">
            <v>1</v>
          </cell>
          <cell r="E322">
            <v>9.7860611159322062</v>
          </cell>
          <cell r="F322">
            <v>0</v>
          </cell>
          <cell r="G322">
            <v>0</v>
          </cell>
          <cell r="H322">
            <v>9.7860611159322062</v>
          </cell>
          <cell r="I322">
            <v>0</v>
          </cell>
          <cell r="J322">
            <v>0</v>
          </cell>
        </row>
        <row r="323">
          <cell r="A323">
            <v>0</v>
          </cell>
          <cell r="B323" t="str">
            <v xml:space="preserve">Área descontada por tapa </v>
          </cell>
          <cell r="C323">
            <v>0</v>
          </cell>
          <cell r="D323">
            <v>-1</v>
          </cell>
          <cell r="E323">
            <v>0.6</v>
          </cell>
          <cell r="F323">
            <v>0.6</v>
          </cell>
          <cell r="G323">
            <v>0</v>
          </cell>
          <cell r="H323">
            <v>-0.36</v>
          </cell>
          <cell r="I323">
            <v>0</v>
          </cell>
          <cell r="J323">
            <v>0</v>
          </cell>
        </row>
        <row r="324">
          <cell r="A324">
            <v>0</v>
          </cell>
          <cell r="B324" t="str">
            <v xml:space="preserve">Área de frizos en tapa </v>
          </cell>
          <cell r="C324">
            <v>0</v>
          </cell>
          <cell r="D324">
            <v>1</v>
          </cell>
          <cell r="E324">
            <v>2.4</v>
          </cell>
          <cell r="F324">
            <v>0</v>
          </cell>
          <cell r="G324">
            <v>0.15</v>
          </cell>
          <cell r="H324">
            <v>0.36</v>
          </cell>
          <cell r="I324">
            <v>0</v>
          </cell>
          <cell r="J324">
            <v>0</v>
          </cell>
        </row>
        <row r="325">
          <cell r="A325">
            <v>0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</row>
        <row r="326">
          <cell r="A326">
            <v>0</v>
          </cell>
          <cell r="B326">
            <v>0</v>
          </cell>
          <cell r="I326">
            <v>0</v>
          </cell>
          <cell r="J326">
            <v>0</v>
          </cell>
        </row>
        <row r="327">
          <cell r="A327">
            <v>1.0701030101999998</v>
          </cell>
          <cell r="B327" t="str">
            <v xml:space="preserve">TARRAJEO INTERIOR CON IMPERMEABILIZANTE C:A 1:1, E=2.0cm 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26.860617188192734</v>
          </cell>
          <cell r="J327" t="str">
            <v>m2</v>
          </cell>
        </row>
        <row r="328">
          <cell r="A328">
            <v>0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</row>
        <row r="329">
          <cell r="A329">
            <v>0</v>
          </cell>
          <cell r="B329" t="str">
            <v>DESCRIPCION</v>
          </cell>
          <cell r="C329">
            <v>0</v>
          </cell>
          <cell r="D329" t="str">
            <v>N° VECES</v>
          </cell>
          <cell r="E329" t="str">
            <v>LONG. DIAM.</v>
          </cell>
          <cell r="F329" t="str">
            <v>ANCHO</v>
          </cell>
          <cell r="G329" t="str">
            <v>ALTURA</v>
          </cell>
          <cell r="H329" t="str">
            <v>PARCIAL</v>
          </cell>
          <cell r="I329" t="str">
            <v>TOTAL</v>
          </cell>
          <cell r="J329" t="str">
            <v>UNIDAD</v>
          </cell>
        </row>
        <row r="330">
          <cell r="A330">
            <v>0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26.860617188192734</v>
          </cell>
          <cell r="J330" t="str">
            <v>m2</v>
          </cell>
        </row>
        <row r="331">
          <cell r="A331">
            <v>0</v>
          </cell>
          <cell r="B331" t="str">
            <v>Área paredes internas</v>
          </cell>
          <cell r="C331">
            <v>0</v>
          </cell>
          <cell r="D331">
            <v>1</v>
          </cell>
          <cell r="E331">
            <v>9.4247779607693793</v>
          </cell>
          <cell r="F331">
            <v>0</v>
          </cell>
          <cell r="G331">
            <v>2.1</v>
          </cell>
          <cell r="H331">
            <v>19.792033717615698</v>
          </cell>
          <cell r="I331">
            <v>0</v>
          </cell>
          <cell r="J331">
            <v>0</v>
          </cell>
        </row>
        <row r="332">
          <cell r="A332">
            <v>0</v>
          </cell>
          <cell r="B332" t="str">
            <v>Área de losa de fondo</v>
          </cell>
          <cell r="C332">
            <v>0</v>
          </cell>
          <cell r="D332">
            <v>1</v>
          </cell>
          <cell r="E332">
            <v>3</v>
          </cell>
          <cell r="F332">
            <v>0</v>
          </cell>
          <cell r="G332">
            <v>0</v>
          </cell>
          <cell r="H332">
            <v>7.0685834705770345</v>
          </cell>
          <cell r="I332">
            <v>0</v>
          </cell>
          <cell r="J332">
            <v>0</v>
          </cell>
        </row>
        <row r="333">
          <cell r="A333">
            <v>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</row>
        <row r="334">
          <cell r="A334">
            <v>0</v>
          </cell>
          <cell r="B334">
            <v>0</v>
          </cell>
          <cell r="I334">
            <v>0</v>
          </cell>
          <cell r="J334">
            <v>0</v>
          </cell>
        </row>
        <row r="335">
          <cell r="A335">
            <v>1.0701030102999998</v>
          </cell>
          <cell r="B335" t="str">
            <v xml:space="preserve">TARRAJEO EN PENDIENTE DE FONDO MORTERO 1:5 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7.0685834705770345</v>
          </cell>
          <cell r="J335" t="str">
            <v>m2</v>
          </cell>
        </row>
        <row r="336">
          <cell r="A336">
            <v>0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</row>
        <row r="337">
          <cell r="A337">
            <v>0</v>
          </cell>
          <cell r="B337" t="str">
            <v>DESCRIPCION</v>
          </cell>
          <cell r="C337">
            <v>0</v>
          </cell>
          <cell r="D337" t="str">
            <v>N° VECES</v>
          </cell>
          <cell r="E337" t="str">
            <v>LONG. DIAM.</v>
          </cell>
          <cell r="F337" t="str">
            <v>ANCHO</v>
          </cell>
          <cell r="G337" t="str">
            <v>ALTURA</v>
          </cell>
          <cell r="H337" t="str">
            <v>PARCIAL</v>
          </cell>
          <cell r="I337" t="str">
            <v>TOTAL</v>
          </cell>
          <cell r="J337" t="str">
            <v>UNIDAD</v>
          </cell>
        </row>
        <row r="338">
          <cell r="A338">
            <v>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7.0685834705770345</v>
          </cell>
          <cell r="J338" t="str">
            <v>m2</v>
          </cell>
        </row>
        <row r="339">
          <cell r="A339">
            <v>0</v>
          </cell>
          <cell r="B339" t="str">
            <v>Área de losa de fondo con pendiente</v>
          </cell>
          <cell r="C339">
            <v>0</v>
          </cell>
          <cell r="D339">
            <v>1</v>
          </cell>
          <cell r="E339">
            <v>3</v>
          </cell>
          <cell r="F339">
            <v>0</v>
          </cell>
          <cell r="G339">
            <v>0</v>
          </cell>
          <cell r="H339">
            <v>7.0685834705770345</v>
          </cell>
          <cell r="I339">
            <v>0</v>
          </cell>
          <cell r="J339">
            <v>0</v>
          </cell>
        </row>
        <row r="340">
          <cell r="A340">
            <v>0</v>
          </cell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</row>
        <row r="341">
          <cell r="A341">
            <v>0</v>
          </cell>
        </row>
        <row r="342">
          <cell r="A342">
            <v>1.0701030103999998</v>
          </cell>
          <cell r="B342" t="str">
            <v xml:space="preserve">OCHAVO SANITARIO MORTERO 1:5 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9.4247779607693793</v>
          </cell>
          <cell r="J342" t="str">
            <v>m</v>
          </cell>
        </row>
        <row r="343">
          <cell r="A343">
            <v>0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</row>
        <row r="344">
          <cell r="A344">
            <v>0</v>
          </cell>
          <cell r="B344" t="str">
            <v>DESCRIPCION</v>
          </cell>
          <cell r="C344">
            <v>0</v>
          </cell>
          <cell r="D344" t="str">
            <v>N° VECES</v>
          </cell>
          <cell r="E344" t="str">
            <v>LONG. DIAM.</v>
          </cell>
          <cell r="F344" t="str">
            <v>ANCHO</v>
          </cell>
          <cell r="G344" t="str">
            <v>ALTURA</v>
          </cell>
          <cell r="H344" t="str">
            <v>PARCIAL</v>
          </cell>
          <cell r="I344" t="str">
            <v>TOTAL</v>
          </cell>
          <cell r="J344" t="str">
            <v>UNIDAD</v>
          </cell>
        </row>
        <row r="345">
          <cell r="A345">
            <v>0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9.4247779607693793</v>
          </cell>
          <cell r="J345" t="str">
            <v>m</v>
          </cell>
        </row>
        <row r="346">
          <cell r="A346">
            <v>0</v>
          </cell>
          <cell r="B346" t="str">
            <v>Ochavo sanitario</v>
          </cell>
          <cell r="C346">
            <v>0</v>
          </cell>
          <cell r="D346">
            <v>1</v>
          </cell>
          <cell r="E346">
            <v>3</v>
          </cell>
          <cell r="F346">
            <v>0</v>
          </cell>
          <cell r="G346">
            <v>0</v>
          </cell>
          <cell r="H346">
            <v>9.4247779607693793</v>
          </cell>
          <cell r="I346">
            <v>0</v>
          </cell>
          <cell r="J346">
            <v>0</v>
          </cell>
        </row>
        <row r="347">
          <cell r="A347">
            <v>0</v>
          </cell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</row>
        <row r="348">
          <cell r="A348">
            <v>0</v>
          </cell>
        </row>
        <row r="349">
          <cell r="A349">
            <v>1.0701030199999997</v>
          </cell>
          <cell r="B349" t="str">
            <v>PINTURA</v>
          </cell>
        </row>
        <row r="350">
          <cell r="A350">
            <v>1.0701030200999997</v>
          </cell>
          <cell r="B350" t="str">
            <v>PINTURA LATEX EN EXTERIORES (DOS MANOS)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23.768714734732438</v>
          </cell>
          <cell r="J350" t="str">
            <v>m2</v>
          </cell>
        </row>
        <row r="351">
          <cell r="A351">
            <v>0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</row>
        <row r="352">
          <cell r="A352">
            <v>0</v>
          </cell>
          <cell r="B352" t="str">
            <v>DESCRIPCION</v>
          </cell>
          <cell r="C352">
            <v>0</v>
          </cell>
          <cell r="D352" t="str">
            <v>N° VECES</v>
          </cell>
          <cell r="E352" t="str">
            <v>LONG. DIAM.</v>
          </cell>
          <cell r="F352" t="str">
            <v>ANCHO</v>
          </cell>
          <cell r="G352" t="str">
            <v>ALTURA</v>
          </cell>
          <cell r="H352" t="str">
            <v>PARCIAL</v>
          </cell>
          <cell r="I352" t="str">
            <v>TOTAL</v>
          </cell>
          <cell r="J352" t="str">
            <v>UNIDAD</v>
          </cell>
        </row>
        <row r="353">
          <cell r="A353">
            <v>0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23.768714734732438</v>
          </cell>
          <cell r="J353" t="str">
            <v>m2</v>
          </cell>
        </row>
        <row r="354">
          <cell r="A354">
            <v>0</v>
          </cell>
          <cell r="B354" t="str">
            <v>Área paredes externas</v>
          </cell>
          <cell r="C354">
            <v>0</v>
          </cell>
          <cell r="D354">
            <v>1</v>
          </cell>
          <cell r="E354">
            <v>10.367255756846317</v>
          </cell>
          <cell r="F354">
            <v>0</v>
          </cell>
          <cell r="G354">
            <v>2.1</v>
          </cell>
          <cell r="H354">
            <v>21.771237089377266</v>
          </cell>
          <cell r="I354">
            <v>0</v>
          </cell>
          <cell r="J354">
            <v>0</v>
          </cell>
        </row>
        <row r="355">
          <cell r="A355">
            <v>0</v>
          </cell>
          <cell r="B355" t="str">
            <v xml:space="preserve">Área interna losa de techo </v>
          </cell>
          <cell r="C355">
            <v>0</v>
          </cell>
          <cell r="D355">
            <v>-1</v>
          </cell>
          <cell r="E355">
            <v>3</v>
          </cell>
          <cell r="F355">
            <v>0</v>
          </cell>
          <cell r="G355">
            <v>0</v>
          </cell>
          <cell r="H355">
            <v>-7.0685834705770345</v>
          </cell>
          <cell r="I355">
            <v>0</v>
          </cell>
          <cell r="J355">
            <v>0</v>
          </cell>
        </row>
        <row r="356">
          <cell r="A356">
            <v>0</v>
          </cell>
          <cell r="B356" t="str">
            <v xml:space="preserve">Área externa losa de techo </v>
          </cell>
          <cell r="C356">
            <v>0</v>
          </cell>
          <cell r="D356">
            <v>1</v>
          </cell>
          <cell r="E356">
            <v>9.7860611159322062</v>
          </cell>
          <cell r="F356">
            <v>0</v>
          </cell>
          <cell r="G356">
            <v>0</v>
          </cell>
          <cell r="H356">
            <v>9.7860611159322062</v>
          </cell>
          <cell r="I356">
            <v>0</v>
          </cell>
          <cell r="J356">
            <v>0</v>
          </cell>
        </row>
        <row r="357">
          <cell r="A357">
            <v>0</v>
          </cell>
          <cell r="B357" t="str">
            <v xml:space="preserve">Área descontada por tapa </v>
          </cell>
          <cell r="C357">
            <v>0</v>
          </cell>
          <cell r="D357">
            <v>-1</v>
          </cell>
          <cell r="E357">
            <v>0.6</v>
          </cell>
          <cell r="F357">
            <v>0.6</v>
          </cell>
          <cell r="G357">
            <v>0</v>
          </cell>
          <cell r="H357">
            <v>-0.36</v>
          </cell>
          <cell r="I357">
            <v>0</v>
          </cell>
          <cell r="J357">
            <v>0</v>
          </cell>
        </row>
        <row r="358">
          <cell r="A358">
            <v>0</v>
          </cell>
          <cell r="B358" t="str">
            <v xml:space="preserve">Área de frizos en tapa </v>
          </cell>
          <cell r="C358">
            <v>0</v>
          </cell>
          <cell r="D358">
            <v>-1</v>
          </cell>
          <cell r="E358">
            <v>2.4</v>
          </cell>
          <cell r="F358">
            <v>0</v>
          </cell>
          <cell r="G358">
            <v>0.15</v>
          </cell>
          <cell r="H358">
            <v>-0.36</v>
          </cell>
          <cell r="I358">
            <v>0</v>
          </cell>
          <cell r="J358">
            <v>0</v>
          </cell>
        </row>
        <row r="359">
          <cell r="A359">
            <v>0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</row>
        <row r="360">
          <cell r="A360">
            <v>0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</row>
        <row r="361">
          <cell r="A361">
            <v>1.0701039999999997</v>
          </cell>
          <cell r="B361" t="str">
            <v>VARIOS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</row>
        <row r="362">
          <cell r="A362">
            <v>1.0701040099999997</v>
          </cell>
          <cell r="B362" t="str">
            <v>SUMINISTRO E INST. DE SISTEMA DE CLORACIÓN POR GOTEO</v>
          </cell>
          <cell r="I362">
            <v>1</v>
          </cell>
          <cell r="J362" t="str">
            <v>und</v>
          </cell>
        </row>
        <row r="363">
          <cell r="A363">
            <v>0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</row>
        <row r="364">
          <cell r="A364">
            <v>0</v>
          </cell>
          <cell r="B364">
            <v>0</v>
          </cell>
          <cell r="C364" t="str">
            <v>DIMENSIONES DE CASETA DE CLORACION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>
            <v>0</v>
          </cell>
          <cell r="B365">
            <v>0</v>
          </cell>
          <cell r="C365" t="str">
            <v>a) Largo</v>
          </cell>
          <cell r="D365">
            <v>0</v>
          </cell>
          <cell r="E365">
            <v>0.8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>
            <v>0</v>
          </cell>
          <cell r="B366">
            <v>0</v>
          </cell>
          <cell r="C366" t="str">
            <v>b) Ancho</v>
          </cell>
          <cell r="D366">
            <v>0</v>
          </cell>
          <cell r="E366">
            <v>1.1000000000000001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>
            <v>0</v>
          </cell>
          <cell r="B367">
            <v>0</v>
          </cell>
          <cell r="C367" t="str">
            <v>c) Altura</v>
          </cell>
          <cell r="D367">
            <v>0</v>
          </cell>
          <cell r="E367">
            <v>1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>
            <v>0</v>
          </cell>
          <cell r="B368">
            <v>0</v>
          </cell>
          <cell r="C368" t="str">
            <v>d) Losa</v>
          </cell>
          <cell r="D368">
            <v>0</v>
          </cell>
          <cell r="E368">
            <v>0.05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>
            <v>0</v>
          </cell>
          <cell r="B369">
            <v>0</v>
          </cell>
          <cell r="C369" t="str">
            <v>e) Ancho de muro</v>
          </cell>
          <cell r="D369">
            <v>0</v>
          </cell>
          <cell r="E369">
            <v>0.1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>
            <v>0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>
            <v>0</v>
          </cell>
          <cell r="B371" t="str">
            <v>CONCRETO ARMADO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>
            <v>0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</row>
        <row r="373">
          <cell r="A373">
            <v>0</v>
          </cell>
          <cell r="B373" t="str">
            <v>CONCRETO F'C 175 (CASETA DE CLORACIÓN)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I373">
            <v>0.35800000000000004</v>
          </cell>
          <cell r="J373" t="str">
            <v>m3</v>
          </cell>
        </row>
        <row r="374">
          <cell r="A374">
            <v>0</v>
          </cell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>
            <v>0</v>
          </cell>
          <cell r="B375" t="str">
            <v>DESCRIPCION</v>
          </cell>
          <cell r="C375">
            <v>0</v>
          </cell>
          <cell r="D375" t="str">
            <v>N° VECES</v>
          </cell>
          <cell r="E375" t="str">
            <v>LARGO</v>
          </cell>
          <cell r="F375" t="str">
            <v>ANCHO</v>
          </cell>
          <cell r="G375" t="str">
            <v>ALTURA</v>
          </cell>
          <cell r="H375" t="str">
            <v>PARCIAL</v>
          </cell>
          <cell r="I375" t="str">
            <v>TOTAL</v>
          </cell>
          <cell r="J375" t="str">
            <v>UNIDAD</v>
          </cell>
        </row>
        <row r="376">
          <cell r="A376">
            <v>0</v>
          </cell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0.35800000000000004</v>
          </cell>
          <cell r="J376" t="str">
            <v>m3</v>
          </cell>
        </row>
        <row r="377">
          <cell r="A377">
            <v>0</v>
          </cell>
          <cell r="B377" t="str">
            <v>Losa superior</v>
          </cell>
          <cell r="C377">
            <v>0</v>
          </cell>
          <cell r="D377">
            <v>1</v>
          </cell>
          <cell r="E377">
            <v>0.8</v>
          </cell>
          <cell r="F377">
            <v>1.1000000000000001</v>
          </cell>
          <cell r="G377">
            <v>0.1</v>
          </cell>
          <cell r="H377">
            <v>8.8000000000000023E-2</v>
          </cell>
          <cell r="I377">
            <v>0</v>
          </cell>
          <cell r="J377">
            <v>0</v>
          </cell>
        </row>
        <row r="378">
          <cell r="A378">
            <v>0</v>
          </cell>
          <cell r="B378" t="str">
            <v>Muros</v>
          </cell>
          <cell r="C378">
            <v>0</v>
          </cell>
          <cell r="D378">
            <v>1</v>
          </cell>
          <cell r="E378">
            <v>2.7</v>
          </cell>
          <cell r="F378">
            <v>0.1</v>
          </cell>
          <cell r="G378">
            <v>1</v>
          </cell>
          <cell r="H378">
            <v>0.27</v>
          </cell>
          <cell r="I378">
            <v>0</v>
          </cell>
          <cell r="J378">
            <v>0</v>
          </cell>
        </row>
        <row r="379">
          <cell r="A379">
            <v>0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</row>
        <row r="380">
          <cell r="A380">
            <v>0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>
            <v>0</v>
          </cell>
          <cell r="B381" t="str">
            <v>ENCOFRADO Y DESENCOFRADO (CASETA DE CLORACIÓN)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I381">
            <v>5.7300000000000013</v>
          </cell>
          <cell r="J381" t="str">
            <v>m2</v>
          </cell>
        </row>
        <row r="382">
          <cell r="A382">
            <v>0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>
            <v>0</v>
          </cell>
          <cell r="B383" t="str">
            <v>DESCRIPCION</v>
          </cell>
          <cell r="C383">
            <v>0</v>
          </cell>
          <cell r="D383" t="str">
            <v>N° VECES</v>
          </cell>
          <cell r="E383" t="str">
            <v>LARGO</v>
          </cell>
          <cell r="F383" t="str">
            <v>ANCHO</v>
          </cell>
          <cell r="G383" t="str">
            <v>ALTURA</v>
          </cell>
          <cell r="H383" t="str">
            <v>PARCIAL</v>
          </cell>
          <cell r="I383" t="str">
            <v>TOTAL</v>
          </cell>
          <cell r="J383" t="str">
            <v>UNIDAD</v>
          </cell>
        </row>
        <row r="384">
          <cell r="A384">
            <v>0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5.7300000000000013</v>
          </cell>
          <cell r="J384" t="str">
            <v>m2</v>
          </cell>
        </row>
        <row r="385">
          <cell r="A385">
            <v>0</v>
          </cell>
          <cell r="B385" t="str">
            <v>Losa superior</v>
          </cell>
          <cell r="C385">
            <v>0</v>
          </cell>
          <cell r="D385">
            <v>1</v>
          </cell>
          <cell r="E385">
            <v>0.60000000000000009</v>
          </cell>
          <cell r="F385">
            <v>0.90000000000000013</v>
          </cell>
          <cell r="G385">
            <v>0</v>
          </cell>
          <cell r="H385">
            <v>0.54000000000000015</v>
          </cell>
          <cell r="I385">
            <v>0</v>
          </cell>
          <cell r="J385">
            <v>0</v>
          </cell>
        </row>
        <row r="386">
          <cell r="A386">
            <v>0</v>
          </cell>
          <cell r="B386" t="str">
            <v>Muro ext. 01</v>
          </cell>
          <cell r="C386">
            <v>0</v>
          </cell>
          <cell r="D386">
            <v>2</v>
          </cell>
          <cell r="E386">
            <v>0.8</v>
          </cell>
          <cell r="G386">
            <v>1</v>
          </cell>
          <cell r="H386">
            <v>1.6</v>
          </cell>
          <cell r="I386">
            <v>0</v>
          </cell>
          <cell r="J386">
            <v>0</v>
          </cell>
        </row>
        <row r="387">
          <cell r="A387">
            <v>0</v>
          </cell>
          <cell r="B387" t="str">
            <v>Muro ext. 02</v>
          </cell>
          <cell r="C387">
            <v>0</v>
          </cell>
          <cell r="D387">
            <v>1</v>
          </cell>
          <cell r="E387">
            <v>0</v>
          </cell>
          <cell r="F387">
            <v>1.1000000000000001</v>
          </cell>
          <cell r="G387">
            <v>1</v>
          </cell>
          <cell r="H387">
            <v>1.1000000000000001</v>
          </cell>
          <cell r="I387">
            <v>0</v>
          </cell>
          <cell r="J387">
            <v>0</v>
          </cell>
        </row>
        <row r="388">
          <cell r="A388">
            <v>0</v>
          </cell>
          <cell r="B388" t="str">
            <v>Muro int. 01</v>
          </cell>
          <cell r="C388">
            <v>0</v>
          </cell>
          <cell r="D388">
            <v>2</v>
          </cell>
          <cell r="E388">
            <v>0.70000000000000007</v>
          </cell>
          <cell r="G388">
            <v>1</v>
          </cell>
          <cell r="H388">
            <v>1.4000000000000001</v>
          </cell>
          <cell r="I388">
            <v>0</v>
          </cell>
          <cell r="J388">
            <v>0</v>
          </cell>
        </row>
        <row r="389">
          <cell r="A389">
            <v>0</v>
          </cell>
          <cell r="B389" t="str">
            <v>Muro int. 02</v>
          </cell>
          <cell r="C389">
            <v>0</v>
          </cell>
          <cell r="D389">
            <v>1</v>
          </cell>
          <cell r="E389">
            <v>0</v>
          </cell>
          <cell r="F389">
            <v>0.90000000000000013</v>
          </cell>
          <cell r="G389">
            <v>1</v>
          </cell>
          <cell r="H389">
            <v>0.90000000000000013</v>
          </cell>
          <cell r="I389">
            <v>0</v>
          </cell>
          <cell r="J389">
            <v>0</v>
          </cell>
        </row>
        <row r="390">
          <cell r="A390">
            <v>0</v>
          </cell>
          <cell r="B390" t="str">
            <v>Frisos</v>
          </cell>
          <cell r="C390">
            <v>0</v>
          </cell>
          <cell r="D390">
            <v>1</v>
          </cell>
          <cell r="E390">
            <v>3.8000000000000003</v>
          </cell>
          <cell r="F390">
            <v>0</v>
          </cell>
          <cell r="G390">
            <v>0.05</v>
          </cell>
          <cell r="H390">
            <v>0.19000000000000003</v>
          </cell>
          <cell r="I390">
            <v>0</v>
          </cell>
          <cell r="J390">
            <v>0</v>
          </cell>
        </row>
        <row r="391">
          <cell r="A391">
            <v>0</v>
          </cell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A392">
            <v>0</v>
          </cell>
          <cell r="B392" t="str">
            <v>ACERO DE REFUERZO  (CASETA DE CLORACIÓN)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I392">
            <v>12.186200000000001</v>
          </cell>
          <cell r="J392" t="str">
            <v>Kg</v>
          </cell>
        </row>
        <row r="393">
          <cell r="A393">
            <v>0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>
            <v>0</v>
          </cell>
          <cell r="B394" t="str">
            <v>Descripción</v>
          </cell>
          <cell r="C394" t="str">
            <v>Grafico</v>
          </cell>
          <cell r="D394" t="str">
            <v>Ø</v>
          </cell>
          <cell r="E394" t="str">
            <v>N° piezas x</v>
          </cell>
          <cell r="F394" t="str">
            <v xml:space="preserve">Longitud </v>
          </cell>
          <cell r="G394" t="str">
            <v>Longitud por Ø (m)</v>
          </cell>
          <cell r="H394">
            <v>0</v>
          </cell>
          <cell r="I394">
            <v>0</v>
          </cell>
          <cell r="J394">
            <v>0</v>
          </cell>
        </row>
        <row r="395">
          <cell r="A395">
            <v>0</v>
          </cell>
          <cell r="B395">
            <v>0</v>
          </cell>
          <cell r="C395">
            <v>0</v>
          </cell>
          <cell r="D395">
            <v>0</v>
          </cell>
          <cell r="E395" t="str">
            <v>elemento</v>
          </cell>
          <cell r="F395" t="str">
            <v>(m)</v>
          </cell>
          <cell r="G395" t="str">
            <v>1/4"</v>
          </cell>
          <cell r="H395">
            <v>0.375</v>
          </cell>
          <cell r="I395">
            <v>0</v>
          </cell>
          <cell r="J395">
            <v>0</v>
          </cell>
        </row>
        <row r="396">
          <cell r="A396">
            <v>0</v>
          </cell>
          <cell r="B396" t="str">
            <v>Acero Transversal Losa sup</v>
          </cell>
          <cell r="C396">
            <v>0</v>
          </cell>
          <cell r="D396" t="str">
            <v>3/8"</v>
          </cell>
          <cell r="E396">
            <v>4</v>
          </cell>
          <cell r="F396">
            <v>0.8</v>
          </cell>
          <cell r="G396">
            <v>0</v>
          </cell>
          <cell r="H396">
            <v>3.2</v>
          </cell>
          <cell r="I396">
            <v>0</v>
          </cell>
          <cell r="J396">
            <v>0</v>
          </cell>
        </row>
        <row r="397">
          <cell r="A397">
            <v>0</v>
          </cell>
          <cell r="B397" t="str">
            <v>Acero Longitudinal Losa sup</v>
          </cell>
          <cell r="C397">
            <v>0</v>
          </cell>
          <cell r="D397" t="str">
            <v>3/8"</v>
          </cell>
          <cell r="E397">
            <v>6</v>
          </cell>
          <cell r="F397">
            <v>1.1000000000000001</v>
          </cell>
          <cell r="G397">
            <v>0</v>
          </cell>
          <cell r="H397">
            <v>6.6000000000000005</v>
          </cell>
          <cell r="I397">
            <v>0</v>
          </cell>
          <cell r="J397">
            <v>0</v>
          </cell>
        </row>
        <row r="398">
          <cell r="A398">
            <v>0</v>
          </cell>
          <cell r="B398" t="str">
            <v>Acero vertical mura</v>
          </cell>
          <cell r="C398">
            <v>0</v>
          </cell>
          <cell r="D398" t="str">
            <v>3/8"</v>
          </cell>
          <cell r="E398">
            <v>9</v>
          </cell>
          <cell r="F398">
            <v>1</v>
          </cell>
          <cell r="G398">
            <v>0</v>
          </cell>
          <cell r="H398">
            <v>9</v>
          </cell>
          <cell r="I398">
            <v>0</v>
          </cell>
          <cell r="J398">
            <v>0</v>
          </cell>
        </row>
        <row r="399">
          <cell r="A399">
            <v>0</v>
          </cell>
          <cell r="B399" t="str">
            <v>Acero horizontal muro</v>
          </cell>
          <cell r="C399">
            <v>0</v>
          </cell>
          <cell r="D399" t="str">
            <v>3/8"</v>
          </cell>
          <cell r="E399">
            <v>6</v>
          </cell>
          <cell r="F399">
            <v>0.5</v>
          </cell>
          <cell r="G399">
            <v>0</v>
          </cell>
          <cell r="H399">
            <v>3</v>
          </cell>
          <cell r="I399">
            <v>0</v>
          </cell>
          <cell r="J399">
            <v>0</v>
          </cell>
        </row>
        <row r="400">
          <cell r="A400">
            <v>0</v>
          </cell>
          <cell r="E400" t="str">
            <v>LONGITUD TOTAL</v>
          </cell>
          <cell r="F400">
            <v>0</v>
          </cell>
          <cell r="G400">
            <v>0</v>
          </cell>
          <cell r="H400">
            <v>21.8</v>
          </cell>
          <cell r="I400">
            <v>0</v>
          </cell>
          <cell r="J400">
            <v>0</v>
          </cell>
        </row>
        <row r="401">
          <cell r="A401">
            <v>0</v>
          </cell>
          <cell r="E401" t="str">
            <v>Peso Unit. (Kg/m)</v>
          </cell>
          <cell r="F401">
            <v>0</v>
          </cell>
          <cell r="G401">
            <v>0.25</v>
          </cell>
          <cell r="H401">
            <v>0.55900000000000005</v>
          </cell>
          <cell r="I401">
            <v>0</v>
          </cell>
          <cell r="J401">
            <v>0</v>
          </cell>
        </row>
        <row r="402">
          <cell r="A402">
            <v>0</v>
          </cell>
          <cell r="E402" t="str">
            <v>PESO TOTAL (Kg)</v>
          </cell>
          <cell r="F402">
            <v>0</v>
          </cell>
          <cell r="G402">
            <v>0</v>
          </cell>
          <cell r="H402">
            <v>12.186200000000001</v>
          </cell>
          <cell r="I402">
            <v>0</v>
          </cell>
          <cell r="J402">
            <v>0</v>
          </cell>
        </row>
        <row r="403">
          <cell r="A403">
            <v>0</v>
          </cell>
          <cell r="B403">
            <v>0</v>
          </cell>
          <cell r="C403">
            <v>0</v>
          </cell>
          <cell r="D403">
            <v>0</v>
          </cell>
          <cell r="E403" t="str">
            <v>PESO TOTAL (Kg)</v>
          </cell>
          <cell r="F403">
            <v>0</v>
          </cell>
          <cell r="G403">
            <v>12.186200000000001</v>
          </cell>
          <cell r="H403">
            <v>0</v>
          </cell>
          <cell r="I403">
            <v>0</v>
          </cell>
          <cell r="J403">
            <v>0</v>
          </cell>
        </row>
        <row r="404">
          <cell r="A404">
            <v>0</v>
          </cell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>
            <v>0</v>
          </cell>
          <cell r="B405" t="str">
            <v>REVOQUES Y ENLUCIDOS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</row>
        <row r="406">
          <cell r="A406">
            <v>0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A407">
            <v>0</v>
          </cell>
          <cell r="B407" t="str">
            <v>TARRAJEO INT. Y EXT. MEZC. 1:2 E=1.5 cm (CASETA DE CLORACIÓN)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I407">
            <v>6.2800000000000011</v>
          </cell>
          <cell r="J407" t="str">
            <v>m2</v>
          </cell>
        </row>
        <row r="408">
          <cell r="A408">
            <v>0</v>
          </cell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</row>
        <row r="409">
          <cell r="A409">
            <v>0</v>
          </cell>
          <cell r="B409" t="str">
            <v>DESCRIPCION</v>
          </cell>
          <cell r="C409">
            <v>0</v>
          </cell>
          <cell r="D409" t="str">
            <v>N° VECES</v>
          </cell>
          <cell r="E409" t="str">
            <v>LARGO</v>
          </cell>
          <cell r="F409" t="str">
            <v>ANCHO</v>
          </cell>
          <cell r="G409" t="str">
            <v>ALTURA</v>
          </cell>
          <cell r="H409" t="str">
            <v>PARCIAL</v>
          </cell>
          <cell r="I409" t="str">
            <v>TOTAL</v>
          </cell>
          <cell r="J409" t="str">
            <v>UNIDAD</v>
          </cell>
        </row>
        <row r="410">
          <cell r="A410">
            <v>0</v>
          </cell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6.2800000000000011</v>
          </cell>
          <cell r="J410" t="str">
            <v>m2</v>
          </cell>
        </row>
        <row r="411">
          <cell r="A411">
            <v>0</v>
          </cell>
          <cell r="B411" t="str">
            <v>Losa superior</v>
          </cell>
          <cell r="C411">
            <v>0</v>
          </cell>
          <cell r="D411">
            <v>1</v>
          </cell>
          <cell r="E411">
            <v>0.8</v>
          </cell>
          <cell r="F411">
            <v>1.1000000000000001</v>
          </cell>
          <cell r="G411">
            <v>0</v>
          </cell>
          <cell r="H411">
            <v>0.88000000000000012</v>
          </cell>
          <cell r="I411">
            <v>0</v>
          </cell>
          <cell r="J411">
            <v>0</v>
          </cell>
        </row>
        <row r="412">
          <cell r="A412">
            <v>0</v>
          </cell>
          <cell r="B412" t="str">
            <v>Muro ext. 01</v>
          </cell>
          <cell r="C412">
            <v>0</v>
          </cell>
          <cell r="D412">
            <v>2</v>
          </cell>
          <cell r="E412">
            <v>0.8</v>
          </cell>
          <cell r="G412">
            <v>1</v>
          </cell>
          <cell r="H412">
            <v>1.6</v>
          </cell>
          <cell r="I412">
            <v>0</v>
          </cell>
          <cell r="J412">
            <v>0</v>
          </cell>
        </row>
        <row r="413">
          <cell r="A413">
            <v>0</v>
          </cell>
          <cell r="B413" t="str">
            <v>Muro ext. 02</v>
          </cell>
          <cell r="C413">
            <v>0</v>
          </cell>
          <cell r="D413">
            <v>1</v>
          </cell>
          <cell r="E413">
            <v>0</v>
          </cell>
          <cell r="F413">
            <v>1.1000000000000001</v>
          </cell>
          <cell r="G413">
            <v>1</v>
          </cell>
          <cell r="H413">
            <v>1.1000000000000001</v>
          </cell>
          <cell r="I413">
            <v>0</v>
          </cell>
          <cell r="J413">
            <v>0</v>
          </cell>
        </row>
        <row r="414">
          <cell r="A414">
            <v>0</v>
          </cell>
          <cell r="B414" t="str">
            <v>Muro int. 01</v>
          </cell>
          <cell r="C414">
            <v>0</v>
          </cell>
          <cell r="D414">
            <v>2</v>
          </cell>
          <cell r="E414">
            <v>0.70000000000000007</v>
          </cell>
          <cell r="G414">
            <v>1</v>
          </cell>
          <cell r="H414">
            <v>1.4000000000000001</v>
          </cell>
          <cell r="I414">
            <v>0</v>
          </cell>
          <cell r="J414">
            <v>0</v>
          </cell>
        </row>
        <row r="415">
          <cell r="A415">
            <v>0</v>
          </cell>
          <cell r="B415" t="str">
            <v>Muro int. 02</v>
          </cell>
          <cell r="C415">
            <v>0</v>
          </cell>
          <cell r="D415">
            <v>1</v>
          </cell>
          <cell r="E415">
            <v>0</v>
          </cell>
          <cell r="F415">
            <v>0.90000000000000013</v>
          </cell>
          <cell r="G415">
            <v>1</v>
          </cell>
          <cell r="H415">
            <v>0.90000000000000013</v>
          </cell>
          <cell r="I415">
            <v>0</v>
          </cell>
          <cell r="J415">
            <v>0</v>
          </cell>
        </row>
        <row r="416">
          <cell r="A416">
            <v>0</v>
          </cell>
          <cell r="B416" t="str">
            <v>Frisos</v>
          </cell>
          <cell r="C416">
            <v>0</v>
          </cell>
          <cell r="D416">
            <v>1</v>
          </cell>
          <cell r="E416">
            <v>3.8000000000000003</v>
          </cell>
          <cell r="F416">
            <v>0</v>
          </cell>
          <cell r="G416">
            <v>0.05</v>
          </cell>
          <cell r="H416">
            <v>0.19000000000000003</v>
          </cell>
          <cell r="I416">
            <v>0</v>
          </cell>
          <cell r="J416">
            <v>0</v>
          </cell>
        </row>
        <row r="417">
          <cell r="A417">
            <v>0</v>
          </cell>
          <cell r="B417" t="str">
            <v>Muro frontal</v>
          </cell>
          <cell r="C417">
            <v>0</v>
          </cell>
          <cell r="D417">
            <v>2</v>
          </cell>
          <cell r="E417">
            <v>0.1</v>
          </cell>
          <cell r="F417">
            <v>0</v>
          </cell>
          <cell r="G417">
            <v>1.05</v>
          </cell>
          <cell r="H417">
            <v>0.21000000000000002</v>
          </cell>
          <cell r="I417">
            <v>0</v>
          </cell>
          <cell r="J417">
            <v>0</v>
          </cell>
        </row>
        <row r="418">
          <cell r="A418">
            <v>0</v>
          </cell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</row>
        <row r="419">
          <cell r="A419">
            <v>0</v>
          </cell>
          <cell r="B419">
            <v>0</v>
          </cell>
          <cell r="J419">
            <v>0</v>
          </cell>
        </row>
        <row r="420">
          <cell r="A420">
            <v>0</v>
          </cell>
          <cell r="B420" t="str">
            <v>SUMINISTRO E INST. DE SISTEMA DE VENOCLISIS Y GRIFO PARA BALDE CLORADOR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I420">
            <v>1</v>
          </cell>
          <cell r="J420" t="str">
            <v>und</v>
          </cell>
        </row>
        <row r="421">
          <cell r="A421">
            <v>0</v>
          </cell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I421">
            <v>0</v>
          </cell>
          <cell r="J421">
            <v>0</v>
          </cell>
        </row>
        <row r="422">
          <cell r="A422">
            <v>0</v>
          </cell>
          <cell r="B422" t="str">
            <v>SUMINISTRO E INST. DE PUERTA TIPO P-2 (0.90X0.90)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I422">
            <v>1</v>
          </cell>
          <cell r="J422" t="str">
            <v>und</v>
          </cell>
        </row>
        <row r="423">
          <cell r="A423">
            <v>0</v>
          </cell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I423">
            <v>0</v>
          </cell>
          <cell r="J423">
            <v>0</v>
          </cell>
        </row>
        <row r="424">
          <cell r="A424">
            <v>0</v>
          </cell>
          <cell r="B424">
            <v>0</v>
          </cell>
          <cell r="C424" t="str">
            <v>DESCRIPCION</v>
          </cell>
          <cell r="D424">
            <v>0</v>
          </cell>
          <cell r="E424">
            <v>0</v>
          </cell>
          <cell r="F424" t="str">
            <v>CANTIDAD</v>
          </cell>
          <cell r="G424" t="str">
            <v>UNIDAD</v>
          </cell>
          <cell r="H424">
            <v>0</v>
          </cell>
          <cell r="I424">
            <v>0</v>
          </cell>
          <cell r="J424">
            <v>0</v>
          </cell>
        </row>
        <row r="425">
          <cell r="A425">
            <v>0</v>
          </cell>
          <cell r="B425">
            <v>0</v>
          </cell>
          <cell r="C425" t="str">
            <v>Malla cuadrada galvanizada 1" X 1" X 2.77 mm</v>
          </cell>
          <cell r="D425">
            <v>0</v>
          </cell>
          <cell r="E425">
            <v>0</v>
          </cell>
          <cell r="F425">
            <v>1</v>
          </cell>
          <cell r="G425" t="str">
            <v>m2</v>
          </cell>
          <cell r="H425">
            <v>0</v>
          </cell>
          <cell r="I425">
            <v>0</v>
          </cell>
          <cell r="J425">
            <v>0</v>
          </cell>
        </row>
        <row r="426">
          <cell r="A426">
            <v>0</v>
          </cell>
          <cell r="B426">
            <v>0</v>
          </cell>
          <cell r="C426" t="str">
            <v>Perfil L 1"x1"x3/16"</v>
          </cell>
          <cell r="D426">
            <v>0</v>
          </cell>
          <cell r="E426">
            <v>0</v>
          </cell>
          <cell r="F426">
            <v>5.4</v>
          </cell>
          <cell r="G426" t="str">
            <v>m</v>
          </cell>
          <cell r="H426">
            <v>0</v>
          </cell>
          <cell r="I426">
            <v>0</v>
          </cell>
          <cell r="J426">
            <v>0</v>
          </cell>
        </row>
        <row r="427">
          <cell r="A427">
            <v>0</v>
          </cell>
          <cell r="B427">
            <v>0</v>
          </cell>
          <cell r="C427" t="str">
            <v>Bisagra soldables</v>
          </cell>
          <cell r="D427">
            <v>0</v>
          </cell>
          <cell r="E427">
            <v>0</v>
          </cell>
          <cell r="F427">
            <v>4</v>
          </cell>
          <cell r="G427" t="str">
            <v>unid</v>
          </cell>
          <cell r="H427">
            <v>0</v>
          </cell>
          <cell r="I427">
            <v>0</v>
          </cell>
          <cell r="J427">
            <v>0</v>
          </cell>
        </row>
        <row r="428">
          <cell r="A428">
            <v>0</v>
          </cell>
          <cell r="B428">
            <v>0</v>
          </cell>
          <cell r="C428" t="str">
            <v>Candado n°40</v>
          </cell>
          <cell r="D428">
            <v>0</v>
          </cell>
          <cell r="E428">
            <v>0</v>
          </cell>
          <cell r="F428">
            <v>1</v>
          </cell>
          <cell r="G428" t="str">
            <v>unid</v>
          </cell>
          <cell r="H428">
            <v>0</v>
          </cell>
          <cell r="I428">
            <v>0</v>
          </cell>
          <cell r="J428">
            <v>0</v>
          </cell>
        </row>
        <row r="429">
          <cell r="A429">
            <v>0</v>
          </cell>
          <cell r="B429">
            <v>0</v>
          </cell>
          <cell r="C429" t="str">
            <v>Portacandado  para candado n° 40</v>
          </cell>
          <cell r="D429">
            <v>0</v>
          </cell>
          <cell r="E429">
            <v>0</v>
          </cell>
          <cell r="F429">
            <v>1</v>
          </cell>
          <cell r="G429" t="str">
            <v>unid</v>
          </cell>
          <cell r="H429">
            <v>0</v>
          </cell>
          <cell r="I429">
            <v>0</v>
          </cell>
          <cell r="J429">
            <v>0</v>
          </cell>
        </row>
        <row r="430">
          <cell r="A430">
            <v>0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A431">
            <v>0</v>
          </cell>
          <cell r="B431" t="str">
            <v>SUMINISTRO E INST. DE ACCESORIOS DE LIMPIEZA Y REBOSE EN SISTEMA DE CLORACIÓN</v>
          </cell>
          <cell r="I431">
            <v>1</v>
          </cell>
          <cell r="J431" t="str">
            <v>und</v>
          </cell>
        </row>
        <row r="432">
          <cell r="A432">
            <v>0</v>
          </cell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>
            <v>0</v>
          </cell>
          <cell r="B433" t="str">
            <v>ACCESORIOS</v>
          </cell>
          <cell r="C433">
            <v>0</v>
          </cell>
          <cell r="D433">
            <v>0</v>
          </cell>
          <cell r="E433" t="str">
            <v>Ø</v>
          </cell>
          <cell r="F433" t="str">
            <v>CANT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>
            <v>0</v>
          </cell>
          <cell r="B434" t="str">
            <v>INGRESO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>
            <v>0</v>
          </cell>
          <cell r="B435" t="str">
            <v>GRIFO F°G°</v>
          </cell>
          <cell r="C435">
            <v>0</v>
          </cell>
          <cell r="D435">
            <v>0</v>
          </cell>
          <cell r="E435" t="str">
            <v>1/2"</v>
          </cell>
          <cell r="F435">
            <v>1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>
            <v>0</v>
          </cell>
          <cell r="B436" t="str">
            <v>ADAPTADOR F°G°</v>
          </cell>
          <cell r="C436">
            <v>0</v>
          </cell>
          <cell r="D436">
            <v>0</v>
          </cell>
          <cell r="E436" t="str">
            <v>1/2"</v>
          </cell>
          <cell r="F436">
            <v>1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</row>
        <row r="437">
          <cell r="A437">
            <v>0</v>
          </cell>
          <cell r="B437" t="str">
            <v>CODO DE F°G°</v>
          </cell>
          <cell r="C437">
            <v>0</v>
          </cell>
          <cell r="D437">
            <v>0</v>
          </cell>
          <cell r="E437" t="str">
            <v>1/2"</v>
          </cell>
          <cell r="F437">
            <v>3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A438">
            <v>0</v>
          </cell>
          <cell r="B438" t="str">
            <v>TUBERIA DE F°G° (m)</v>
          </cell>
          <cell r="C438">
            <v>0</v>
          </cell>
          <cell r="D438">
            <v>0</v>
          </cell>
          <cell r="E438" t="str">
            <v>1/2"</v>
          </cell>
          <cell r="F438">
            <v>4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>
            <v>0</v>
          </cell>
          <cell r="B439" t="str">
            <v>CODO DE PVC SAP</v>
          </cell>
          <cell r="C439">
            <v>0</v>
          </cell>
          <cell r="D439">
            <v>0</v>
          </cell>
          <cell r="E439" t="str">
            <v>1/2"</v>
          </cell>
          <cell r="F439">
            <v>2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A440">
            <v>0</v>
          </cell>
          <cell r="B440" t="str">
            <v>TUBERIA DE PVC SAP (m)</v>
          </cell>
          <cell r="C440">
            <v>0</v>
          </cell>
          <cell r="D440">
            <v>0</v>
          </cell>
          <cell r="E440" t="str">
            <v>1/2"</v>
          </cell>
          <cell r="F440">
            <v>1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>
            <v>0</v>
          </cell>
          <cell r="B441" t="str">
            <v>ABRAZADERA F°G°</v>
          </cell>
          <cell r="C441">
            <v>0</v>
          </cell>
          <cell r="D441">
            <v>0</v>
          </cell>
          <cell r="E441" t="str">
            <v>1/2"</v>
          </cell>
          <cell r="F441">
            <v>5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>
            <v>0</v>
          </cell>
          <cell r="B442" t="str">
            <v>SALIDA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</row>
        <row r="443">
          <cell r="A443">
            <v>0</v>
          </cell>
          <cell r="B443" t="str">
            <v>VALVULA CONTROL DOSIFICADORA</v>
          </cell>
          <cell r="C443">
            <v>0</v>
          </cell>
          <cell r="D443">
            <v>0</v>
          </cell>
          <cell r="E443" t="str">
            <v>1/2"</v>
          </cell>
          <cell r="F443">
            <v>1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</row>
        <row r="444">
          <cell r="A444">
            <v>0</v>
          </cell>
          <cell r="B444" t="str">
            <v>UNION UNIVERSAL PVC</v>
          </cell>
          <cell r="C444">
            <v>0</v>
          </cell>
          <cell r="D444">
            <v>0</v>
          </cell>
          <cell r="E444" t="str">
            <v>1/2"</v>
          </cell>
          <cell r="F444">
            <v>2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A445">
            <v>0</v>
          </cell>
          <cell r="B445" t="str">
            <v>NIPLE DE PVC</v>
          </cell>
          <cell r="C445">
            <v>0</v>
          </cell>
          <cell r="D445">
            <v>0</v>
          </cell>
          <cell r="E445" t="str">
            <v>1/2"</v>
          </cell>
          <cell r="F445">
            <v>2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</row>
        <row r="446">
          <cell r="A446">
            <v>0</v>
          </cell>
          <cell r="B446" t="str">
            <v>BRIDA ROMPE AGUA</v>
          </cell>
          <cell r="C446">
            <v>0</v>
          </cell>
          <cell r="D446">
            <v>0</v>
          </cell>
          <cell r="E446" t="str">
            <v>1/2"</v>
          </cell>
          <cell r="F446">
            <v>2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</row>
        <row r="447">
          <cell r="A447">
            <v>0</v>
          </cell>
          <cell r="B447" t="str">
            <v>CODO DE PVC SAP</v>
          </cell>
          <cell r="C447">
            <v>0</v>
          </cell>
          <cell r="D447">
            <v>0</v>
          </cell>
          <cell r="E447" t="str">
            <v>1/2"</v>
          </cell>
          <cell r="F447">
            <v>1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</row>
        <row r="448">
          <cell r="A448">
            <v>0</v>
          </cell>
          <cell r="B448" t="str">
            <v>TUBERÍA PVC SAP (m)</v>
          </cell>
          <cell r="C448">
            <v>0</v>
          </cell>
          <cell r="D448">
            <v>0</v>
          </cell>
          <cell r="E448" t="str">
            <v>1/2"</v>
          </cell>
          <cell r="F448">
            <v>1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</row>
        <row r="449">
          <cell r="A449">
            <v>0</v>
          </cell>
          <cell r="B449" t="str">
            <v>MICROGRIFO DE BRONCE O CONTROLADOR DE GOTEO</v>
          </cell>
          <cell r="C449">
            <v>0</v>
          </cell>
          <cell r="D449">
            <v>0</v>
          </cell>
          <cell r="E449" t="str">
            <v>1/2"</v>
          </cell>
          <cell r="F449">
            <v>1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</row>
        <row r="450">
          <cell r="A450">
            <v>0</v>
          </cell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</row>
        <row r="451">
          <cell r="A451">
            <v>0</v>
          </cell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</row>
        <row r="452">
          <cell r="A452">
            <v>1.0701040199999996</v>
          </cell>
          <cell r="B452" t="str">
            <v>JUNTA WATER STOP NEOPRENE 6"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9.8960168588078474</v>
          </cell>
          <cell r="J452" t="str">
            <v>m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>
            <v>0</v>
          </cell>
          <cell r="B454" t="str">
            <v>DESCRIPCION</v>
          </cell>
          <cell r="C454">
            <v>0</v>
          </cell>
          <cell r="D454" t="str">
            <v>N° VECES</v>
          </cell>
          <cell r="E454" t="str">
            <v>LARGO</v>
          </cell>
          <cell r="F454" t="str">
            <v>ANCHO</v>
          </cell>
          <cell r="G454" t="str">
            <v>ALTURA</v>
          </cell>
          <cell r="H454" t="str">
            <v>PARCIAL</v>
          </cell>
          <cell r="I454" t="str">
            <v>TOTAL</v>
          </cell>
          <cell r="J454" t="str">
            <v>UNIDAD</v>
          </cell>
        </row>
        <row r="455">
          <cell r="A455">
            <v>0</v>
          </cell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9.8960168588078474</v>
          </cell>
          <cell r="J455" t="str">
            <v>m</v>
          </cell>
        </row>
        <row r="456">
          <cell r="A456">
            <v>0</v>
          </cell>
          <cell r="B456" t="str">
            <v>Longitud de junta</v>
          </cell>
          <cell r="C456">
            <v>0</v>
          </cell>
          <cell r="D456">
            <v>1</v>
          </cell>
          <cell r="E456">
            <v>3.15</v>
          </cell>
          <cell r="F456">
            <v>0</v>
          </cell>
          <cell r="G456">
            <v>0</v>
          </cell>
          <cell r="H456">
            <v>9.8960168588078474</v>
          </cell>
          <cell r="I456">
            <v>0</v>
          </cell>
          <cell r="J456">
            <v>0</v>
          </cell>
        </row>
        <row r="457">
          <cell r="A457">
            <v>0</v>
          </cell>
        </row>
        <row r="458">
          <cell r="A458">
            <v>1.0701040299999995</v>
          </cell>
          <cell r="B458" t="str">
            <v>SUMINISTRO E INST. DE ACCESORIOS DE VENTILACION</v>
          </cell>
          <cell r="I458">
            <v>1</v>
          </cell>
          <cell r="J458" t="str">
            <v>und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</row>
        <row r="460">
          <cell r="A460">
            <v>0</v>
          </cell>
          <cell r="B460" t="str">
            <v>DESCRIPCION</v>
          </cell>
          <cell r="C460">
            <v>0</v>
          </cell>
          <cell r="D460">
            <v>0</v>
          </cell>
          <cell r="E460" t="str">
            <v>CANTIDAD</v>
          </cell>
          <cell r="F460" t="str">
            <v>UNIDAD</v>
          </cell>
          <cell r="G460">
            <v>0</v>
          </cell>
        </row>
        <row r="461">
          <cell r="A461">
            <v>0</v>
          </cell>
          <cell r="B461" t="str">
            <v>NIPLE DE FIERRO GALVANIZADO 2" X 4"</v>
          </cell>
          <cell r="C461">
            <v>0</v>
          </cell>
          <cell r="D461">
            <v>0</v>
          </cell>
          <cell r="E461">
            <v>1</v>
          </cell>
          <cell r="F461" t="str">
            <v>und</v>
          </cell>
          <cell r="G461">
            <v>0</v>
          </cell>
        </row>
        <row r="462">
          <cell r="A462">
            <v>0</v>
          </cell>
          <cell r="B462" t="str">
            <v>CODO FG DE 2"</v>
          </cell>
          <cell r="C462">
            <v>0</v>
          </cell>
          <cell r="D462">
            <v>0</v>
          </cell>
          <cell r="E462">
            <v>2</v>
          </cell>
          <cell r="F462" t="str">
            <v>und</v>
          </cell>
          <cell r="G462">
            <v>0</v>
          </cell>
        </row>
        <row r="463">
          <cell r="A463">
            <v>0</v>
          </cell>
          <cell r="B463" t="str">
            <v>TAPÓN RANURADO DE 2"</v>
          </cell>
          <cell r="C463">
            <v>0</v>
          </cell>
          <cell r="D463">
            <v>0</v>
          </cell>
          <cell r="E463">
            <v>1</v>
          </cell>
          <cell r="F463" t="str">
            <v>und</v>
          </cell>
          <cell r="G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1.0701040399999995</v>
          </cell>
          <cell r="B466" t="str">
            <v>PRUEBA HIDRAULICA Y DESINFECCIÓN DE ESTANQUEIDAD EN RESERVORIO</v>
          </cell>
          <cell r="I466">
            <v>1</v>
          </cell>
          <cell r="J466" t="str">
            <v>glb</v>
          </cell>
        </row>
        <row r="467">
          <cell r="A467">
            <v>0</v>
          </cell>
        </row>
        <row r="468">
          <cell r="A468">
            <v>1.0701049999999996</v>
          </cell>
          <cell r="B468" t="str">
            <v>CASETA DE VALVULAS (RESERVORIO)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>
            <v>1.0701050099999996</v>
          </cell>
          <cell r="B469" t="str">
            <v>ESTRUCTURAS</v>
          </cell>
        </row>
        <row r="470">
          <cell r="A470">
            <v>1.0701050100999996</v>
          </cell>
          <cell r="B470" t="str">
            <v>MOVIMIENTO DE TIERRAS</v>
          </cell>
        </row>
        <row r="471">
          <cell r="A471">
            <v>1.0701050101009997</v>
          </cell>
          <cell r="B471" t="str">
            <v>EXCAVACIÓN EN TERRENO NORMAL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0.70341592653589813</v>
          </cell>
          <cell r="J471" t="str">
            <v>m3</v>
          </cell>
        </row>
        <row r="472">
          <cell r="A472">
            <v>0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A473">
            <v>0</v>
          </cell>
          <cell r="B473" t="str">
            <v>DESCRIPCION</v>
          </cell>
          <cell r="C473">
            <v>0</v>
          </cell>
          <cell r="D473" t="str">
            <v>N° VECES</v>
          </cell>
          <cell r="E473" t="str">
            <v>LARGO</v>
          </cell>
          <cell r="F473" t="str">
            <v>ANCHO</v>
          </cell>
          <cell r="G473" t="str">
            <v>ALTURA</v>
          </cell>
          <cell r="H473" t="str">
            <v>PARCIAL</v>
          </cell>
          <cell r="I473" t="str">
            <v>TOTAL</v>
          </cell>
          <cell r="J473" t="str">
            <v>UNIDAD</v>
          </cell>
        </row>
        <row r="474">
          <cell r="A474">
            <v>0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0.70341592653589813</v>
          </cell>
          <cell r="J474" t="str">
            <v>m3</v>
          </cell>
        </row>
        <row r="475">
          <cell r="A475">
            <v>0</v>
          </cell>
          <cell r="B475" t="str">
            <v>Para caseta</v>
          </cell>
          <cell r="C475">
            <v>0</v>
          </cell>
          <cell r="D475">
            <v>1</v>
          </cell>
          <cell r="E475">
            <v>1.2000000000000002</v>
          </cell>
          <cell r="F475">
            <v>1.4</v>
          </cell>
          <cell r="G475">
            <v>0.4</v>
          </cell>
          <cell r="H475">
            <v>0.67200000000000015</v>
          </cell>
          <cell r="I475">
            <v>0</v>
          </cell>
          <cell r="J475">
            <v>0</v>
          </cell>
        </row>
        <row r="476">
          <cell r="A476">
            <v>0</v>
          </cell>
          <cell r="B476" t="str">
            <v>Excavación para filtro</v>
          </cell>
          <cell r="C476">
            <v>0</v>
          </cell>
          <cell r="D476">
            <v>1</v>
          </cell>
          <cell r="E476">
            <v>0.2</v>
          </cell>
          <cell r="F476">
            <v>0</v>
          </cell>
          <cell r="G476">
            <v>0.3</v>
          </cell>
          <cell r="H476">
            <v>3.1415926535897934E-2</v>
          </cell>
          <cell r="I476">
            <v>0</v>
          </cell>
          <cell r="J476">
            <v>0</v>
          </cell>
        </row>
        <row r="477">
          <cell r="A477">
            <v>0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</row>
        <row r="478">
          <cell r="A478">
            <v>0</v>
          </cell>
        </row>
        <row r="479">
          <cell r="A479">
            <v>1.0701050101019998</v>
          </cell>
          <cell r="B479" t="str">
            <v xml:space="preserve">RELLENO CON MATERIAL PROPIO 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0.36000000000000004</v>
          </cell>
          <cell r="J479" t="str">
            <v>m3</v>
          </cell>
        </row>
        <row r="480">
          <cell r="A480">
            <v>0</v>
          </cell>
        </row>
        <row r="481">
          <cell r="A481">
            <v>0</v>
          </cell>
          <cell r="B481" t="str">
            <v>DESCRIPCION</v>
          </cell>
          <cell r="C481">
            <v>0</v>
          </cell>
          <cell r="D481" t="str">
            <v>N° VECES</v>
          </cell>
          <cell r="E481" t="str">
            <v>LARGO</v>
          </cell>
          <cell r="F481" t="str">
            <v>ANCHO</v>
          </cell>
          <cell r="G481" t="str">
            <v>ALTURA</v>
          </cell>
          <cell r="H481" t="str">
            <v>PARCIAL</v>
          </cell>
          <cell r="I481" t="str">
            <v>TOTAL</v>
          </cell>
          <cell r="J481" t="str">
            <v>UNIDAD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0.36000000000000004</v>
          </cell>
          <cell r="J482" t="str">
            <v>m3</v>
          </cell>
        </row>
        <row r="483">
          <cell r="A483">
            <v>0</v>
          </cell>
          <cell r="B483" t="str">
            <v>Para caseta de válvulas</v>
          </cell>
          <cell r="C483">
            <v>0</v>
          </cell>
          <cell r="D483">
            <v>1.2</v>
          </cell>
          <cell r="E483">
            <v>1</v>
          </cell>
          <cell r="F483">
            <v>1</v>
          </cell>
          <cell r="G483">
            <v>0.30000000000000004</v>
          </cell>
          <cell r="H483">
            <v>0.36000000000000004</v>
          </cell>
          <cell r="I483">
            <v>0</v>
          </cell>
          <cell r="J483">
            <v>0</v>
          </cell>
        </row>
        <row r="484">
          <cell r="A484">
            <v>0</v>
          </cell>
        </row>
        <row r="485">
          <cell r="A485">
            <v>1.0701050101029999</v>
          </cell>
          <cell r="B485" t="str">
            <v xml:space="preserve">RELLENO CON GRAVA PARA FILTRO, TMAX 1/2" 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1.1309733552923256E-2</v>
          </cell>
          <cell r="J485" t="str">
            <v>m3</v>
          </cell>
        </row>
        <row r="486">
          <cell r="A486">
            <v>0</v>
          </cell>
        </row>
        <row r="487">
          <cell r="A487">
            <v>0</v>
          </cell>
          <cell r="B487" t="str">
            <v>DESCRIPCION</v>
          </cell>
          <cell r="C487">
            <v>0</v>
          </cell>
          <cell r="D487" t="str">
            <v>N° VECES</v>
          </cell>
          <cell r="E487" t="str">
            <v>LARGO</v>
          </cell>
          <cell r="F487" t="str">
            <v>ANCHO</v>
          </cell>
          <cell r="G487" t="str">
            <v>ALTURA</v>
          </cell>
          <cell r="H487" t="str">
            <v>PARCIAL</v>
          </cell>
          <cell r="I487" t="str">
            <v>TOTAL</v>
          </cell>
          <cell r="J487" t="str">
            <v>UNIDAD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1.1309733552923256E-2</v>
          </cell>
          <cell r="J488" t="str">
            <v>m3</v>
          </cell>
        </row>
        <row r="489">
          <cell r="A489">
            <v>0</v>
          </cell>
          <cell r="B489" t="str">
            <v>Filtro de grava</v>
          </cell>
          <cell r="C489">
            <v>0</v>
          </cell>
          <cell r="D489">
            <v>1.2</v>
          </cell>
          <cell r="E489">
            <v>0.2</v>
          </cell>
          <cell r="F489">
            <v>0</v>
          </cell>
          <cell r="G489">
            <v>0.3</v>
          </cell>
          <cell r="H489">
            <v>1.1309733552923256E-2</v>
          </cell>
          <cell r="I489">
            <v>0</v>
          </cell>
          <cell r="J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1.0701050101039999</v>
          </cell>
          <cell r="B492" t="str">
            <v>ELIMINACION DE MATERIAL EXCEDENTE  DP=30m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0.48409911184307769</v>
          </cell>
          <cell r="J492" t="str">
            <v>m3</v>
          </cell>
        </row>
        <row r="493">
          <cell r="A493">
            <v>0</v>
          </cell>
        </row>
        <row r="494">
          <cell r="A494">
            <v>0</v>
          </cell>
          <cell r="B494" t="str">
            <v>DESCRIPCION</v>
          </cell>
          <cell r="C494">
            <v>0</v>
          </cell>
          <cell r="D494" t="str">
            <v>N° VECES</v>
          </cell>
          <cell r="E494" t="str">
            <v>EXC.</v>
          </cell>
          <cell r="F494" t="str">
            <v>RELLENO PROP.</v>
          </cell>
          <cell r="G494" t="str">
            <v>ALTURA</v>
          </cell>
          <cell r="H494" t="str">
            <v>PARCIAL</v>
          </cell>
          <cell r="I494" t="str">
            <v>TOTAL</v>
          </cell>
          <cell r="J494" t="str">
            <v>UNIDAD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0.48409911184307769</v>
          </cell>
          <cell r="J495" t="str">
            <v>m3</v>
          </cell>
        </row>
        <row r="496">
          <cell r="A496">
            <v>0</v>
          </cell>
          <cell r="B496" t="str">
            <v>Volúmenes descontados</v>
          </cell>
          <cell r="C496">
            <v>0</v>
          </cell>
          <cell r="D496">
            <v>1</v>
          </cell>
          <cell r="E496">
            <v>0.84409911184307773</v>
          </cell>
          <cell r="F496">
            <v>0.36000000000000004</v>
          </cell>
          <cell r="G496">
            <v>0</v>
          </cell>
          <cell r="H496">
            <v>0.48409911184307769</v>
          </cell>
          <cell r="I496">
            <v>0</v>
          </cell>
          <cell r="J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1.0701050101999996</v>
          </cell>
          <cell r="B499" t="str">
            <v>OBRAS DE CONCRETO ARMADO</v>
          </cell>
        </row>
        <row r="500">
          <cell r="A500">
            <v>0</v>
          </cell>
        </row>
        <row r="501">
          <cell r="A501">
            <v>1.0701050102009997</v>
          </cell>
          <cell r="B501" t="str">
            <v>CONCRETO f'c=175 Kg/cm2, S/MEZCLADORA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0.5228584073464102</v>
          </cell>
          <cell r="J501" t="str">
            <v>m3</v>
          </cell>
        </row>
        <row r="502">
          <cell r="A502">
            <v>0</v>
          </cell>
          <cell r="B502" t="str">
            <v xml:space="preserve">CONCRETO LOSA MACIZA TAPA F'c=175 Kg/cm2 </v>
          </cell>
          <cell r="I502">
            <v>0</v>
          </cell>
          <cell r="J502">
            <v>0</v>
          </cell>
        </row>
        <row r="503">
          <cell r="A503">
            <v>0</v>
          </cell>
          <cell r="B503">
            <v>0</v>
          </cell>
          <cell r="I503">
            <v>0</v>
          </cell>
          <cell r="J503">
            <v>0</v>
          </cell>
        </row>
        <row r="504">
          <cell r="A504">
            <v>0</v>
          </cell>
          <cell r="B504" t="str">
            <v>DESCRIPCION</v>
          </cell>
          <cell r="C504">
            <v>0</v>
          </cell>
          <cell r="D504" t="str">
            <v>N° VECES</v>
          </cell>
          <cell r="E504" t="str">
            <v>LARGO</v>
          </cell>
          <cell r="F504" t="str">
            <v>ANCHO</v>
          </cell>
          <cell r="G504" t="str">
            <v>ALTURA</v>
          </cell>
          <cell r="H504" t="str">
            <v>PARCIAL</v>
          </cell>
          <cell r="I504" t="str">
            <v>TOTAL</v>
          </cell>
          <cell r="J504" t="str">
            <v>UNIDAD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0.5228584073464102</v>
          </cell>
          <cell r="J505" t="str">
            <v>m3</v>
          </cell>
        </row>
        <row r="506">
          <cell r="A506">
            <v>0</v>
          </cell>
          <cell r="B506" t="str">
            <v>Concreto losa maciza</v>
          </cell>
          <cell r="C506">
            <v>0</v>
          </cell>
          <cell r="D506">
            <v>1</v>
          </cell>
          <cell r="E506">
            <v>1</v>
          </cell>
          <cell r="F506">
            <v>1</v>
          </cell>
          <cell r="G506">
            <v>0.1</v>
          </cell>
          <cell r="H506">
            <v>0.1</v>
          </cell>
          <cell r="I506">
            <v>0</v>
          </cell>
          <cell r="J506">
            <v>0</v>
          </cell>
        </row>
        <row r="507">
          <cell r="A507">
            <v>0</v>
          </cell>
          <cell r="B507" t="str">
            <v>área descontada de tapa</v>
          </cell>
          <cell r="C507">
            <v>0</v>
          </cell>
          <cell r="D507">
            <v>-1</v>
          </cell>
          <cell r="E507">
            <v>0.6</v>
          </cell>
          <cell r="F507">
            <v>0.6</v>
          </cell>
          <cell r="G507">
            <v>0.1</v>
          </cell>
          <cell r="H507">
            <v>-3.5999999999999997E-2</v>
          </cell>
          <cell r="I507">
            <v>0</v>
          </cell>
          <cell r="J507">
            <v>0</v>
          </cell>
        </row>
        <row r="508">
          <cell r="A508">
            <v>0</v>
          </cell>
          <cell r="B508" t="str">
            <v>Concreto en muro frontal</v>
          </cell>
          <cell r="C508">
            <v>0</v>
          </cell>
          <cell r="D508">
            <v>1</v>
          </cell>
          <cell r="E508">
            <v>1.2</v>
          </cell>
          <cell r="F508">
            <v>0.1</v>
          </cell>
          <cell r="G508">
            <v>1.2000000000000002</v>
          </cell>
          <cell r="H508">
            <v>0.14400000000000002</v>
          </cell>
          <cell r="I508">
            <v>0</v>
          </cell>
          <cell r="J508">
            <v>0</v>
          </cell>
        </row>
        <row r="509">
          <cell r="A509">
            <v>0</v>
          </cell>
          <cell r="B509" t="str">
            <v>Concreto en muro lateral</v>
          </cell>
          <cell r="C509">
            <v>0</v>
          </cell>
          <cell r="D509">
            <v>1</v>
          </cell>
          <cell r="E509">
            <v>1.075</v>
          </cell>
          <cell r="F509">
            <v>0.1</v>
          </cell>
          <cell r="G509">
            <v>1.2000000000000002</v>
          </cell>
          <cell r="H509">
            <v>0.129</v>
          </cell>
          <cell r="I509">
            <v>0</v>
          </cell>
          <cell r="J509">
            <v>0</v>
          </cell>
        </row>
        <row r="510">
          <cell r="A510">
            <v>0</v>
          </cell>
          <cell r="B510" t="str">
            <v>Concreto en losa de fondo</v>
          </cell>
          <cell r="C510">
            <v>0</v>
          </cell>
          <cell r="D510">
            <v>1</v>
          </cell>
          <cell r="E510">
            <v>1.4</v>
          </cell>
          <cell r="F510">
            <v>1.35</v>
          </cell>
          <cell r="G510">
            <v>0.1</v>
          </cell>
          <cell r="H510">
            <v>0.189</v>
          </cell>
          <cell r="I510">
            <v>0</v>
          </cell>
          <cell r="J510">
            <v>0</v>
          </cell>
        </row>
        <row r="511">
          <cell r="A511">
            <v>0</v>
          </cell>
          <cell r="B511" t="str">
            <v>área descontada del filtro</v>
          </cell>
          <cell r="C511">
            <v>0</v>
          </cell>
          <cell r="D511">
            <v>-1</v>
          </cell>
          <cell r="E511">
            <v>0.2</v>
          </cell>
          <cell r="F511">
            <v>0</v>
          </cell>
          <cell r="G511">
            <v>0.1</v>
          </cell>
          <cell r="H511">
            <v>-3.1415926535897937E-3</v>
          </cell>
          <cell r="I511">
            <v>0</v>
          </cell>
          <cell r="J511">
            <v>0</v>
          </cell>
        </row>
        <row r="512">
          <cell r="A512">
            <v>0</v>
          </cell>
          <cell r="B512">
            <v>0</v>
          </cell>
          <cell r="I512">
            <v>0</v>
          </cell>
          <cell r="J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</row>
        <row r="514">
          <cell r="A514">
            <v>1.0701050102019998</v>
          </cell>
          <cell r="B514" t="str">
            <v>ENCOFRADO Y DESENCOFRADO NORMAL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9.0550000000000015</v>
          </cell>
          <cell r="J514" t="str">
            <v>m2</v>
          </cell>
        </row>
        <row r="515">
          <cell r="A515">
            <v>0</v>
          </cell>
          <cell r="B515" t="str">
            <v>ENCOFRADO Y DESENCOFRADO DE MURO (02 CARAS)</v>
          </cell>
          <cell r="I515">
            <v>0</v>
          </cell>
          <cell r="J515">
            <v>0</v>
          </cell>
        </row>
        <row r="516">
          <cell r="A516">
            <v>0</v>
          </cell>
          <cell r="B516">
            <v>0</v>
          </cell>
          <cell r="I516">
            <v>0</v>
          </cell>
          <cell r="J516">
            <v>0</v>
          </cell>
        </row>
        <row r="517">
          <cell r="A517">
            <v>0</v>
          </cell>
          <cell r="B517" t="str">
            <v>DESCRIPCION</v>
          </cell>
          <cell r="C517">
            <v>0</v>
          </cell>
          <cell r="D517" t="str">
            <v>N° VECES</v>
          </cell>
          <cell r="E517" t="str">
            <v>LARGO</v>
          </cell>
          <cell r="F517" t="str">
            <v>ANCHO</v>
          </cell>
          <cell r="G517" t="str">
            <v>ALTURA</v>
          </cell>
          <cell r="H517" t="str">
            <v>PARCIAL</v>
          </cell>
          <cell r="I517" t="str">
            <v>TOTAL</v>
          </cell>
          <cell r="J517" t="str">
            <v>UNIDAD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9.0550000000000015</v>
          </cell>
          <cell r="J518" t="str">
            <v>m2</v>
          </cell>
        </row>
        <row r="519">
          <cell r="A519">
            <v>0</v>
          </cell>
          <cell r="B519" t="str">
            <v>E/D muros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</row>
        <row r="520">
          <cell r="A520">
            <v>0</v>
          </cell>
          <cell r="B520" t="str">
            <v>externo frontal</v>
          </cell>
          <cell r="C520">
            <v>0</v>
          </cell>
          <cell r="D520">
            <v>1</v>
          </cell>
          <cell r="E520">
            <v>1.2</v>
          </cell>
          <cell r="G520">
            <v>1.2000000000000002</v>
          </cell>
          <cell r="H520">
            <v>1.4400000000000002</v>
          </cell>
          <cell r="I520">
            <v>0</v>
          </cell>
          <cell r="J520">
            <v>0</v>
          </cell>
        </row>
        <row r="521">
          <cell r="A521">
            <v>0</v>
          </cell>
          <cell r="B521" t="str">
            <v>externo lateral</v>
          </cell>
          <cell r="C521">
            <v>0</v>
          </cell>
          <cell r="D521">
            <v>2</v>
          </cell>
          <cell r="E521">
            <v>0</v>
          </cell>
          <cell r="F521">
            <v>1.075</v>
          </cell>
          <cell r="G521">
            <v>1.2000000000000002</v>
          </cell>
          <cell r="H521">
            <v>2.58</v>
          </cell>
          <cell r="I521">
            <v>0</v>
          </cell>
          <cell r="J521">
            <v>0</v>
          </cell>
        </row>
        <row r="522">
          <cell r="A522">
            <v>0</v>
          </cell>
          <cell r="B522" t="str">
            <v>interno frontal</v>
          </cell>
          <cell r="C522">
            <v>0</v>
          </cell>
          <cell r="D522">
            <v>1</v>
          </cell>
          <cell r="E522">
            <v>1</v>
          </cell>
          <cell r="G522">
            <v>1.2000000000000002</v>
          </cell>
          <cell r="H522">
            <v>1.2000000000000002</v>
          </cell>
          <cell r="I522">
            <v>0</v>
          </cell>
          <cell r="J522">
            <v>0</v>
          </cell>
        </row>
        <row r="523">
          <cell r="A523">
            <v>0</v>
          </cell>
          <cell r="B523" t="str">
            <v>interno lateral</v>
          </cell>
          <cell r="C523">
            <v>0</v>
          </cell>
          <cell r="D523">
            <v>2</v>
          </cell>
          <cell r="E523">
            <v>0</v>
          </cell>
          <cell r="F523">
            <v>1.05</v>
          </cell>
          <cell r="G523">
            <v>1.2000000000000002</v>
          </cell>
          <cell r="H523">
            <v>2.5200000000000005</v>
          </cell>
          <cell r="I523">
            <v>0</v>
          </cell>
          <cell r="J523">
            <v>0</v>
          </cell>
        </row>
        <row r="524">
          <cell r="A524">
            <v>0</v>
          </cell>
          <cell r="B524" t="str">
            <v>E/D losa maciza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>
            <v>0</v>
          </cell>
          <cell r="B525" t="str">
            <v>losa interna</v>
          </cell>
          <cell r="C525">
            <v>0</v>
          </cell>
          <cell r="D525">
            <v>1</v>
          </cell>
          <cell r="E525">
            <v>1</v>
          </cell>
          <cell r="F525">
            <v>1.075</v>
          </cell>
          <cell r="G525">
            <v>0</v>
          </cell>
          <cell r="H525">
            <v>1.075</v>
          </cell>
          <cell r="I525">
            <v>0</v>
          </cell>
          <cell r="J525">
            <v>0</v>
          </cell>
        </row>
        <row r="526">
          <cell r="A526">
            <v>0</v>
          </cell>
          <cell r="B526" t="str">
            <v>frisos</v>
          </cell>
          <cell r="C526">
            <v>0</v>
          </cell>
          <cell r="D526">
            <v>1</v>
          </cell>
          <cell r="E526">
            <v>2.4</v>
          </cell>
          <cell r="F526">
            <v>0</v>
          </cell>
          <cell r="G526">
            <v>0.1</v>
          </cell>
          <cell r="H526">
            <v>0.24</v>
          </cell>
          <cell r="I526">
            <v>0</v>
          </cell>
          <cell r="J526">
            <v>0</v>
          </cell>
        </row>
        <row r="527">
          <cell r="A527">
            <v>0</v>
          </cell>
          <cell r="B527">
            <v>0</v>
          </cell>
          <cell r="I527">
            <v>0</v>
          </cell>
          <cell r="J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</row>
        <row r="529">
          <cell r="A529">
            <v>1.0701050102029999</v>
          </cell>
          <cell r="B529" t="str">
            <v>ACERO CORRUGADO fy=4200 kg/cm2 GRADO 60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34.903680000000008</v>
          </cell>
          <cell r="J529" t="str">
            <v>kg</v>
          </cell>
        </row>
        <row r="530">
          <cell r="A530">
            <v>0</v>
          </cell>
          <cell r="B530">
            <v>0</v>
          </cell>
          <cell r="I530">
            <v>0</v>
          </cell>
          <cell r="J530">
            <v>0</v>
          </cell>
        </row>
        <row r="531">
          <cell r="A531">
            <v>1.0701050199999995</v>
          </cell>
          <cell r="B531" t="str">
            <v>ARQUITECTURA</v>
          </cell>
        </row>
        <row r="532">
          <cell r="A532">
            <v>1.0701050200999995</v>
          </cell>
          <cell r="B532" t="str">
            <v xml:space="preserve">REVOQUES, ENLUCIDOS Y MOLDURAS </v>
          </cell>
        </row>
        <row r="533">
          <cell r="A533">
            <v>1.0701050201009996</v>
          </cell>
          <cell r="B533" t="str">
            <v xml:space="preserve">TARRAJEO INT. Y EXT. MEZC. 1:2 E= 1.5cm 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11.96</v>
          </cell>
          <cell r="J533" t="str">
            <v>m2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</row>
        <row r="536">
          <cell r="A536">
            <v>0</v>
          </cell>
          <cell r="B536" t="str">
            <v>DESCRIPCION</v>
          </cell>
          <cell r="C536">
            <v>0</v>
          </cell>
          <cell r="D536" t="str">
            <v>N° VECES</v>
          </cell>
          <cell r="E536" t="str">
            <v>LARGO</v>
          </cell>
          <cell r="F536" t="str">
            <v>ANCHO</v>
          </cell>
          <cell r="G536" t="str">
            <v>ALTURA</v>
          </cell>
          <cell r="H536" t="str">
            <v>PARCIAL</v>
          </cell>
          <cell r="I536" t="str">
            <v>TOTAL</v>
          </cell>
          <cell r="J536" t="str">
            <v>UNIDAD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11.96</v>
          </cell>
          <cell r="J537" t="str">
            <v>m2</v>
          </cell>
        </row>
        <row r="538">
          <cell r="A538">
            <v>0</v>
          </cell>
          <cell r="B538" t="str">
            <v>Tarrajeo muros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</row>
        <row r="539">
          <cell r="A539">
            <v>0</v>
          </cell>
          <cell r="B539" t="str">
            <v>Pared interna</v>
          </cell>
          <cell r="C539">
            <v>0</v>
          </cell>
          <cell r="D539">
            <v>1</v>
          </cell>
          <cell r="E539">
            <v>3.15</v>
          </cell>
          <cell r="F539">
            <v>0</v>
          </cell>
          <cell r="G539">
            <v>1.2000000000000002</v>
          </cell>
          <cell r="H539">
            <v>3.7800000000000002</v>
          </cell>
          <cell r="I539">
            <v>0</v>
          </cell>
          <cell r="J539">
            <v>0</v>
          </cell>
        </row>
        <row r="540">
          <cell r="A540">
            <v>0</v>
          </cell>
          <cell r="B540" t="str">
            <v>Pared externa</v>
          </cell>
          <cell r="C540">
            <v>0</v>
          </cell>
          <cell r="D540">
            <v>1</v>
          </cell>
          <cell r="E540">
            <v>3.55</v>
          </cell>
          <cell r="F540">
            <v>0</v>
          </cell>
          <cell r="G540">
            <v>1.2000000000000002</v>
          </cell>
          <cell r="H540">
            <v>4.2600000000000007</v>
          </cell>
          <cell r="I540">
            <v>0</v>
          </cell>
          <cell r="J540">
            <v>0</v>
          </cell>
        </row>
        <row r="541">
          <cell r="A541">
            <v>0</v>
          </cell>
          <cell r="B541" t="str">
            <v>Tarrajeo techo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</row>
        <row r="542">
          <cell r="A542">
            <v>0</v>
          </cell>
          <cell r="B542" t="str">
            <v>área interna</v>
          </cell>
          <cell r="C542">
            <v>0</v>
          </cell>
          <cell r="D542">
            <v>1</v>
          </cell>
          <cell r="E542">
            <v>1</v>
          </cell>
          <cell r="F542">
            <v>1</v>
          </cell>
          <cell r="G542">
            <v>0</v>
          </cell>
          <cell r="H542">
            <v>1</v>
          </cell>
          <cell r="I542">
            <v>0</v>
          </cell>
          <cell r="J542">
            <v>0</v>
          </cell>
        </row>
        <row r="543">
          <cell r="A543">
            <v>0</v>
          </cell>
          <cell r="B543" t="str">
            <v>área externa</v>
          </cell>
          <cell r="C543">
            <v>0</v>
          </cell>
          <cell r="D543">
            <v>1</v>
          </cell>
          <cell r="E543">
            <v>1.1000000000000001</v>
          </cell>
          <cell r="F543">
            <v>0</v>
          </cell>
          <cell r="G543">
            <v>1.2</v>
          </cell>
          <cell r="H543">
            <v>1.32</v>
          </cell>
          <cell r="I543">
            <v>0</v>
          </cell>
          <cell r="J543">
            <v>0</v>
          </cell>
        </row>
        <row r="544">
          <cell r="A544">
            <v>0</v>
          </cell>
          <cell r="B544" t="str">
            <v>área de frizos</v>
          </cell>
          <cell r="C544">
            <v>0</v>
          </cell>
          <cell r="D544">
            <v>1</v>
          </cell>
          <cell r="E544">
            <v>2.4</v>
          </cell>
          <cell r="F544">
            <v>0</v>
          </cell>
          <cell r="G544">
            <v>0.1</v>
          </cell>
          <cell r="H544">
            <v>0.24</v>
          </cell>
          <cell r="I544">
            <v>0</v>
          </cell>
          <cell r="J544">
            <v>0</v>
          </cell>
        </row>
        <row r="545">
          <cell r="A545">
            <v>0</v>
          </cell>
          <cell r="B545" t="str">
            <v>área de tapa metálica</v>
          </cell>
          <cell r="C545">
            <v>0</v>
          </cell>
          <cell r="D545">
            <v>1</v>
          </cell>
          <cell r="E545">
            <v>0.6</v>
          </cell>
          <cell r="F545">
            <v>0.6</v>
          </cell>
          <cell r="G545">
            <v>0</v>
          </cell>
          <cell r="H545">
            <v>0.36</v>
          </cell>
          <cell r="I545">
            <v>0</v>
          </cell>
          <cell r="J545">
            <v>0</v>
          </cell>
        </row>
        <row r="546">
          <cell r="A546">
            <v>0</v>
          </cell>
          <cell r="B546" t="str">
            <v>Tarrajeo losa de fondo</v>
          </cell>
          <cell r="C546">
            <v>0</v>
          </cell>
          <cell r="D546">
            <v>1</v>
          </cell>
          <cell r="E546">
            <v>1</v>
          </cell>
          <cell r="F546">
            <v>1</v>
          </cell>
          <cell r="G546">
            <v>0</v>
          </cell>
          <cell r="H546">
            <v>1</v>
          </cell>
          <cell r="I546">
            <v>0</v>
          </cell>
          <cell r="J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>
            <v>0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>
            <v>1.0701050201999995</v>
          </cell>
          <cell r="B549" t="str">
            <v xml:space="preserve">PINTURA </v>
          </cell>
        </row>
        <row r="550">
          <cell r="A550">
            <v>1.0701050202009996</v>
          </cell>
          <cell r="B550" t="str">
            <v xml:space="preserve">PINTURA LATEX EN EXTERIORES (DOS MANOS) 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5.2200000000000006</v>
          </cell>
          <cell r="J550" t="str">
            <v>m2</v>
          </cell>
        </row>
        <row r="551">
          <cell r="A551">
            <v>0</v>
          </cell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>
            <v>0</v>
          </cell>
          <cell r="B552" t="str">
            <v>DESCRIPCION</v>
          </cell>
          <cell r="C552">
            <v>0</v>
          </cell>
          <cell r="D552" t="str">
            <v>N° VECES</v>
          </cell>
          <cell r="E552" t="str">
            <v>LARGO</v>
          </cell>
          <cell r="F552" t="str">
            <v>ANCHO</v>
          </cell>
          <cell r="G552" t="str">
            <v>ALTURA</v>
          </cell>
          <cell r="H552" t="str">
            <v>PARCIAL</v>
          </cell>
          <cell r="I552" t="str">
            <v>TOTAL</v>
          </cell>
          <cell r="J552" t="str">
            <v>UNIDAD</v>
          </cell>
        </row>
        <row r="553">
          <cell r="A553">
            <v>0</v>
          </cell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5.2200000000000006</v>
          </cell>
          <cell r="J553" t="str">
            <v>m2</v>
          </cell>
        </row>
        <row r="554">
          <cell r="A554">
            <v>0</v>
          </cell>
          <cell r="B554" t="str">
            <v>Para muros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>
            <v>0</v>
          </cell>
          <cell r="B555" t="str">
            <v>Pared externa</v>
          </cell>
          <cell r="C555">
            <v>0</v>
          </cell>
          <cell r="D555">
            <v>1</v>
          </cell>
          <cell r="E555">
            <v>3.55</v>
          </cell>
          <cell r="F555">
            <v>0</v>
          </cell>
          <cell r="G555">
            <v>1.2000000000000002</v>
          </cell>
          <cell r="H555">
            <v>4.2600000000000007</v>
          </cell>
          <cell r="I555">
            <v>0</v>
          </cell>
          <cell r="J555">
            <v>0</v>
          </cell>
        </row>
        <row r="556">
          <cell r="A556">
            <v>0</v>
          </cell>
          <cell r="B556" t="str">
            <v>Para losa de techo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A557">
            <v>0</v>
          </cell>
          <cell r="B557" t="str">
            <v>área externa</v>
          </cell>
          <cell r="C557">
            <v>0</v>
          </cell>
          <cell r="D557">
            <v>1</v>
          </cell>
          <cell r="E557">
            <v>1.1000000000000001</v>
          </cell>
          <cell r="F557">
            <v>0</v>
          </cell>
          <cell r="G557">
            <v>1.2</v>
          </cell>
          <cell r="H557">
            <v>1.32</v>
          </cell>
          <cell r="I557">
            <v>0</v>
          </cell>
          <cell r="J557">
            <v>0</v>
          </cell>
        </row>
        <row r="558">
          <cell r="A558">
            <v>0</v>
          </cell>
          <cell r="B558" t="str">
            <v>área tapa metálica</v>
          </cell>
          <cell r="C558">
            <v>0</v>
          </cell>
          <cell r="D558">
            <v>-1</v>
          </cell>
          <cell r="E558">
            <v>0.6</v>
          </cell>
          <cell r="F558">
            <v>0.6</v>
          </cell>
          <cell r="G558">
            <v>0</v>
          </cell>
          <cell r="H558">
            <v>-0.36</v>
          </cell>
          <cell r="I558">
            <v>0</v>
          </cell>
          <cell r="J558">
            <v>0</v>
          </cell>
        </row>
        <row r="559">
          <cell r="A559">
            <v>0</v>
          </cell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>
            <v>0</v>
          </cell>
        </row>
        <row r="561">
          <cell r="A561">
            <v>1.0701050299999995</v>
          </cell>
          <cell r="B561" t="str">
            <v>INSTALACIONES HIDRÁULICAS</v>
          </cell>
        </row>
        <row r="562">
          <cell r="A562">
            <v>1.0701050300999995</v>
          </cell>
          <cell r="B562" t="str">
            <v>VALVULAS Y ACCESORIOS</v>
          </cell>
        </row>
        <row r="563">
          <cell r="A563">
            <v>1.0701050301009996</v>
          </cell>
          <cell r="B563" t="str">
            <v xml:space="preserve">SUMINISTRO E INST. DE ACCESORIOS DE ENTRADA 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1</v>
          </cell>
          <cell r="J563" t="str">
            <v>und</v>
          </cell>
        </row>
        <row r="564">
          <cell r="A564">
            <v>0</v>
          </cell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 t="str">
            <v xml:space="preserve"> </v>
          </cell>
          <cell r="H564">
            <v>0</v>
          </cell>
          <cell r="I564">
            <v>0</v>
          </cell>
          <cell r="J564">
            <v>0</v>
          </cell>
        </row>
        <row r="565">
          <cell r="A565">
            <v>0</v>
          </cell>
          <cell r="B565" t="str">
            <v>ACCESORIOS</v>
          </cell>
          <cell r="C565">
            <v>0</v>
          </cell>
          <cell r="D565">
            <v>0</v>
          </cell>
          <cell r="E565" t="str">
            <v>Ø</v>
          </cell>
          <cell r="F565" t="str">
            <v>CANT</v>
          </cell>
          <cell r="G565" t="str">
            <v>UNIDAD</v>
          </cell>
          <cell r="H565">
            <v>0</v>
          </cell>
          <cell r="I565">
            <v>0</v>
          </cell>
          <cell r="J565">
            <v>0</v>
          </cell>
        </row>
        <row r="566">
          <cell r="A566">
            <v>0</v>
          </cell>
          <cell r="B566" t="str">
            <v>VÁLVULA DE COMPUERTA DE BRONCE</v>
          </cell>
          <cell r="C566">
            <v>0</v>
          </cell>
          <cell r="D566">
            <v>0</v>
          </cell>
          <cell r="E566" t="str">
            <v>2"</v>
          </cell>
          <cell r="F566">
            <v>2</v>
          </cell>
          <cell r="G566" t="str">
            <v>und</v>
          </cell>
          <cell r="H566">
            <v>0</v>
          </cell>
          <cell r="I566">
            <v>0</v>
          </cell>
          <cell r="J566">
            <v>0</v>
          </cell>
        </row>
        <row r="567">
          <cell r="A567">
            <v>0</v>
          </cell>
          <cell r="B567" t="str">
            <v>ADAPTADORES F°G°</v>
          </cell>
          <cell r="C567">
            <v>0</v>
          </cell>
          <cell r="D567">
            <v>0</v>
          </cell>
          <cell r="E567" t="str">
            <v>2"</v>
          </cell>
          <cell r="F567">
            <v>4</v>
          </cell>
          <cell r="G567" t="str">
            <v>und</v>
          </cell>
          <cell r="H567">
            <v>0</v>
          </cell>
          <cell r="I567">
            <v>0</v>
          </cell>
          <cell r="J567">
            <v>0</v>
          </cell>
        </row>
        <row r="568">
          <cell r="A568">
            <v>0</v>
          </cell>
          <cell r="B568" t="str">
            <v>UNIÓN UNIVERSAL DE F°G°</v>
          </cell>
          <cell r="C568">
            <v>0</v>
          </cell>
          <cell r="D568">
            <v>0</v>
          </cell>
          <cell r="E568" t="str">
            <v>2"</v>
          </cell>
          <cell r="F568">
            <v>4</v>
          </cell>
          <cell r="G568" t="str">
            <v>und</v>
          </cell>
          <cell r="H568">
            <v>0</v>
          </cell>
          <cell r="I568">
            <v>0</v>
          </cell>
          <cell r="J568">
            <v>0</v>
          </cell>
        </row>
        <row r="569">
          <cell r="A569">
            <v>0</v>
          </cell>
          <cell r="B569" t="str">
            <v>CODOF°G°</v>
          </cell>
          <cell r="C569">
            <v>0</v>
          </cell>
          <cell r="D569">
            <v>0</v>
          </cell>
          <cell r="E569" t="str">
            <v>2"</v>
          </cell>
          <cell r="F569">
            <v>3</v>
          </cell>
          <cell r="G569" t="str">
            <v>und</v>
          </cell>
          <cell r="H569">
            <v>0</v>
          </cell>
          <cell r="I569">
            <v>0</v>
          </cell>
          <cell r="J569">
            <v>0</v>
          </cell>
        </row>
        <row r="570">
          <cell r="A570">
            <v>0</v>
          </cell>
          <cell r="B570" t="str">
            <v>TEE F°G°</v>
          </cell>
          <cell r="C570">
            <v>0</v>
          </cell>
          <cell r="D570">
            <v>0</v>
          </cell>
          <cell r="E570" t="str">
            <v>2"</v>
          </cell>
          <cell r="F570">
            <v>1</v>
          </cell>
          <cell r="G570" t="str">
            <v>und</v>
          </cell>
          <cell r="H570">
            <v>0</v>
          </cell>
          <cell r="I570">
            <v>0</v>
          </cell>
          <cell r="J570">
            <v>0</v>
          </cell>
        </row>
        <row r="571">
          <cell r="A571">
            <v>0</v>
          </cell>
          <cell r="B571" t="str">
            <v>NIPLE F°G°</v>
          </cell>
          <cell r="C571">
            <v>0</v>
          </cell>
          <cell r="D571">
            <v>0</v>
          </cell>
          <cell r="E571" t="str">
            <v>2"</v>
          </cell>
          <cell r="F571">
            <v>4</v>
          </cell>
          <cell r="G571" t="str">
            <v>und</v>
          </cell>
          <cell r="H571">
            <v>0</v>
          </cell>
          <cell r="I571">
            <v>0</v>
          </cell>
          <cell r="J571">
            <v>0</v>
          </cell>
        </row>
        <row r="572">
          <cell r="A572">
            <v>0</v>
          </cell>
          <cell r="B572" t="str">
            <v>TUBERÍA F°G°</v>
          </cell>
          <cell r="C572">
            <v>0</v>
          </cell>
          <cell r="D572">
            <v>0</v>
          </cell>
          <cell r="E572" t="str">
            <v>2"</v>
          </cell>
          <cell r="F572">
            <v>3</v>
          </cell>
          <cell r="G572" t="str">
            <v>m</v>
          </cell>
          <cell r="H572">
            <v>0</v>
          </cell>
          <cell r="I572">
            <v>0</v>
          </cell>
          <cell r="J572">
            <v>0</v>
          </cell>
        </row>
        <row r="573">
          <cell r="A573">
            <v>0</v>
          </cell>
          <cell r="B573" t="str">
            <v>TEE CON REDUCCION DE F°G°</v>
          </cell>
          <cell r="C573">
            <v>0</v>
          </cell>
          <cell r="D573">
            <v>0</v>
          </cell>
          <cell r="E573" t="str">
            <v>2"-1/2"</v>
          </cell>
          <cell r="F573">
            <v>1</v>
          </cell>
          <cell r="G573" t="str">
            <v>und</v>
          </cell>
          <cell r="H573">
            <v>0</v>
          </cell>
          <cell r="I573">
            <v>0</v>
          </cell>
          <cell r="J573">
            <v>0</v>
          </cell>
        </row>
        <row r="574">
          <cell r="A574">
            <v>0</v>
          </cell>
          <cell r="B574" t="str">
            <v>BRIDA ROMPE AGUA DE F°G°</v>
          </cell>
          <cell r="C574">
            <v>0</v>
          </cell>
          <cell r="D574">
            <v>0</v>
          </cell>
          <cell r="E574" t="str">
            <v>2"</v>
          </cell>
          <cell r="F574">
            <v>1</v>
          </cell>
          <cell r="G574" t="str">
            <v>und</v>
          </cell>
          <cell r="H574">
            <v>0</v>
          </cell>
          <cell r="I574">
            <v>0</v>
          </cell>
          <cell r="J574">
            <v>0</v>
          </cell>
        </row>
        <row r="575">
          <cell r="A575">
            <v>0</v>
          </cell>
          <cell r="B575" t="str">
            <v>VALVULA FLOTADORA</v>
          </cell>
          <cell r="C575">
            <v>0</v>
          </cell>
          <cell r="D575">
            <v>0</v>
          </cell>
          <cell r="E575" t="str">
            <v>2"</v>
          </cell>
          <cell r="F575">
            <v>1</v>
          </cell>
          <cell r="G575" t="str">
            <v>und</v>
          </cell>
          <cell r="H575">
            <v>0</v>
          </cell>
          <cell r="I575">
            <v>0</v>
          </cell>
          <cell r="J575">
            <v>0</v>
          </cell>
        </row>
        <row r="576">
          <cell r="A576">
            <v>0</v>
          </cell>
          <cell r="B576" t="str">
            <v>ABRAZADERA F°G°</v>
          </cell>
          <cell r="C576">
            <v>0</v>
          </cell>
          <cell r="D576">
            <v>0</v>
          </cell>
          <cell r="E576" t="str">
            <v>2"</v>
          </cell>
          <cell r="F576">
            <v>3</v>
          </cell>
          <cell r="G576" t="str">
            <v>und</v>
          </cell>
          <cell r="H576">
            <v>0</v>
          </cell>
          <cell r="I576">
            <v>0</v>
          </cell>
          <cell r="J576">
            <v>0</v>
          </cell>
        </row>
        <row r="577">
          <cell r="A577">
            <v>0</v>
          </cell>
        </row>
        <row r="578">
          <cell r="A578">
            <v>1.0701050301019996</v>
          </cell>
          <cell r="B578" t="str">
            <v xml:space="preserve">SUMINISTRO E INST. DE ACCESORIOS DE SALIDA  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1</v>
          </cell>
          <cell r="J578" t="str">
            <v>und</v>
          </cell>
        </row>
        <row r="579">
          <cell r="A579">
            <v>0</v>
          </cell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>
            <v>0</v>
          </cell>
          <cell r="B580" t="str">
            <v>SALIDA 1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</row>
        <row r="581">
          <cell r="A581">
            <v>0</v>
          </cell>
          <cell r="B581" t="str">
            <v>ACCESORIOS</v>
          </cell>
          <cell r="C581">
            <v>0</v>
          </cell>
          <cell r="D581">
            <v>0</v>
          </cell>
          <cell r="E581" t="str">
            <v>Ø</v>
          </cell>
          <cell r="F581" t="str">
            <v>CANT</v>
          </cell>
          <cell r="G581" t="str">
            <v>UNIDAD</v>
          </cell>
          <cell r="H581">
            <v>0</v>
          </cell>
          <cell r="I581">
            <v>0</v>
          </cell>
          <cell r="J581">
            <v>0</v>
          </cell>
        </row>
        <row r="582">
          <cell r="A582">
            <v>0</v>
          </cell>
          <cell r="B582" t="str">
            <v>VÁLVULA DE COMPUERTA DE BRONCE</v>
          </cell>
          <cell r="C582">
            <v>0</v>
          </cell>
          <cell r="D582">
            <v>0</v>
          </cell>
          <cell r="E582" t="str">
            <v>2  1/2"</v>
          </cell>
          <cell r="F582">
            <v>1</v>
          </cell>
          <cell r="G582" t="str">
            <v>und</v>
          </cell>
          <cell r="H582">
            <v>0</v>
          </cell>
          <cell r="I582">
            <v>0</v>
          </cell>
          <cell r="J582">
            <v>0</v>
          </cell>
        </row>
        <row r="583">
          <cell r="A583">
            <v>0</v>
          </cell>
          <cell r="B583" t="str">
            <v>ADAPTADORES F°G°</v>
          </cell>
          <cell r="C583">
            <v>0</v>
          </cell>
          <cell r="D583">
            <v>0</v>
          </cell>
          <cell r="E583" t="str">
            <v>2  1/2"</v>
          </cell>
          <cell r="F583">
            <v>2</v>
          </cell>
          <cell r="G583" t="str">
            <v>und</v>
          </cell>
          <cell r="H583">
            <v>0</v>
          </cell>
          <cell r="I583">
            <v>0</v>
          </cell>
          <cell r="J583">
            <v>0</v>
          </cell>
        </row>
        <row r="584">
          <cell r="A584">
            <v>0</v>
          </cell>
          <cell r="B584" t="str">
            <v>UNIÓN UNIVERSAL DE F°G°</v>
          </cell>
          <cell r="C584">
            <v>0</v>
          </cell>
          <cell r="D584">
            <v>0</v>
          </cell>
          <cell r="E584" t="str">
            <v>2  1/2"</v>
          </cell>
          <cell r="F584">
            <v>2</v>
          </cell>
          <cell r="G584" t="str">
            <v>und</v>
          </cell>
          <cell r="H584">
            <v>0</v>
          </cell>
          <cell r="I584">
            <v>0</v>
          </cell>
          <cell r="J584">
            <v>0</v>
          </cell>
        </row>
        <row r="585">
          <cell r="A585">
            <v>0</v>
          </cell>
          <cell r="B585" t="str">
            <v>TEE F°G°</v>
          </cell>
          <cell r="C585">
            <v>0</v>
          </cell>
          <cell r="D585">
            <v>0</v>
          </cell>
          <cell r="E585" t="str">
            <v>2  1/2"</v>
          </cell>
          <cell r="F585">
            <v>1</v>
          </cell>
          <cell r="G585" t="str">
            <v>und</v>
          </cell>
          <cell r="H585">
            <v>0</v>
          </cell>
          <cell r="I585">
            <v>0</v>
          </cell>
          <cell r="J585">
            <v>0</v>
          </cell>
        </row>
        <row r="586">
          <cell r="A586">
            <v>0</v>
          </cell>
          <cell r="B586" t="str">
            <v xml:space="preserve">NIPLE F°G° </v>
          </cell>
          <cell r="C586">
            <v>0</v>
          </cell>
          <cell r="D586">
            <v>0</v>
          </cell>
          <cell r="E586" t="str">
            <v>2  1/2"</v>
          </cell>
          <cell r="F586">
            <v>2</v>
          </cell>
          <cell r="G586" t="str">
            <v>und</v>
          </cell>
          <cell r="H586">
            <v>0</v>
          </cell>
          <cell r="I586">
            <v>0</v>
          </cell>
          <cell r="J586">
            <v>0</v>
          </cell>
        </row>
        <row r="587">
          <cell r="A587">
            <v>0</v>
          </cell>
          <cell r="B587" t="str">
            <v>TUBERÍA F°G°</v>
          </cell>
          <cell r="C587">
            <v>0</v>
          </cell>
          <cell r="D587">
            <v>0</v>
          </cell>
          <cell r="E587" t="str">
            <v>2  1/2"</v>
          </cell>
          <cell r="F587">
            <v>1</v>
          </cell>
          <cell r="G587" t="str">
            <v>m</v>
          </cell>
          <cell r="H587">
            <v>0</v>
          </cell>
          <cell r="I587">
            <v>0</v>
          </cell>
          <cell r="J587">
            <v>0</v>
          </cell>
        </row>
        <row r="588">
          <cell r="A588">
            <v>0</v>
          </cell>
          <cell r="B588" t="str">
            <v>CANASTILLA DE PVC</v>
          </cell>
          <cell r="C588">
            <v>0</v>
          </cell>
          <cell r="D588">
            <v>0</v>
          </cell>
          <cell r="E588" t="str">
            <v>2 1/2"- 3"</v>
          </cell>
          <cell r="F588">
            <v>1</v>
          </cell>
          <cell r="G588" t="str">
            <v>und</v>
          </cell>
          <cell r="H588">
            <v>0</v>
          </cell>
          <cell r="I588">
            <v>0</v>
          </cell>
          <cell r="J588">
            <v>0</v>
          </cell>
        </row>
        <row r="589">
          <cell r="A589">
            <v>0</v>
          </cell>
          <cell r="B589" t="str">
            <v>UNION SP PVC</v>
          </cell>
          <cell r="C589">
            <v>0</v>
          </cell>
          <cell r="D589">
            <v>0</v>
          </cell>
          <cell r="E589" t="str">
            <v>2  1/2"</v>
          </cell>
          <cell r="F589">
            <v>1</v>
          </cell>
          <cell r="G589" t="str">
            <v>und</v>
          </cell>
          <cell r="H589">
            <v>0</v>
          </cell>
          <cell r="I589">
            <v>0</v>
          </cell>
          <cell r="J589">
            <v>0</v>
          </cell>
        </row>
        <row r="590">
          <cell r="A590">
            <v>0</v>
          </cell>
          <cell r="B590" t="str">
            <v>BRIDA ROMPE AGUA DE F°G°</v>
          </cell>
          <cell r="C590">
            <v>0</v>
          </cell>
          <cell r="D590">
            <v>0</v>
          </cell>
          <cell r="E590" t="str">
            <v>2  1/2"</v>
          </cell>
          <cell r="F590">
            <v>1</v>
          </cell>
          <cell r="G590" t="str">
            <v>und</v>
          </cell>
          <cell r="H590">
            <v>0</v>
          </cell>
          <cell r="I590">
            <v>0</v>
          </cell>
          <cell r="J590">
            <v>0</v>
          </cell>
        </row>
        <row r="591">
          <cell r="A591">
            <v>0</v>
          </cell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</row>
        <row r="592">
          <cell r="A592">
            <v>0</v>
          </cell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</row>
        <row r="593">
          <cell r="A593">
            <v>1.0701050301029997</v>
          </cell>
          <cell r="B593" t="str">
            <v xml:space="preserve">SUMINISTRO E INST. DE ACCESORIOS DE BY PASS 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1</v>
          </cell>
          <cell r="J593" t="str">
            <v>und</v>
          </cell>
        </row>
        <row r="594">
          <cell r="A594">
            <v>0</v>
          </cell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</row>
        <row r="595">
          <cell r="A595">
            <v>0</v>
          </cell>
          <cell r="B595" t="str">
            <v>ACCESORIOS</v>
          </cell>
          <cell r="C595">
            <v>0</v>
          </cell>
          <cell r="D595">
            <v>0</v>
          </cell>
          <cell r="E595" t="str">
            <v>Ø</v>
          </cell>
          <cell r="F595" t="str">
            <v>CANT</v>
          </cell>
          <cell r="G595" t="str">
            <v>UNIDAD</v>
          </cell>
          <cell r="H595">
            <v>0</v>
          </cell>
          <cell r="I595">
            <v>0</v>
          </cell>
          <cell r="J595">
            <v>0</v>
          </cell>
        </row>
        <row r="596">
          <cell r="A596">
            <v>0</v>
          </cell>
          <cell r="B596" t="str">
            <v>VÁLVULA DE COMPUERTA DE BRONCE</v>
          </cell>
          <cell r="C596">
            <v>0</v>
          </cell>
          <cell r="D596">
            <v>0</v>
          </cell>
          <cell r="E596" t="str">
            <v>2 1/2"</v>
          </cell>
          <cell r="F596">
            <v>1</v>
          </cell>
          <cell r="G596" t="str">
            <v>und</v>
          </cell>
          <cell r="H596">
            <v>0</v>
          </cell>
          <cell r="I596">
            <v>0</v>
          </cell>
          <cell r="J596">
            <v>0</v>
          </cell>
        </row>
        <row r="597">
          <cell r="A597">
            <v>0</v>
          </cell>
          <cell r="B597" t="str">
            <v>ADAPTADORES F°G°</v>
          </cell>
          <cell r="C597">
            <v>0</v>
          </cell>
          <cell r="D597">
            <v>0</v>
          </cell>
          <cell r="E597" t="str">
            <v>2 1/2"</v>
          </cell>
          <cell r="F597">
            <v>2</v>
          </cell>
          <cell r="G597" t="str">
            <v>und</v>
          </cell>
          <cell r="H597">
            <v>0</v>
          </cell>
          <cell r="I597">
            <v>0</v>
          </cell>
          <cell r="J597">
            <v>0</v>
          </cell>
        </row>
        <row r="598">
          <cell r="A598">
            <v>0</v>
          </cell>
          <cell r="B598" t="str">
            <v>UNIÓN UNIVERSAL DE F°G°</v>
          </cell>
          <cell r="C598">
            <v>0</v>
          </cell>
          <cell r="D598">
            <v>0</v>
          </cell>
          <cell r="E598" t="str">
            <v>2 1/2"</v>
          </cell>
          <cell r="F598">
            <v>2</v>
          </cell>
          <cell r="G598" t="str">
            <v>und</v>
          </cell>
          <cell r="H598">
            <v>0</v>
          </cell>
          <cell r="I598">
            <v>0</v>
          </cell>
          <cell r="J598">
            <v>0</v>
          </cell>
        </row>
        <row r="599">
          <cell r="A599">
            <v>0</v>
          </cell>
          <cell r="B599" t="str">
            <v xml:space="preserve">NIPLE F°G° </v>
          </cell>
          <cell r="C599">
            <v>0</v>
          </cell>
          <cell r="D599">
            <v>0</v>
          </cell>
          <cell r="E599" t="str">
            <v>2 1/2"</v>
          </cell>
          <cell r="F599">
            <v>2</v>
          </cell>
          <cell r="G599" t="str">
            <v>und</v>
          </cell>
          <cell r="H599">
            <v>0</v>
          </cell>
          <cell r="I599">
            <v>0</v>
          </cell>
          <cell r="J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</row>
        <row r="601">
          <cell r="A601">
            <v>1.0701050301039998</v>
          </cell>
          <cell r="B601" t="str">
            <v>SUMINISTRO E INST. DE ACCESORIOS DE LIMPIA Y REBOSE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1</v>
          </cell>
          <cell r="J601" t="str">
            <v>und</v>
          </cell>
        </row>
        <row r="602">
          <cell r="A602">
            <v>0</v>
          </cell>
          <cell r="B602">
            <v>0</v>
          </cell>
          <cell r="I602">
            <v>0</v>
          </cell>
          <cell r="J602">
            <v>0</v>
          </cell>
        </row>
        <row r="603">
          <cell r="A603">
            <v>0</v>
          </cell>
          <cell r="B603" t="str">
            <v>ACCESORIOS</v>
          </cell>
          <cell r="C603">
            <v>0</v>
          </cell>
          <cell r="D603">
            <v>0</v>
          </cell>
          <cell r="E603" t="str">
            <v>Ø</v>
          </cell>
          <cell r="F603" t="str">
            <v>CANT</v>
          </cell>
          <cell r="G603" t="str">
            <v>UNIDAD</v>
          </cell>
          <cell r="H603">
            <v>0</v>
          </cell>
          <cell r="I603">
            <v>0</v>
          </cell>
          <cell r="J603">
            <v>0</v>
          </cell>
        </row>
        <row r="604">
          <cell r="A604">
            <v>0</v>
          </cell>
          <cell r="B604" t="str">
            <v>VÁLVULA DE COMPUERTA DE BRONCE</v>
          </cell>
          <cell r="C604">
            <v>0</v>
          </cell>
          <cell r="D604">
            <v>0</v>
          </cell>
          <cell r="E604" t="str">
            <v>3"</v>
          </cell>
          <cell r="F604">
            <v>1</v>
          </cell>
          <cell r="G604" t="str">
            <v>und</v>
          </cell>
          <cell r="H604">
            <v>0</v>
          </cell>
          <cell r="I604">
            <v>0</v>
          </cell>
          <cell r="J604">
            <v>0</v>
          </cell>
        </row>
        <row r="605">
          <cell r="A605">
            <v>0</v>
          </cell>
          <cell r="B605" t="str">
            <v>ADAPTADORES F°G°</v>
          </cell>
          <cell r="C605">
            <v>0</v>
          </cell>
          <cell r="D605">
            <v>0</v>
          </cell>
          <cell r="E605" t="str">
            <v>3"</v>
          </cell>
          <cell r="F605">
            <v>2</v>
          </cell>
          <cell r="G605" t="str">
            <v>und</v>
          </cell>
          <cell r="H605">
            <v>0</v>
          </cell>
          <cell r="I605">
            <v>0</v>
          </cell>
          <cell r="J605">
            <v>0</v>
          </cell>
        </row>
        <row r="606">
          <cell r="A606">
            <v>0</v>
          </cell>
          <cell r="B606" t="str">
            <v>UNIÓN UNIVERSAL DE F°G°</v>
          </cell>
          <cell r="C606">
            <v>0</v>
          </cell>
          <cell r="D606">
            <v>0</v>
          </cell>
          <cell r="E606" t="str">
            <v>3"</v>
          </cell>
          <cell r="F606">
            <v>2</v>
          </cell>
          <cell r="G606" t="str">
            <v>und</v>
          </cell>
          <cell r="H606">
            <v>0</v>
          </cell>
          <cell r="I606">
            <v>0</v>
          </cell>
          <cell r="J606">
            <v>0</v>
          </cell>
        </row>
        <row r="607">
          <cell r="A607">
            <v>0</v>
          </cell>
          <cell r="B607" t="str">
            <v xml:space="preserve">NIPLE F°G° </v>
          </cell>
          <cell r="C607">
            <v>0</v>
          </cell>
          <cell r="D607">
            <v>0</v>
          </cell>
          <cell r="E607" t="str">
            <v>3"</v>
          </cell>
          <cell r="F607">
            <v>2</v>
          </cell>
          <cell r="G607" t="str">
            <v>und</v>
          </cell>
          <cell r="H607">
            <v>0</v>
          </cell>
          <cell r="I607">
            <v>0</v>
          </cell>
          <cell r="J607">
            <v>0</v>
          </cell>
        </row>
        <row r="608">
          <cell r="A608">
            <v>0</v>
          </cell>
          <cell r="B608" t="str">
            <v>CODOF°G°</v>
          </cell>
          <cell r="C608">
            <v>0</v>
          </cell>
          <cell r="D608">
            <v>0</v>
          </cell>
          <cell r="E608" t="str">
            <v>3"</v>
          </cell>
          <cell r="F608">
            <v>3</v>
          </cell>
          <cell r="G608" t="str">
            <v>und</v>
          </cell>
          <cell r="H608">
            <v>0</v>
          </cell>
          <cell r="I608">
            <v>0</v>
          </cell>
          <cell r="J608">
            <v>0</v>
          </cell>
        </row>
        <row r="609">
          <cell r="A609">
            <v>0</v>
          </cell>
          <cell r="B609" t="str">
            <v>TUBERÍA F°G° (m)</v>
          </cell>
          <cell r="C609">
            <v>0</v>
          </cell>
          <cell r="D609">
            <v>0</v>
          </cell>
          <cell r="E609" t="str">
            <v>3"</v>
          </cell>
          <cell r="F609">
            <v>3</v>
          </cell>
          <cell r="G609" t="str">
            <v>m</v>
          </cell>
          <cell r="H609">
            <v>0</v>
          </cell>
          <cell r="I609">
            <v>0</v>
          </cell>
          <cell r="J609">
            <v>0</v>
          </cell>
        </row>
        <row r="610">
          <cell r="A610">
            <v>0</v>
          </cell>
          <cell r="B610" t="str">
            <v>BRIDA ROMPE AGUA DE F°G°</v>
          </cell>
          <cell r="C610">
            <v>0</v>
          </cell>
          <cell r="D610">
            <v>0</v>
          </cell>
          <cell r="E610" t="str">
            <v>3"</v>
          </cell>
          <cell r="F610">
            <v>2</v>
          </cell>
          <cell r="G610" t="str">
            <v>und</v>
          </cell>
          <cell r="H610">
            <v>0</v>
          </cell>
          <cell r="I610">
            <v>0</v>
          </cell>
          <cell r="J610">
            <v>0</v>
          </cell>
        </row>
        <row r="611">
          <cell r="A611">
            <v>0</v>
          </cell>
          <cell r="B611" t="str">
            <v>TEE F°G°</v>
          </cell>
          <cell r="C611">
            <v>0</v>
          </cell>
          <cell r="D611">
            <v>0</v>
          </cell>
          <cell r="E611" t="str">
            <v>3"</v>
          </cell>
          <cell r="F611">
            <v>1</v>
          </cell>
          <cell r="G611" t="str">
            <v>und</v>
          </cell>
          <cell r="H611">
            <v>0</v>
          </cell>
          <cell r="I611">
            <v>0</v>
          </cell>
          <cell r="J611">
            <v>0</v>
          </cell>
        </row>
        <row r="612">
          <cell r="A612">
            <v>0</v>
          </cell>
          <cell r="B612" t="str">
            <v xml:space="preserve">ABRAZADERAS F°G° </v>
          </cell>
          <cell r="C612">
            <v>0</v>
          </cell>
          <cell r="D612">
            <v>0</v>
          </cell>
          <cell r="E612" t="str">
            <v>3"</v>
          </cell>
          <cell r="F612">
            <v>2</v>
          </cell>
          <cell r="G612" t="str">
            <v>und</v>
          </cell>
          <cell r="H612">
            <v>0</v>
          </cell>
          <cell r="I612">
            <v>0</v>
          </cell>
          <cell r="J612">
            <v>0</v>
          </cell>
        </row>
        <row r="613">
          <cell r="A613">
            <v>0</v>
          </cell>
          <cell r="B613" t="str">
            <v>TUBERIA PVC (m)</v>
          </cell>
          <cell r="C613">
            <v>0</v>
          </cell>
          <cell r="D613">
            <v>0</v>
          </cell>
          <cell r="E613" t="str">
            <v>3"</v>
          </cell>
          <cell r="F613">
            <v>4</v>
          </cell>
          <cell r="G613" t="str">
            <v>m</v>
          </cell>
          <cell r="H613">
            <v>0</v>
          </cell>
          <cell r="I613">
            <v>0</v>
          </cell>
          <cell r="J613">
            <v>0</v>
          </cell>
        </row>
        <row r="614">
          <cell r="A614">
            <v>0</v>
          </cell>
          <cell r="B614" t="str">
            <v>CODO PVC</v>
          </cell>
          <cell r="C614">
            <v>0</v>
          </cell>
          <cell r="D614">
            <v>0</v>
          </cell>
          <cell r="E614" t="str">
            <v>3"</v>
          </cell>
          <cell r="F614">
            <v>2</v>
          </cell>
          <cell r="G614" t="str">
            <v>und</v>
          </cell>
          <cell r="H614">
            <v>0</v>
          </cell>
          <cell r="I614">
            <v>0</v>
          </cell>
          <cell r="J614">
            <v>0</v>
          </cell>
        </row>
        <row r="615">
          <cell r="A615">
            <v>0</v>
          </cell>
          <cell r="B615" t="str">
            <v>TAPON MACHO SP PVC</v>
          </cell>
          <cell r="C615">
            <v>0</v>
          </cell>
          <cell r="D615">
            <v>0</v>
          </cell>
          <cell r="E615" t="str">
            <v>3"</v>
          </cell>
          <cell r="F615">
            <v>2</v>
          </cell>
          <cell r="G615" t="str">
            <v>und</v>
          </cell>
          <cell r="H615">
            <v>0</v>
          </cell>
          <cell r="I615">
            <v>0</v>
          </cell>
          <cell r="J615">
            <v>0</v>
          </cell>
        </row>
        <row r="616">
          <cell r="A616">
            <v>0</v>
          </cell>
          <cell r="B616" t="str">
            <v>TEE PVC SAP</v>
          </cell>
          <cell r="C616">
            <v>0</v>
          </cell>
          <cell r="D616">
            <v>0</v>
          </cell>
          <cell r="E616" t="str">
            <v>3"</v>
          </cell>
          <cell r="F616">
            <v>2</v>
          </cell>
          <cell r="G616" t="str">
            <v>und</v>
          </cell>
          <cell r="H616">
            <v>0</v>
          </cell>
          <cell r="I616">
            <v>0</v>
          </cell>
          <cell r="J616">
            <v>0</v>
          </cell>
        </row>
        <row r="617">
          <cell r="A617">
            <v>0</v>
          </cell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>
            <v>0</v>
          </cell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</row>
        <row r="619">
          <cell r="A619">
            <v>1.0701050399999994</v>
          </cell>
          <cell r="B619" t="str">
            <v>CARPINTERIA METALICA</v>
          </cell>
        </row>
        <row r="620">
          <cell r="A620">
            <v>1.0701050400999994</v>
          </cell>
          <cell r="B620" t="str">
            <v>SUM. E INST. TAPA SANITARIA METALICA DE 0.60x0.60x1/8"</v>
          </cell>
          <cell r="I620">
            <v>1</v>
          </cell>
          <cell r="J620" t="str">
            <v>und</v>
          </cell>
        </row>
        <row r="621">
          <cell r="A621">
            <v>0</v>
          </cell>
          <cell r="B621" t="str">
            <v>DESCRIPCIÓN</v>
          </cell>
          <cell r="C621">
            <v>0</v>
          </cell>
          <cell r="D621">
            <v>0</v>
          </cell>
          <cell r="E621" t="str">
            <v>CANTIDAD</v>
          </cell>
          <cell r="F621" t="str">
            <v>UNIDAD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</row>
        <row r="622">
          <cell r="A622">
            <v>0</v>
          </cell>
          <cell r="B622" t="str">
            <v>NÚMERO DE TAPAS METÁLICAS=</v>
          </cell>
          <cell r="C622">
            <v>0</v>
          </cell>
          <cell r="D622">
            <v>0</v>
          </cell>
          <cell r="E622">
            <v>1</v>
          </cell>
          <cell r="F622" t="str">
            <v>und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</sheetData>
      <sheetData sheetId="11">
        <row r="15">
          <cell r="A15">
            <v>1.0702029999999998</v>
          </cell>
          <cell r="B15" t="str">
            <v>CERCO PERIMETRICO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>
            <v>1.0702030099999997</v>
          </cell>
          <cell r="B16" t="str">
            <v>TRABAJOS PRELIMINARES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>
            <v>1.0702030100999997</v>
          </cell>
          <cell r="B17" t="str">
            <v>TRAZO Y REPLANTEO PRELIMINAR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15.6</v>
          </cell>
          <cell r="I17" t="str">
            <v>m2</v>
          </cell>
        </row>
        <row r="18">
          <cell r="A18">
            <v>0</v>
          </cell>
          <cell r="B18" t="str">
            <v>Lado frontal/posterior</v>
          </cell>
          <cell r="C18">
            <v>2</v>
          </cell>
          <cell r="D18">
            <v>7.1</v>
          </cell>
          <cell r="E18">
            <v>0.6</v>
          </cell>
          <cell r="F18">
            <v>0</v>
          </cell>
          <cell r="G18">
            <v>4.26</v>
          </cell>
          <cell r="H18">
            <v>8.52</v>
          </cell>
          <cell r="I18">
            <v>0</v>
          </cell>
        </row>
        <row r="19">
          <cell r="A19">
            <v>0</v>
          </cell>
          <cell r="B19" t="str">
            <v>Lados laterales</v>
          </cell>
          <cell r="C19">
            <v>2</v>
          </cell>
          <cell r="D19">
            <v>5.9</v>
          </cell>
          <cell r="E19">
            <v>0.6</v>
          </cell>
          <cell r="F19">
            <v>0</v>
          </cell>
          <cell r="G19">
            <v>3.54</v>
          </cell>
          <cell r="H19">
            <v>7.08</v>
          </cell>
          <cell r="I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>
            <v>1.0702030199999997</v>
          </cell>
          <cell r="B21" t="str">
            <v>MOVIMIENTO DE TIERRAS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>
            <v>1.0702030200999997</v>
          </cell>
          <cell r="B22" t="str">
            <v>EXCAVACION EN TERRENO NORMAL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0.58499999999999996</v>
          </cell>
          <cell r="I22" t="str">
            <v>m3</v>
          </cell>
        </row>
        <row r="23">
          <cell r="A23">
            <v>0</v>
          </cell>
          <cell r="B23" t="str">
            <v>Excavación de hoyos</v>
          </cell>
          <cell r="C23">
            <v>13</v>
          </cell>
          <cell r="D23">
            <v>0.3</v>
          </cell>
          <cell r="E23">
            <v>0.3</v>
          </cell>
          <cell r="F23">
            <v>0.5</v>
          </cell>
          <cell r="G23">
            <v>4.4999999999999998E-2</v>
          </cell>
          <cell r="H23">
            <v>0.58499999999999996</v>
          </cell>
          <cell r="I23">
            <v>0</v>
          </cell>
        </row>
        <row r="24">
          <cell r="A24">
            <v>1.0702030201999997</v>
          </cell>
          <cell r="B24" t="str">
            <v>ELIMINACION DE MATERIAL EXCEDENTE DP=30M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0.70199999999999996</v>
          </cell>
          <cell r="I24" t="str">
            <v>m3</v>
          </cell>
        </row>
        <row r="25">
          <cell r="A25">
            <v>0</v>
          </cell>
          <cell r="B25" t="str">
            <v>esponjamiento = 1.2</v>
          </cell>
          <cell r="C25">
            <v>1</v>
          </cell>
          <cell r="D25">
            <v>1.2</v>
          </cell>
          <cell r="E25">
            <v>0.58499999999999996</v>
          </cell>
          <cell r="F25">
            <v>0</v>
          </cell>
          <cell r="G25">
            <v>0</v>
          </cell>
          <cell r="H25">
            <v>0.70199999999999996</v>
          </cell>
          <cell r="I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>
            <v>1.0702030299999996</v>
          </cell>
          <cell r="B28" t="str">
            <v>OBRAS DE CONCRETO SIMPLE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>
            <v>1.0702030300999996</v>
          </cell>
          <cell r="B29" t="str">
            <v>CONCRETO F'C=140 KG/CM2 + 30% PM, S/MEZCLADORA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0.58499999999999996</v>
          </cell>
          <cell r="I29" t="str">
            <v>m3</v>
          </cell>
        </row>
        <row r="30">
          <cell r="A30">
            <v>0</v>
          </cell>
          <cell r="B30" t="str">
            <v>Concreto f'c=140 kg/cm2</v>
          </cell>
          <cell r="C30">
            <v>13</v>
          </cell>
          <cell r="D30">
            <v>0.3</v>
          </cell>
          <cell r="E30">
            <v>0.3</v>
          </cell>
          <cell r="F30">
            <v>0.5</v>
          </cell>
          <cell r="G30">
            <v>4.4999999999999998E-2</v>
          </cell>
          <cell r="H30">
            <v>0.58499999999999996</v>
          </cell>
          <cell r="I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>
            <v>1.0702030399999996</v>
          </cell>
          <cell r="B32" t="str">
            <v>VARIOS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A33">
            <v>1.0702030400999996</v>
          </cell>
          <cell r="B33" t="str">
            <v>SUMINISTRO Y COLOCACION DE POSTES DE MADERA TRATADA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13</v>
          </cell>
          <cell r="I33" t="str">
            <v>und</v>
          </cell>
        </row>
        <row r="34">
          <cell r="A34">
            <v>0</v>
          </cell>
          <cell r="B34" t="str">
            <v>Suministro y Colocación de postes</v>
          </cell>
          <cell r="C34">
            <v>1</v>
          </cell>
          <cell r="D34">
            <v>13</v>
          </cell>
          <cell r="E34">
            <v>0</v>
          </cell>
          <cell r="F34">
            <v>0</v>
          </cell>
          <cell r="G34">
            <v>13</v>
          </cell>
          <cell r="H34">
            <v>13</v>
          </cell>
          <cell r="I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A37">
            <v>1.0702030401999996</v>
          </cell>
          <cell r="B37" t="str">
            <v>SUMINISTRO Y COLOCACION DE ALAMBRE DE PUAS</v>
          </cell>
          <cell r="C37">
            <v>0</v>
          </cell>
          <cell r="D37" t="str">
            <v>largo</v>
          </cell>
          <cell r="E37" t="str">
            <v>Hileras</v>
          </cell>
          <cell r="F37">
            <v>0</v>
          </cell>
          <cell r="G37">
            <v>0</v>
          </cell>
          <cell r="H37">
            <v>148.80000000000001</v>
          </cell>
          <cell r="I37" t="str">
            <v>m</v>
          </cell>
        </row>
        <row r="38">
          <cell r="A38">
            <v>0</v>
          </cell>
          <cell r="B38" t="str">
            <v>seis  hileras</v>
          </cell>
          <cell r="C38">
            <v>2</v>
          </cell>
          <cell r="D38">
            <v>6.8</v>
          </cell>
          <cell r="E38">
            <v>6</v>
          </cell>
          <cell r="F38">
            <v>0</v>
          </cell>
          <cell r="G38">
            <v>40.799999999999997</v>
          </cell>
          <cell r="H38">
            <v>81.599999999999994</v>
          </cell>
          <cell r="I38">
            <v>0</v>
          </cell>
        </row>
        <row r="39">
          <cell r="A39">
            <v>0</v>
          </cell>
          <cell r="B39">
            <v>0</v>
          </cell>
          <cell r="C39">
            <v>2</v>
          </cell>
          <cell r="D39">
            <v>5.6000000000000005</v>
          </cell>
          <cell r="E39">
            <v>6</v>
          </cell>
          <cell r="F39">
            <v>0</v>
          </cell>
          <cell r="G39">
            <v>33.6</v>
          </cell>
          <cell r="H39">
            <v>67.2</v>
          </cell>
          <cell r="I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>
            <v>1.0702030402999996</v>
          </cell>
          <cell r="B41" t="str">
            <v>SUMINISTRO Y COLOCACION DE PUERTA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1</v>
          </cell>
          <cell r="I41" t="str">
            <v>und</v>
          </cell>
        </row>
        <row r="42">
          <cell r="A42">
            <v>0</v>
          </cell>
          <cell r="B42" t="str">
            <v>Suministro y colocación de puerta de madera tratada inc. Candado</v>
          </cell>
          <cell r="C42">
            <v>1</v>
          </cell>
          <cell r="D42">
            <v>0</v>
          </cell>
          <cell r="E42">
            <v>0</v>
          </cell>
          <cell r="F42">
            <v>0</v>
          </cell>
          <cell r="G42">
            <v>1</v>
          </cell>
          <cell r="H42">
            <v>1</v>
          </cell>
          <cell r="I42">
            <v>0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LA"/>
      <sheetName val=" Trabaj prel-SEguri"/>
      <sheetName val="1. CLP_SIJRE"/>
      <sheetName val="2. Linea.Cond "/>
      <sheetName val="CISTERNA_1 21.00 M3 "/>
      <sheetName val="ACERO CIS. 21."/>
      <sheetName val="CISTERNA_2 17.00 M3"/>
      <sheetName val="ACERO CIS. 17.00 M3"/>
      <sheetName val="3. Linea Impulsion 17"/>
      <sheetName val="4. RAP. 21 m3   "/>
      <sheetName val="4.1. Acero. RAP. 21 m3 "/>
      <sheetName val="4.2. Cerco Per. Reserv 21 m3 "/>
      <sheetName val="5. Red.Distri"/>
      <sheetName val=" CRP-T7 - 1A"/>
      <sheetName val="CRP-T7 - 1B"/>
      <sheetName val="CRP-T7 - 2A"/>
      <sheetName val=" CRP-T7 - 2B"/>
      <sheetName val="8.3. CRP-T7-3A"/>
      <sheetName val=" C.Val. control"/>
      <sheetName val="C.Val. Aire"/>
      <sheetName val=" C.Val. Purga"/>
      <sheetName val="6. Conex.Domic"/>
      <sheetName val="7. PILETA PUBLICA"/>
      <sheetName val="8. Lavadero intr.domic"/>
      <sheetName val="9. FLETE"/>
      <sheetName val="1.0 BOCATOMA-FONDO"/>
      <sheetName val="1.1. CLE_PACSHA"/>
      <sheetName val="3. PASE AEREO L= 80.0m"/>
      <sheetName val="3. DESARENADOR"/>
      <sheetName val="5.CASCADA"/>
      <sheetName val="5. SEDIMENTADOR"/>
      <sheetName val="3.2. PASE AEREO L= 70.0m"/>
      <sheetName val="3.1. PASE AEREO L= 250.0m"/>
      <sheetName val="4.1. Val. Aire_LC"/>
      <sheetName val="4. FILTRO LENTO"/>
      <sheetName val="5.1. RAE, V=12.5 m3"/>
      <sheetName val="5.2. Cerco Per. RAE, V=12.5m3"/>
      <sheetName val="6.1. RAE, V=7.0 m3 "/>
      <sheetName val="6.2. Cerco Per. RAE, V=7.0 m3"/>
      <sheetName val="7.0 RAP, V=17.5 m3"/>
      <sheetName val="7.1. Cerco Per. RAP, V=17.5m3"/>
      <sheetName val="7.2. Acero. RAP, V=17.5 m3"/>
      <sheetName val="7.0 Reserv. 15 m3"/>
      <sheetName val="4.1 Acero.F.L"/>
      <sheetName val="7.1. Cerco Per. Reserv 15m3"/>
      <sheetName val="7.2. Acero. Reserv. 15 m3"/>
      <sheetName val="4.Linea.Aducc"/>
      <sheetName val="7.0 RAP_01,V=3 m3 "/>
      <sheetName val="7.1 Acero. RAP_01,V=3 m3"/>
      <sheetName val="7.2 CERCO PER. RAP_01,V=3 m3"/>
      <sheetName val="8.0 RAP_02,V=5 m3"/>
      <sheetName val="8.1 Acero. RAP_02,V=5 m3"/>
      <sheetName val="8.2 CERCO PER. RAP_02,V=5 m3"/>
      <sheetName val="9.0 Reserv. 10 m3"/>
      <sheetName val="9.1. Cerco Per. Reserv 10m3 "/>
      <sheetName val="9.2. Acero. Reserv. 10 m3"/>
      <sheetName val="10.1 PASE AEREO L= 8.0m"/>
      <sheetName val="10.2 PASE AEREO L= 15.0m"/>
      <sheetName val="4.2. Cerco Per. Cist. 21 m"/>
      <sheetName val="4.2. Cerco Per. Cist. 17 m3"/>
      <sheetName val="3. Linea Impulsion  21"/>
      <sheetName val="11. PILETA PUBL."/>
    </sheetNames>
    <sheetDataSet>
      <sheetData sheetId="0">
        <row r="4">
          <cell r="A4" t="str">
            <v>UBICACIÓN:</v>
          </cell>
        </row>
      </sheetData>
      <sheetData sheetId="1"/>
      <sheetData sheetId="2"/>
      <sheetData sheetId="3"/>
      <sheetData sheetId="4">
        <row r="11">
          <cell r="A11">
            <v>1.0601</v>
          </cell>
          <cell r="B11" t="str">
            <v>CASETA DE BOMBEO Y CISTERNA  DE 21.00 M3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ITEM</v>
          </cell>
          <cell r="B12" t="str">
            <v>DESCRIPCION</v>
          </cell>
          <cell r="C12" t="str">
            <v>UND</v>
          </cell>
          <cell r="D12" t="str">
            <v>CANT</v>
          </cell>
          <cell r="E12" t="str">
            <v>LARGO</v>
          </cell>
          <cell r="F12" t="str">
            <v>ANCHO</v>
          </cell>
          <cell r="G12" t="str">
            <v>ALTURA</v>
          </cell>
          <cell r="H12" t="str">
            <v>PARCIAL</v>
          </cell>
          <cell r="I12" t="str">
            <v>TOTAL</v>
          </cell>
        </row>
        <row r="13">
          <cell r="A13">
            <v>1.060101</v>
          </cell>
          <cell r="B13" t="str">
            <v>CASETA DE BOMBEO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A14">
            <v>1.0601010099999999</v>
          </cell>
          <cell r="B14" t="str">
            <v>ESTRUCTURAS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>
            <v>1.0601010100999999</v>
          </cell>
          <cell r="B15" t="str">
            <v>OBRAS PRELIMINARES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>
            <v>1.060101010101</v>
          </cell>
          <cell r="B16" t="str">
            <v>LIMPIEZA DE TERRENO MANUAL</v>
          </cell>
          <cell r="C16" t="str">
            <v>m2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20.25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1</v>
          </cell>
          <cell r="E17">
            <v>4.5</v>
          </cell>
          <cell r="F17">
            <v>4.5</v>
          </cell>
          <cell r="G17">
            <v>0</v>
          </cell>
          <cell r="H17">
            <v>20.25</v>
          </cell>
          <cell r="I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A19">
            <v>1.0601010101020001</v>
          </cell>
          <cell r="B19" t="str">
            <v>TRAZO Y REPLANTEO PRELIMINAR</v>
          </cell>
          <cell r="C19" t="str">
            <v>m2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20.25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1</v>
          </cell>
          <cell r="E20">
            <v>4.5</v>
          </cell>
          <cell r="F20">
            <v>4.5</v>
          </cell>
          <cell r="G20">
            <v>0</v>
          </cell>
          <cell r="H20">
            <v>20.25</v>
          </cell>
          <cell r="I20">
            <v>0</v>
          </cell>
        </row>
        <row r="21">
          <cell r="A21">
            <v>1.0601010101999999</v>
          </cell>
          <cell r="B21" t="str">
            <v>MOVIMIENTO DE TIERRAS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>
            <v>1.060101010201</v>
          </cell>
          <cell r="B22" t="str">
            <v>EXCAVACION EN TERRENO NORMAL</v>
          </cell>
          <cell r="C22" t="str">
            <v>m3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8.7949999999999999</v>
          </cell>
          <cell r="I22">
            <v>8.7949999999999999</v>
          </cell>
        </row>
        <row r="23">
          <cell r="A23">
            <v>0</v>
          </cell>
          <cell r="B23" t="str">
            <v>Corte de terreno caseta</v>
          </cell>
          <cell r="C23">
            <v>0</v>
          </cell>
          <cell r="D23">
            <v>1</v>
          </cell>
          <cell r="E23">
            <v>3.5</v>
          </cell>
          <cell r="F23">
            <v>3.5</v>
          </cell>
          <cell r="G23">
            <v>0.2</v>
          </cell>
          <cell r="H23">
            <v>2.4500000000000002</v>
          </cell>
          <cell r="I23">
            <v>0</v>
          </cell>
        </row>
        <row r="24">
          <cell r="A24">
            <v>0</v>
          </cell>
          <cell r="B24" t="str">
            <v>Se considera un corte en promedio de 0.20 m de espesor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>
            <v>0</v>
          </cell>
          <cell r="B26" t="str">
            <v>Excavacion en zanjas de cimientos corridos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>
            <v>0</v>
          </cell>
          <cell r="B27" t="str">
            <v>Eje 1-1 y Eje 2-2</v>
          </cell>
          <cell r="C27">
            <v>0</v>
          </cell>
          <cell r="D27">
            <v>2</v>
          </cell>
          <cell r="E27">
            <v>3.5</v>
          </cell>
          <cell r="F27">
            <v>0.5</v>
          </cell>
          <cell r="G27">
            <v>0.9</v>
          </cell>
          <cell r="H27">
            <v>3.15</v>
          </cell>
          <cell r="I27">
            <v>0</v>
          </cell>
        </row>
        <row r="28">
          <cell r="A28">
            <v>0</v>
          </cell>
          <cell r="B28" t="str">
            <v>Eje A-A y Eje B-B</v>
          </cell>
          <cell r="C28">
            <v>0</v>
          </cell>
          <cell r="D28">
            <v>2</v>
          </cell>
          <cell r="E28">
            <v>3.5</v>
          </cell>
          <cell r="F28">
            <v>0.5</v>
          </cell>
          <cell r="G28">
            <v>0.9</v>
          </cell>
          <cell r="H28">
            <v>3.15</v>
          </cell>
          <cell r="I28">
            <v>0</v>
          </cell>
        </row>
        <row r="29">
          <cell r="A29">
            <v>0</v>
          </cell>
          <cell r="B29" t="str">
            <v>Excavacion manual en uñas de vereda, b=0.10 m, h=0.10 m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A30">
            <v>0</v>
          </cell>
          <cell r="B30" t="str">
            <v>perímetro de vereda</v>
          </cell>
          <cell r="C30">
            <v>0</v>
          </cell>
          <cell r="D30">
            <v>1</v>
          </cell>
          <cell r="E30">
            <v>4.5</v>
          </cell>
          <cell r="F30">
            <v>0.1</v>
          </cell>
          <cell r="G30">
            <v>0.1</v>
          </cell>
          <cell r="H30">
            <v>4.5000000000000005E-2</v>
          </cell>
          <cell r="I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>
            <v>1.0601010102020001</v>
          </cell>
          <cell r="B32" t="str">
            <v>NIVELACIÓN INTERIOR Y APISONADO</v>
          </cell>
          <cell r="C32" t="str">
            <v>m2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7</v>
          </cell>
          <cell r="I32">
            <v>7</v>
          </cell>
        </row>
        <row r="33">
          <cell r="A33">
            <v>0</v>
          </cell>
          <cell r="B33" t="str">
            <v>Eje 1-1 y Eje 2-2</v>
          </cell>
          <cell r="C33">
            <v>0</v>
          </cell>
          <cell r="D33">
            <v>2</v>
          </cell>
          <cell r="E33">
            <v>3.5</v>
          </cell>
          <cell r="F33">
            <v>0.5</v>
          </cell>
          <cell r="G33">
            <v>0</v>
          </cell>
          <cell r="H33">
            <v>3.5</v>
          </cell>
          <cell r="I33">
            <v>0</v>
          </cell>
        </row>
        <row r="34">
          <cell r="A34">
            <v>0</v>
          </cell>
          <cell r="B34" t="str">
            <v>Eje A-A y Eje B-B</v>
          </cell>
          <cell r="C34">
            <v>0</v>
          </cell>
          <cell r="D34">
            <v>2</v>
          </cell>
          <cell r="E34">
            <v>3.5</v>
          </cell>
          <cell r="F34">
            <v>0.5</v>
          </cell>
          <cell r="G34">
            <v>0</v>
          </cell>
          <cell r="H34">
            <v>3.5</v>
          </cell>
          <cell r="I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>
            <v>1.0601010102030002</v>
          </cell>
          <cell r="B36" t="str">
            <v>RELLENO COMPACTADO A MANO CON MATERIAL PROPIO SELECCIONADO</v>
          </cell>
          <cell r="C36" t="str">
            <v>m3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0.30449999999999999</v>
          </cell>
          <cell r="I36">
            <v>0.30449999999999999</v>
          </cell>
        </row>
        <row r="37">
          <cell r="A37">
            <v>0</v>
          </cell>
          <cell r="B37" t="str">
            <v>interior de la caseta</v>
          </cell>
          <cell r="C37">
            <v>0</v>
          </cell>
          <cell r="D37">
            <v>1</v>
          </cell>
          <cell r="E37">
            <v>3.5</v>
          </cell>
          <cell r="F37">
            <v>3.5</v>
          </cell>
          <cell r="G37">
            <v>0.1</v>
          </cell>
          <cell r="H37">
            <v>1.2250000000000001</v>
          </cell>
          <cell r="I37">
            <v>0</v>
          </cell>
        </row>
        <row r="38">
          <cell r="A38">
            <v>0</v>
          </cell>
          <cell r="B38" t="str">
            <v>descuento de cisterna</v>
          </cell>
          <cell r="C38">
            <v>0</v>
          </cell>
          <cell r="D38">
            <v>-1</v>
          </cell>
          <cell r="E38">
            <v>2.63</v>
          </cell>
          <cell r="F38">
            <v>3.5</v>
          </cell>
          <cell r="G38">
            <v>0.1</v>
          </cell>
          <cell r="H38">
            <v>-0.9205000000000001</v>
          </cell>
          <cell r="I38">
            <v>0</v>
          </cell>
        </row>
        <row r="39">
          <cell r="A39">
            <v>1.0601010102040003</v>
          </cell>
          <cell r="B39" t="str">
            <v>ELIMINACION DE MATERIAL EXCEDENTE DP=30m.</v>
          </cell>
          <cell r="C39" t="str">
            <v>m3</v>
          </cell>
          <cell r="D39">
            <v>0</v>
          </cell>
          <cell r="E39" t="str">
            <v>volumen</v>
          </cell>
          <cell r="F39">
            <v>0</v>
          </cell>
          <cell r="G39">
            <v>0</v>
          </cell>
          <cell r="H39">
            <v>10.188600000000001</v>
          </cell>
          <cell r="I39">
            <v>10.188600000000001</v>
          </cell>
        </row>
        <row r="40">
          <cell r="A40">
            <v>0</v>
          </cell>
          <cell r="B40" t="str">
            <v>excavación</v>
          </cell>
          <cell r="C40">
            <v>0</v>
          </cell>
          <cell r="D40">
            <v>1</v>
          </cell>
          <cell r="E40">
            <v>8.7949999999999999</v>
          </cell>
          <cell r="F40">
            <v>1.2</v>
          </cell>
          <cell r="G40">
            <v>0</v>
          </cell>
          <cell r="H40">
            <v>10.554</v>
          </cell>
          <cell r="I40">
            <v>0</v>
          </cell>
        </row>
        <row r="41">
          <cell r="A41">
            <v>0</v>
          </cell>
          <cell r="B41" t="str">
            <v>relleno</v>
          </cell>
          <cell r="C41">
            <v>0</v>
          </cell>
          <cell r="D41">
            <v>-1</v>
          </cell>
          <cell r="E41">
            <v>0.30449999999999999</v>
          </cell>
          <cell r="F41">
            <v>1.2</v>
          </cell>
          <cell r="G41">
            <v>0</v>
          </cell>
          <cell r="H41">
            <v>-0.3654</v>
          </cell>
          <cell r="I41">
            <v>0</v>
          </cell>
        </row>
        <row r="42">
          <cell r="A42">
            <v>1.0601010102999999</v>
          </cell>
          <cell r="B42" t="str">
            <v>OBRAS DE CONCRETO SIMPLE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A43">
            <v>1.060101010301</v>
          </cell>
          <cell r="B43" t="str">
            <v xml:space="preserve">CIMIENTOS  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>
            <v>1.06010101030101</v>
          </cell>
          <cell r="B44" t="str">
            <v>CONCRETO CICLOPEO MEZCLA C:H 1:10 + 30% P.G</v>
          </cell>
          <cell r="C44" t="str">
            <v>m3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1.7149999999999999</v>
          </cell>
          <cell r="I44">
            <v>1.7149999999999999</v>
          </cell>
        </row>
        <row r="45">
          <cell r="A45">
            <v>0</v>
          </cell>
          <cell r="B45" t="str">
            <v>Eje 1-1 y Eje 2-2</v>
          </cell>
          <cell r="C45">
            <v>0</v>
          </cell>
          <cell r="D45">
            <v>1</v>
          </cell>
          <cell r="E45">
            <v>3</v>
          </cell>
          <cell r="F45">
            <v>0.5</v>
          </cell>
          <cell r="G45">
            <v>0.7</v>
          </cell>
          <cell r="H45">
            <v>1.0499999999999998</v>
          </cell>
          <cell r="I45">
            <v>0</v>
          </cell>
        </row>
        <row r="46">
          <cell r="A46">
            <v>0</v>
          </cell>
          <cell r="B46" t="str">
            <v>Eje A-A y Eje B-B</v>
          </cell>
          <cell r="C46">
            <v>0</v>
          </cell>
          <cell r="D46">
            <v>1</v>
          </cell>
          <cell r="E46">
            <v>1.9</v>
          </cell>
          <cell r="F46">
            <v>0.5</v>
          </cell>
          <cell r="G46">
            <v>0.7</v>
          </cell>
          <cell r="H46">
            <v>0.66499999999999992</v>
          </cell>
          <cell r="I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A48">
            <v>1.0601010103020001</v>
          </cell>
          <cell r="B48" t="str">
            <v xml:space="preserve">SOBRECIMIENTOS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>
            <v>1.0601010103020101</v>
          </cell>
          <cell r="B49" t="str">
            <v>CONCRETO SIMPLE  MEZCLA 1:8 +25% P.M</v>
          </cell>
          <cell r="C49" t="str">
            <v>m3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0.34375</v>
          </cell>
          <cell r="I49">
            <v>0.34375</v>
          </cell>
        </row>
        <row r="50">
          <cell r="A50">
            <v>0</v>
          </cell>
          <cell r="B50" t="str">
            <v>Eje 1-1</v>
          </cell>
          <cell r="C50">
            <v>0</v>
          </cell>
          <cell r="D50">
            <v>1</v>
          </cell>
          <cell r="E50">
            <v>3</v>
          </cell>
          <cell r="F50">
            <v>0.15</v>
          </cell>
          <cell r="G50">
            <v>0.5</v>
          </cell>
          <cell r="H50">
            <v>0.22499999999999998</v>
          </cell>
          <cell r="I50">
            <v>0</v>
          </cell>
        </row>
        <row r="51">
          <cell r="A51">
            <v>0</v>
          </cell>
          <cell r="B51" t="str">
            <v>Eje 2-2</v>
          </cell>
          <cell r="C51">
            <v>0</v>
          </cell>
          <cell r="D51">
            <v>1</v>
          </cell>
          <cell r="E51">
            <v>1.9</v>
          </cell>
          <cell r="F51">
            <v>0.125</v>
          </cell>
          <cell r="G51">
            <v>0.5</v>
          </cell>
          <cell r="H51">
            <v>0.11874999999999999</v>
          </cell>
          <cell r="I51">
            <v>0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A53">
            <v>1.0601010103020201</v>
          </cell>
          <cell r="B53" t="str">
            <v>ENCOFRADO Y DESENCOFRADO NORMAL</v>
          </cell>
          <cell r="C53" t="str">
            <v>m2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4.9000000000000004</v>
          </cell>
          <cell r="I53">
            <v>4.9000000000000004</v>
          </cell>
        </row>
        <row r="54">
          <cell r="A54">
            <v>0</v>
          </cell>
          <cell r="B54" t="str">
            <v>Eje 1-1</v>
          </cell>
          <cell r="C54">
            <v>0</v>
          </cell>
          <cell r="D54">
            <v>2</v>
          </cell>
          <cell r="E54">
            <v>3</v>
          </cell>
          <cell r="F54">
            <v>0</v>
          </cell>
          <cell r="G54">
            <v>0.5</v>
          </cell>
          <cell r="H54">
            <v>3</v>
          </cell>
          <cell r="I54">
            <v>0</v>
          </cell>
        </row>
        <row r="55">
          <cell r="A55">
            <v>0</v>
          </cell>
          <cell r="B55" t="str">
            <v>Eje 2-2</v>
          </cell>
          <cell r="C55">
            <v>0</v>
          </cell>
          <cell r="D55">
            <v>2</v>
          </cell>
          <cell r="E55">
            <v>1.9</v>
          </cell>
          <cell r="F55">
            <v>0</v>
          </cell>
          <cell r="G55">
            <v>0.5</v>
          </cell>
          <cell r="H55">
            <v>1.9</v>
          </cell>
          <cell r="I55">
            <v>0</v>
          </cell>
        </row>
        <row r="56">
          <cell r="A56">
            <v>1.0601010103030002</v>
          </cell>
          <cell r="B56" t="str">
            <v xml:space="preserve">VEREDAS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A57">
            <v>1.0601010103030102</v>
          </cell>
          <cell r="B57" t="str">
            <v>CONCRETO f'c=140 kg/cm2, S/MEZCLADORA</v>
          </cell>
          <cell r="C57" t="str">
            <v>m2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1.75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1</v>
          </cell>
          <cell r="E58">
            <v>3.5</v>
          </cell>
          <cell r="F58">
            <v>0.5</v>
          </cell>
          <cell r="G58">
            <v>0</v>
          </cell>
          <cell r="H58">
            <v>1.75</v>
          </cell>
          <cell r="I58">
            <v>0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A60">
            <v>1.0601010103030202</v>
          </cell>
          <cell r="B60" t="str">
            <v>JUNTAS DE DILATACION, E=1/2"</v>
          </cell>
          <cell r="C60" t="str">
            <v>m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3.5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1</v>
          </cell>
          <cell r="E61">
            <v>3.5</v>
          </cell>
          <cell r="F61">
            <v>0</v>
          </cell>
          <cell r="G61">
            <v>0</v>
          </cell>
          <cell r="H61">
            <v>3.5</v>
          </cell>
          <cell r="I61">
            <v>0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</row>
        <row r="63">
          <cell r="A63">
            <v>1.0601010103030302</v>
          </cell>
          <cell r="B63" t="str">
            <v>BRUÑAS PARA VEREDA E=1CM</v>
          </cell>
          <cell r="C63" t="str">
            <v>m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5.5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1</v>
          </cell>
          <cell r="E64">
            <v>5.5</v>
          </cell>
          <cell r="F64">
            <v>0</v>
          </cell>
          <cell r="G64">
            <v>0</v>
          </cell>
          <cell r="H64">
            <v>5.5</v>
          </cell>
          <cell r="I64">
            <v>0</v>
          </cell>
        </row>
        <row r="65">
          <cell r="A65">
            <v>1.0601010103040003</v>
          </cell>
          <cell r="B65" t="str">
            <v xml:space="preserve">PISOS  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A66">
            <v>1.0601010103040103</v>
          </cell>
          <cell r="B66" t="str">
            <v xml:space="preserve"> CONCRETO F'C=140 KG/CM2, ACABADO FROTACHADO, e=4"</v>
          </cell>
          <cell r="C66" t="str">
            <v>m2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10.240000000000002</v>
          </cell>
          <cell r="I66">
            <v>10.240000000000002</v>
          </cell>
        </row>
        <row r="67">
          <cell r="A67">
            <v>0</v>
          </cell>
          <cell r="B67" t="str">
            <v>Área interior de caseta</v>
          </cell>
          <cell r="C67">
            <v>0</v>
          </cell>
          <cell r="D67">
            <v>1</v>
          </cell>
          <cell r="E67">
            <v>3.2</v>
          </cell>
          <cell r="F67">
            <v>3.2</v>
          </cell>
          <cell r="G67">
            <v>0</v>
          </cell>
          <cell r="H67">
            <v>10.240000000000002</v>
          </cell>
          <cell r="I67">
            <v>0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A69">
            <v>1.0601010103999999</v>
          </cell>
          <cell r="B69" t="str">
            <v>OBRAS DE CONCRETO ARMADO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A70">
            <v>1.060101010401</v>
          </cell>
          <cell r="B70" t="str">
            <v>COLUMNAS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A71">
            <v>1.06010101040101</v>
          </cell>
          <cell r="B71" t="str">
            <v>CONCRETO F'c=210 kg/cm2, S/MEZCLADORA</v>
          </cell>
          <cell r="C71" t="str">
            <v>m3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0.7128000000000001</v>
          </cell>
          <cell r="I71">
            <v>0.7128000000000001</v>
          </cell>
        </row>
        <row r="72">
          <cell r="A72">
            <v>0</v>
          </cell>
          <cell r="B72" t="str">
            <v>Columnas eje 2-2</v>
          </cell>
          <cell r="C72">
            <v>0</v>
          </cell>
          <cell r="D72">
            <v>2</v>
          </cell>
          <cell r="E72">
            <v>0.23</v>
          </cell>
          <cell r="F72">
            <v>0.23</v>
          </cell>
          <cell r="G72">
            <v>3</v>
          </cell>
          <cell r="H72">
            <v>0.31740000000000002</v>
          </cell>
          <cell r="I72">
            <v>0</v>
          </cell>
        </row>
        <row r="73">
          <cell r="A73">
            <v>0</v>
          </cell>
          <cell r="B73" t="str">
            <v>Columnas eje 1-1</v>
          </cell>
          <cell r="C73">
            <v>0</v>
          </cell>
          <cell r="D73">
            <v>2</v>
          </cell>
          <cell r="E73">
            <v>0.23</v>
          </cell>
          <cell r="F73">
            <v>0.23</v>
          </cell>
          <cell r="G73">
            <v>3</v>
          </cell>
          <cell r="H73">
            <v>0.31740000000000002</v>
          </cell>
          <cell r="I73">
            <v>0</v>
          </cell>
        </row>
        <row r="74">
          <cell r="A74">
            <v>0</v>
          </cell>
          <cell r="B74" t="str">
            <v>Columneta eje 1-1</v>
          </cell>
          <cell r="C74">
            <v>0</v>
          </cell>
          <cell r="D74">
            <v>1</v>
          </cell>
          <cell r="E74">
            <v>0.13</v>
          </cell>
          <cell r="F74">
            <v>0.2</v>
          </cell>
          <cell r="G74">
            <v>3</v>
          </cell>
          <cell r="H74">
            <v>7.8000000000000014E-2</v>
          </cell>
          <cell r="I74">
            <v>0</v>
          </cell>
        </row>
        <row r="75">
          <cell r="A75">
            <v>1.06010101040102</v>
          </cell>
          <cell r="B75" t="str">
            <v>ENCOFRADO Y DESENCOFRADO NORMAL</v>
          </cell>
          <cell r="C75" t="str">
            <v>m2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6.6300000000000008</v>
          </cell>
          <cell r="I75">
            <v>6.6300000000000008</v>
          </cell>
        </row>
        <row r="76">
          <cell r="A76">
            <v>0</v>
          </cell>
          <cell r="B76" t="str">
            <v>Columna eje 1-1 -eje A-A</v>
          </cell>
          <cell r="C76">
            <v>0</v>
          </cell>
          <cell r="D76">
            <v>1</v>
          </cell>
          <cell r="E76">
            <v>0</v>
          </cell>
          <cell r="F76">
            <v>0.46</v>
          </cell>
          <cell r="G76">
            <v>3</v>
          </cell>
          <cell r="H76">
            <v>1.3800000000000001</v>
          </cell>
          <cell r="I76">
            <v>0</v>
          </cell>
        </row>
        <row r="77">
          <cell r="A77">
            <v>0</v>
          </cell>
          <cell r="B77" t="str">
            <v>Columna eje 1-1 -eje B-B</v>
          </cell>
          <cell r="C77">
            <v>0</v>
          </cell>
          <cell r="D77">
            <v>1</v>
          </cell>
          <cell r="E77">
            <v>0</v>
          </cell>
          <cell r="F77">
            <v>0.46</v>
          </cell>
          <cell r="G77">
            <v>3</v>
          </cell>
          <cell r="H77">
            <v>1.3800000000000001</v>
          </cell>
          <cell r="I77">
            <v>0</v>
          </cell>
        </row>
        <row r="78">
          <cell r="A78">
            <v>0</v>
          </cell>
          <cell r="B78" t="str">
            <v>Columna eje 2-2 -eje A-A</v>
          </cell>
          <cell r="C78">
            <v>0</v>
          </cell>
          <cell r="D78">
            <v>1</v>
          </cell>
          <cell r="E78">
            <v>0</v>
          </cell>
          <cell r="F78">
            <v>0.46</v>
          </cell>
          <cell r="G78">
            <v>3</v>
          </cell>
          <cell r="H78">
            <v>1.3800000000000001</v>
          </cell>
          <cell r="I78">
            <v>0</v>
          </cell>
        </row>
        <row r="79">
          <cell r="A79">
            <v>0</v>
          </cell>
          <cell r="B79" t="str">
            <v>Columna eje 2-2 -eje B-B</v>
          </cell>
          <cell r="C79">
            <v>0</v>
          </cell>
          <cell r="D79">
            <v>1</v>
          </cell>
          <cell r="E79">
            <v>0</v>
          </cell>
          <cell r="F79">
            <v>0.69000000000000006</v>
          </cell>
          <cell r="G79">
            <v>3</v>
          </cell>
          <cell r="H79">
            <v>2.0700000000000003</v>
          </cell>
          <cell r="I79">
            <v>0</v>
          </cell>
        </row>
        <row r="80">
          <cell r="A80">
            <v>0</v>
          </cell>
          <cell r="B80" t="str">
            <v>Columneta eje 1-1</v>
          </cell>
          <cell r="C80">
            <v>0</v>
          </cell>
          <cell r="D80">
            <v>2</v>
          </cell>
          <cell r="E80">
            <v>0</v>
          </cell>
          <cell r="F80">
            <v>0.53</v>
          </cell>
          <cell r="G80">
            <v>3</v>
          </cell>
          <cell r="H80">
            <v>3.18</v>
          </cell>
          <cell r="I80">
            <v>0</v>
          </cell>
        </row>
        <row r="81">
          <cell r="A81">
            <v>1.06010101040103</v>
          </cell>
          <cell r="B81" t="str">
            <v>ACERO CORRUGADO f'y=4200 kg/cm2 GRADO 60</v>
          </cell>
          <cell r="C81" t="str">
            <v>kg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143.31639000000001</v>
          </cell>
        </row>
        <row r="82">
          <cell r="A82">
            <v>0</v>
          </cell>
          <cell r="B82" t="str">
            <v>Columnas</v>
          </cell>
          <cell r="C82">
            <v>0</v>
          </cell>
          <cell r="D82">
            <v>1</v>
          </cell>
          <cell r="E82">
            <v>143.31639000000001</v>
          </cell>
          <cell r="F82">
            <v>0</v>
          </cell>
          <cell r="G82">
            <v>0</v>
          </cell>
          <cell r="H82">
            <v>143.31639000000001</v>
          </cell>
          <cell r="I82">
            <v>0</v>
          </cell>
        </row>
        <row r="83">
          <cell r="A83">
            <v>1.0601010104020001</v>
          </cell>
          <cell r="B83" t="str">
            <v>VIGAS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</row>
        <row r="84">
          <cell r="A84">
            <v>1.0601010104020101</v>
          </cell>
          <cell r="B84" t="str">
            <v>CONCRETO F'c=210 kg/cm2, S/MEZCLADORA</v>
          </cell>
          <cell r="C84" t="str">
            <v>m3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0.63480000000000003</v>
          </cell>
          <cell r="I84">
            <v>0.63480000000000003</v>
          </cell>
        </row>
        <row r="85">
          <cell r="A85">
            <v>0</v>
          </cell>
          <cell r="B85" t="str">
            <v>Eje 1-1 y Eje 2-2</v>
          </cell>
          <cell r="C85">
            <v>0</v>
          </cell>
          <cell r="D85">
            <v>2</v>
          </cell>
          <cell r="E85">
            <v>3</v>
          </cell>
          <cell r="F85">
            <v>0.23</v>
          </cell>
          <cell r="G85">
            <v>0.23</v>
          </cell>
          <cell r="H85">
            <v>0.31740000000000002</v>
          </cell>
          <cell r="I85">
            <v>0</v>
          </cell>
        </row>
        <row r="86">
          <cell r="A86">
            <v>0</v>
          </cell>
          <cell r="B86" t="str">
            <v>Eje A-A y Eje B-B</v>
          </cell>
          <cell r="C86">
            <v>0</v>
          </cell>
          <cell r="D86">
            <v>2</v>
          </cell>
          <cell r="E86">
            <v>3</v>
          </cell>
          <cell r="F86">
            <v>0.23</v>
          </cell>
          <cell r="G86">
            <v>0.23</v>
          </cell>
          <cell r="H86">
            <v>0.31740000000000002</v>
          </cell>
          <cell r="I86">
            <v>0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A88">
            <v>1.0601010104020201</v>
          </cell>
          <cell r="B88" t="str">
            <v>ENCOFRADO Y DESENCOFRADO NORMAL</v>
          </cell>
          <cell r="C88" t="str">
            <v>m2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3.54</v>
          </cell>
        </row>
        <row r="89">
          <cell r="A89">
            <v>0</v>
          </cell>
          <cell r="B89" t="str">
            <v>INTERIOR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3.54</v>
          </cell>
          <cell r="I89">
            <v>0</v>
          </cell>
        </row>
        <row r="90">
          <cell r="A90">
            <v>0</v>
          </cell>
          <cell r="B90" t="str">
            <v>Eje A-A y Eje B-B</v>
          </cell>
          <cell r="C90">
            <v>0</v>
          </cell>
          <cell r="D90">
            <v>2</v>
          </cell>
          <cell r="E90">
            <v>2.95</v>
          </cell>
          <cell r="F90">
            <v>0</v>
          </cell>
          <cell r="G90">
            <v>0.15</v>
          </cell>
          <cell r="H90">
            <v>0.88500000000000001</v>
          </cell>
          <cell r="I90">
            <v>0</v>
          </cell>
        </row>
        <row r="91">
          <cell r="A91">
            <v>0</v>
          </cell>
          <cell r="B91" t="str">
            <v>Eje 1-1 y Eje 2-2</v>
          </cell>
          <cell r="C91">
            <v>0</v>
          </cell>
          <cell r="D91">
            <v>2</v>
          </cell>
          <cell r="E91">
            <v>2.95</v>
          </cell>
          <cell r="F91">
            <v>0</v>
          </cell>
          <cell r="G91">
            <v>0.15</v>
          </cell>
          <cell r="H91">
            <v>0.88500000000000001</v>
          </cell>
          <cell r="I91">
            <v>0</v>
          </cell>
        </row>
        <row r="92">
          <cell r="A92">
            <v>0</v>
          </cell>
          <cell r="B92" t="str">
            <v>EXTERIOR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A93">
            <v>0</v>
          </cell>
          <cell r="B93" t="str">
            <v>Eje A-A y Eje B-B</v>
          </cell>
          <cell r="C93">
            <v>0</v>
          </cell>
          <cell r="D93">
            <v>2</v>
          </cell>
          <cell r="E93">
            <v>2.95</v>
          </cell>
          <cell r="F93">
            <v>0</v>
          </cell>
          <cell r="G93">
            <v>0.15</v>
          </cell>
          <cell r="H93">
            <v>0.88500000000000001</v>
          </cell>
          <cell r="I93">
            <v>0</v>
          </cell>
        </row>
        <row r="94">
          <cell r="A94">
            <v>0</v>
          </cell>
          <cell r="B94" t="str">
            <v>Eje 1-1 y Eje 2-2</v>
          </cell>
          <cell r="C94">
            <v>0</v>
          </cell>
          <cell r="D94">
            <v>2</v>
          </cell>
          <cell r="E94">
            <v>2.95</v>
          </cell>
          <cell r="F94">
            <v>0</v>
          </cell>
          <cell r="G94">
            <v>0.15</v>
          </cell>
          <cell r="H94">
            <v>0.88500000000000001</v>
          </cell>
          <cell r="I94">
            <v>0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</row>
        <row r="96">
          <cell r="A96">
            <v>1.0601010104020301</v>
          </cell>
          <cell r="B96" t="str">
            <v>ACERO CORRUGADO f'y=4200 kg/cm2 GRADO 60</v>
          </cell>
          <cell r="C96" t="str">
            <v>kg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122.00160000000002</v>
          </cell>
        </row>
        <row r="97">
          <cell r="A97">
            <v>0</v>
          </cell>
          <cell r="B97" t="str">
            <v>Viguetas</v>
          </cell>
          <cell r="C97">
            <v>0</v>
          </cell>
          <cell r="D97">
            <v>1</v>
          </cell>
          <cell r="E97">
            <v>122.00160000000002</v>
          </cell>
          <cell r="F97">
            <v>0</v>
          </cell>
          <cell r="G97">
            <v>0</v>
          </cell>
          <cell r="H97">
            <v>122.00160000000002</v>
          </cell>
          <cell r="I97">
            <v>0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A100">
            <v>1.0601010199999998</v>
          </cell>
          <cell r="B100" t="str">
            <v>ARQUITECTURA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</row>
        <row r="101">
          <cell r="A101">
            <v>1.0601010200999998</v>
          </cell>
          <cell r="B101" t="str">
            <v>MURO Y TABIQUE DE ALBAÑILERIA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</row>
        <row r="102">
          <cell r="A102">
            <v>1.0601010201009999</v>
          </cell>
          <cell r="B102" t="str">
            <v>MURO DE SOGA DE LADRILLO TUBULAR 0.12X0.15X0.24,  CEMENTO-ARENA 1:5, junta 1.5cm</v>
          </cell>
          <cell r="C102" t="str">
            <v>m2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24.959999999999994</v>
          </cell>
          <cell r="I102">
            <v>24.959999999999994</v>
          </cell>
        </row>
        <row r="103">
          <cell r="A103">
            <v>0</v>
          </cell>
          <cell r="B103" t="str">
            <v>Eje 1-1</v>
          </cell>
          <cell r="C103">
            <v>0</v>
          </cell>
          <cell r="D103">
            <v>1</v>
          </cell>
          <cell r="E103">
            <v>3</v>
          </cell>
          <cell r="F103">
            <v>0</v>
          </cell>
          <cell r="G103">
            <v>2.8</v>
          </cell>
          <cell r="H103">
            <v>8.3999999999999986</v>
          </cell>
          <cell r="I103">
            <v>0</v>
          </cell>
        </row>
        <row r="104">
          <cell r="A104">
            <v>0</v>
          </cell>
          <cell r="B104" t="str">
            <v>Descuento por ventana</v>
          </cell>
          <cell r="C104">
            <v>0</v>
          </cell>
          <cell r="D104">
            <v>-3</v>
          </cell>
          <cell r="E104">
            <v>2</v>
          </cell>
          <cell r="F104">
            <v>0</v>
          </cell>
          <cell r="G104">
            <v>0.5</v>
          </cell>
          <cell r="H104">
            <v>-3</v>
          </cell>
          <cell r="I104">
            <v>0</v>
          </cell>
        </row>
        <row r="105">
          <cell r="A105">
            <v>0</v>
          </cell>
          <cell r="B105" t="str">
            <v>Eje A-A y Eje B-B</v>
          </cell>
          <cell r="C105">
            <v>0</v>
          </cell>
          <cell r="D105">
            <v>2</v>
          </cell>
          <cell r="E105">
            <v>3</v>
          </cell>
          <cell r="F105">
            <v>0</v>
          </cell>
          <cell r="G105">
            <v>2.8</v>
          </cell>
          <cell r="H105">
            <v>16.799999999999997</v>
          </cell>
          <cell r="I105">
            <v>0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-2</v>
          </cell>
          <cell r="E106">
            <v>2</v>
          </cell>
          <cell r="F106">
            <v>0</v>
          </cell>
          <cell r="G106">
            <v>0.5</v>
          </cell>
          <cell r="H106">
            <v>-2</v>
          </cell>
          <cell r="I106">
            <v>0</v>
          </cell>
        </row>
        <row r="107">
          <cell r="A107">
            <v>0</v>
          </cell>
          <cell r="B107" t="str">
            <v>Eje 2-2</v>
          </cell>
          <cell r="C107">
            <v>0</v>
          </cell>
          <cell r="D107">
            <v>1</v>
          </cell>
          <cell r="E107">
            <v>1.7</v>
          </cell>
          <cell r="F107">
            <v>0</v>
          </cell>
          <cell r="G107">
            <v>2.8</v>
          </cell>
          <cell r="H107">
            <v>4.76</v>
          </cell>
          <cell r="I107">
            <v>0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</row>
        <row r="109">
          <cell r="A109">
            <v>1.0601010201999999</v>
          </cell>
          <cell r="B109" t="str">
            <v>REVOQUES Y ENLUCIDOS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</row>
        <row r="111">
          <cell r="A111">
            <v>1.0601010202009999</v>
          </cell>
          <cell r="B111" t="str">
            <v>TARRAJEO DE MUROS INTERIOR Y EXTERIOR, C:A= 1:5, e=1.5cm</v>
          </cell>
          <cell r="C111" t="str">
            <v>m2</v>
          </cell>
          <cell r="D111">
            <v>0</v>
          </cell>
          <cell r="E111" t="str">
            <v>muro de ladrillo</v>
          </cell>
          <cell r="F111">
            <v>0</v>
          </cell>
          <cell r="G111">
            <v>0</v>
          </cell>
          <cell r="H111">
            <v>49.919999999999987</v>
          </cell>
          <cell r="I111">
            <v>49.919999999999987</v>
          </cell>
        </row>
        <row r="112">
          <cell r="A112">
            <v>0</v>
          </cell>
          <cell r="B112" t="str">
            <v>Area interior</v>
          </cell>
          <cell r="C112">
            <v>0</v>
          </cell>
          <cell r="D112">
            <v>1</v>
          </cell>
          <cell r="E112">
            <v>24.959999999999994</v>
          </cell>
          <cell r="F112">
            <v>0</v>
          </cell>
          <cell r="G112">
            <v>0</v>
          </cell>
          <cell r="H112">
            <v>24.959999999999994</v>
          </cell>
          <cell r="I112">
            <v>0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</row>
        <row r="114">
          <cell r="A114">
            <v>0</v>
          </cell>
          <cell r="B114" t="str">
            <v>Area exterior</v>
          </cell>
          <cell r="C114">
            <v>0</v>
          </cell>
          <cell r="D114">
            <v>1</v>
          </cell>
          <cell r="E114">
            <v>24.959999999999994</v>
          </cell>
          <cell r="F114">
            <v>0</v>
          </cell>
          <cell r="G114">
            <v>0</v>
          </cell>
          <cell r="H114">
            <v>24.959999999999994</v>
          </cell>
          <cell r="I114">
            <v>0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A116">
            <v>1.060101020202</v>
          </cell>
          <cell r="B116" t="str">
            <v>TARRAJEO DE COLUMNAS, C:A= 1:5, 1.5cm</v>
          </cell>
          <cell r="C116" t="str">
            <v>m2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6.7600000000000016</v>
          </cell>
          <cell r="I116">
            <v>6.7600000000000016</v>
          </cell>
        </row>
        <row r="117">
          <cell r="A117">
            <v>0</v>
          </cell>
          <cell r="B117" t="str">
            <v>Eje 1-1</v>
          </cell>
          <cell r="C117">
            <v>0</v>
          </cell>
          <cell r="D117">
            <v>2</v>
          </cell>
          <cell r="E117">
            <v>0</v>
          </cell>
          <cell r="F117">
            <v>0.46</v>
          </cell>
          <cell r="G117">
            <v>2.6</v>
          </cell>
          <cell r="H117">
            <v>2.3920000000000003</v>
          </cell>
          <cell r="I117">
            <v>0</v>
          </cell>
        </row>
        <row r="118">
          <cell r="A118">
            <v>0</v>
          </cell>
          <cell r="B118" t="str">
            <v>Eje 2-2 con Eje B-B</v>
          </cell>
          <cell r="C118">
            <v>0</v>
          </cell>
          <cell r="D118">
            <v>1</v>
          </cell>
          <cell r="E118">
            <v>0</v>
          </cell>
          <cell r="F118">
            <v>0.69000000000000006</v>
          </cell>
          <cell r="G118">
            <v>2.6</v>
          </cell>
          <cell r="H118">
            <v>1.7940000000000003</v>
          </cell>
          <cell r="I118">
            <v>0</v>
          </cell>
        </row>
        <row r="119">
          <cell r="A119">
            <v>0</v>
          </cell>
          <cell r="B119" t="str">
            <v>Eje 2-2 con Eje A-A</v>
          </cell>
          <cell r="C119">
            <v>0</v>
          </cell>
          <cell r="D119">
            <v>1</v>
          </cell>
          <cell r="E119">
            <v>0</v>
          </cell>
          <cell r="F119">
            <v>0.46</v>
          </cell>
          <cell r="G119">
            <v>2.6</v>
          </cell>
          <cell r="H119">
            <v>1.1960000000000002</v>
          </cell>
          <cell r="I119">
            <v>0</v>
          </cell>
        </row>
        <row r="120">
          <cell r="A120">
            <v>0</v>
          </cell>
          <cell r="B120" t="str">
            <v>Columneta eje 1-1</v>
          </cell>
          <cell r="C120">
            <v>0</v>
          </cell>
          <cell r="D120">
            <v>1</v>
          </cell>
          <cell r="E120">
            <v>0</v>
          </cell>
          <cell r="F120">
            <v>0.53</v>
          </cell>
          <cell r="G120">
            <v>2.6</v>
          </cell>
          <cell r="H120">
            <v>1.3780000000000001</v>
          </cell>
          <cell r="I120">
            <v>0</v>
          </cell>
        </row>
        <row r="121">
          <cell r="A121">
            <v>1.0601010202030001</v>
          </cell>
          <cell r="B121" t="str">
            <v>TARRAJEO DE VIGAS, C:A=1:5, e=1.5cm.</v>
          </cell>
          <cell r="C121" t="str">
            <v>m2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6</v>
          </cell>
        </row>
        <row r="122">
          <cell r="A122">
            <v>0</v>
          </cell>
          <cell r="B122" t="str">
            <v>INTERIOR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6</v>
          </cell>
          <cell r="I122">
            <v>0</v>
          </cell>
        </row>
        <row r="123">
          <cell r="A123">
            <v>0</v>
          </cell>
          <cell r="B123" t="str">
            <v>Eje 1-1 y Eje 2-2</v>
          </cell>
          <cell r="C123">
            <v>0</v>
          </cell>
          <cell r="D123">
            <v>2</v>
          </cell>
          <cell r="E123">
            <v>3</v>
          </cell>
          <cell r="F123">
            <v>0</v>
          </cell>
          <cell r="G123">
            <v>0.25</v>
          </cell>
          <cell r="H123">
            <v>1.5</v>
          </cell>
          <cell r="I123">
            <v>0</v>
          </cell>
        </row>
        <row r="124">
          <cell r="A124">
            <v>0</v>
          </cell>
          <cell r="B124" t="str">
            <v>Eje A-A y Eje B-B</v>
          </cell>
          <cell r="C124">
            <v>0</v>
          </cell>
          <cell r="D124">
            <v>2</v>
          </cell>
          <cell r="E124">
            <v>3</v>
          </cell>
          <cell r="F124">
            <v>0</v>
          </cell>
          <cell r="G124">
            <v>0.25</v>
          </cell>
          <cell r="H124">
            <v>1.5</v>
          </cell>
          <cell r="I124">
            <v>0</v>
          </cell>
        </row>
        <row r="125">
          <cell r="A125">
            <v>0</v>
          </cell>
          <cell r="B125" t="str">
            <v>EXTERIOR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</row>
        <row r="126">
          <cell r="A126">
            <v>0</v>
          </cell>
          <cell r="B126" t="str">
            <v>Eje 1-1 y Eje 2-2</v>
          </cell>
          <cell r="C126">
            <v>0</v>
          </cell>
          <cell r="D126">
            <v>2</v>
          </cell>
          <cell r="E126">
            <v>3</v>
          </cell>
          <cell r="F126">
            <v>0</v>
          </cell>
          <cell r="G126">
            <v>0.25</v>
          </cell>
          <cell r="H126">
            <v>1.5</v>
          </cell>
          <cell r="I126">
            <v>0</v>
          </cell>
        </row>
        <row r="127">
          <cell r="A127">
            <v>0</v>
          </cell>
          <cell r="B127" t="str">
            <v>Eje A-A y Eje B-B</v>
          </cell>
          <cell r="C127">
            <v>0</v>
          </cell>
          <cell r="D127">
            <v>2</v>
          </cell>
          <cell r="E127">
            <v>3</v>
          </cell>
          <cell r="F127">
            <v>0</v>
          </cell>
          <cell r="G127">
            <v>0.25</v>
          </cell>
          <cell r="H127">
            <v>1.5</v>
          </cell>
          <cell r="I127">
            <v>0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</row>
        <row r="129">
          <cell r="A129">
            <v>1.0601010202040002</v>
          </cell>
          <cell r="B129" t="str">
            <v>VESTIDURAS DE DERRAMES MEZCLA C:A 1:5, e=1.5cm., ANCHO = 0.15m</v>
          </cell>
          <cell r="C129" t="str">
            <v>m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11.5</v>
          </cell>
          <cell r="I129">
            <v>11.5</v>
          </cell>
        </row>
        <row r="130">
          <cell r="A130">
            <v>0</v>
          </cell>
          <cell r="B130" t="str">
            <v>vano de puerta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</row>
        <row r="131">
          <cell r="A131">
            <v>0</v>
          </cell>
          <cell r="B131" t="str">
            <v>derrame laterales</v>
          </cell>
          <cell r="C131">
            <v>0</v>
          </cell>
          <cell r="D131">
            <v>2</v>
          </cell>
          <cell r="E131">
            <v>0</v>
          </cell>
          <cell r="F131">
            <v>0</v>
          </cell>
          <cell r="G131">
            <v>2.8</v>
          </cell>
          <cell r="H131">
            <v>5.6</v>
          </cell>
          <cell r="I131">
            <v>0</v>
          </cell>
        </row>
        <row r="132">
          <cell r="A132">
            <v>0</v>
          </cell>
          <cell r="B132" t="str">
            <v>derrame superior</v>
          </cell>
          <cell r="C132">
            <v>0</v>
          </cell>
          <cell r="D132">
            <v>1</v>
          </cell>
          <cell r="E132">
            <v>0</v>
          </cell>
          <cell r="F132">
            <v>0.9</v>
          </cell>
          <cell r="G132">
            <v>0</v>
          </cell>
          <cell r="H132">
            <v>0.9</v>
          </cell>
          <cell r="I132">
            <v>0</v>
          </cell>
        </row>
        <row r="133">
          <cell r="A133">
            <v>0</v>
          </cell>
          <cell r="B133" t="str">
            <v>vano de ventana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</row>
        <row r="134">
          <cell r="A134">
            <v>0</v>
          </cell>
          <cell r="B134" t="str">
            <v>derrame inferior y superior</v>
          </cell>
          <cell r="C134">
            <v>0</v>
          </cell>
          <cell r="D134">
            <v>2</v>
          </cell>
          <cell r="E134">
            <v>0</v>
          </cell>
          <cell r="F134">
            <v>2</v>
          </cell>
          <cell r="G134">
            <v>0</v>
          </cell>
          <cell r="H134">
            <v>4</v>
          </cell>
          <cell r="I134">
            <v>0</v>
          </cell>
        </row>
        <row r="135">
          <cell r="A135">
            <v>0</v>
          </cell>
          <cell r="B135" t="str">
            <v>derrame laterales</v>
          </cell>
          <cell r="C135">
            <v>0</v>
          </cell>
          <cell r="D135">
            <v>2</v>
          </cell>
          <cell r="E135">
            <v>0</v>
          </cell>
          <cell r="F135">
            <v>0</v>
          </cell>
          <cell r="G135">
            <v>0.5</v>
          </cell>
          <cell r="H135">
            <v>1</v>
          </cell>
          <cell r="I135">
            <v>0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</row>
        <row r="137">
          <cell r="A137">
            <v>1.0601010202999999</v>
          </cell>
          <cell r="B137" t="str">
            <v>PINTURA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</row>
        <row r="138">
          <cell r="A138">
            <v>1.060101020301</v>
          </cell>
          <cell r="B138" t="str">
            <v>PINTURA EN MUROS, VIGAS Y COLUMNAS 2 MANOS</v>
          </cell>
          <cell r="C138" t="str">
            <v>m2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62.579999999999991</v>
          </cell>
          <cell r="I138">
            <v>62.579999999999991</v>
          </cell>
        </row>
        <row r="139">
          <cell r="A139">
            <v>0</v>
          </cell>
          <cell r="B139" t="str">
            <v>Muros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</row>
        <row r="140">
          <cell r="A140">
            <v>0</v>
          </cell>
          <cell r="B140" t="str">
            <v>Interior</v>
          </cell>
          <cell r="C140">
            <v>1</v>
          </cell>
          <cell r="D140">
            <v>24.959999999999994</v>
          </cell>
          <cell r="E140">
            <v>0</v>
          </cell>
          <cell r="F140">
            <v>0</v>
          </cell>
          <cell r="G140">
            <v>0</v>
          </cell>
          <cell r="H140">
            <v>24.959999999999994</v>
          </cell>
          <cell r="I140">
            <v>0</v>
          </cell>
        </row>
        <row r="141">
          <cell r="A141">
            <v>0</v>
          </cell>
          <cell r="B141" t="str">
            <v>Exterior</v>
          </cell>
          <cell r="C141">
            <v>1</v>
          </cell>
          <cell r="D141">
            <v>24.959999999999994</v>
          </cell>
          <cell r="E141">
            <v>0</v>
          </cell>
          <cell r="F141">
            <v>0</v>
          </cell>
          <cell r="G141">
            <v>0</v>
          </cell>
          <cell r="H141">
            <v>24.959999999999994</v>
          </cell>
          <cell r="I141">
            <v>0</v>
          </cell>
        </row>
        <row r="142">
          <cell r="A142">
            <v>0</v>
          </cell>
          <cell r="B142" t="str">
            <v>Columnas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6.7600000000000016</v>
          </cell>
          <cell r="I142">
            <v>0</v>
          </cell>
        </row>
        <row r="143">
          <cell r="A143">
            <v>0</v>
          </cell>
          <cell r="B143" t="str">
            <v>Eje 1-1</v>
          </cell>
          <cell r="C143">
            <v>0</v>
          </cell>
          <cell r="D143">
            <v>2</v>
          </cell>
          <cell r="E143">
            <v>0</v>
          </cell>
          <cell r="F143">
            <v>0.46</v>
          </cell>
          <cell r="G143">
            <v>2.6</v>
          </cell>
          <cell r="H143">
            <v>2.3920000000000003</v>
          </cell>
          <cell r="I143">
            <v>0</v>
          </cell>
        </row>
        <row r="144">
          <cell r="A144">
            <v>0</v>
          </cell>
          <cell r="B144" t="str">
            <v>Eje 2-2 con Eje B-B</v>
          </cell>
          <cell r="C144">
            <v>0</v>
          </cell>
          <cell r="D144">
            <v>1</v>
          </cell>
          <cell r="E144">
            <v>0</v>
          </cell>
          <cell r="F144">
            <v>0.69000000000000006</v>
          </cell>
          <cell r="G144">
            <v>2.6</v>
          </cell>
          <cell r="H144">
            <v>1.7940000000000003</v>
          </cell>
          <cell r="I144">
            <v>0</v>
          </cell>
        </row>
        <row r="145">
          <cell r="A145">
            <v>0</v>
          </cell>
          <cell r="B145" t="str">
            <v>Eje 2-2 con Eje A-A</v>
          </cell>
          <cell r="C145">
            <v>0</v>
          </cell>
          <cell r="D145">
            <v>1</v>
          </cell>
          <cell r="E145">
            <v>0</v>
          </cell>
          <cell r="F145">
            <v>0.46</v>
          </cell>
          <cell r="G145">
            <v>2.6</v>
          </cell>
          <cell r="H145">
            <v>1.1960000000000002</v>
          </cell>
          <cell r="I145">
            <v>0</v>
          </cell>
        </row>
        <row r="146">
          <cell r="A146">
            <v>0</v>
          </cell>
          <cell r="B146" t="str">
            <v>Columneta eje 1-1</v>
          </cell>
          <cell r="C146">
            <v>0</v>
          </cell>
          <cell r="D146">
            <v>1</v>
          </cell>
          <cell r="E146">
            <v>0</v>
          </cell>
          <cell r="F146">
            <v>0.53</v>
          </cell>
          <cell r="G146">
            <v>2.6</v>
          </cell>
          <cell r="H146">
            <v>1.3780000000000001</v>
          </cell>
          <cell r="I146">
            <v>0</v>
          </cell>
        </row>
        <row r="147">
          <cell r="A147">
            <v>0</v>
          </cell>
          <cell r="B147" t="str">
            <v>Viguetas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</row>
        <row r="148">
          <cell r="A148">
            <v>0</v>
          </cell>
          <cell r="B148" t="str">
            <v>INTERIOR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5.9</v>
          </cell>
          <cell r="I148">
            <v>0</v>
          </cell>
        </row>
        <row r="149">
          <cell r="A149">
            <v>0</v>
          </cell>
          <cell r="B149" t="str">
            <v>Eje 1-1 y Eje 2-2</v>
          </cell>
          <cell r="C149">
            <v>0</v>
          </cell>
          <cell r="D149">
            <v>2</v>
          </cell>
          <cell r="E149">
            <v>2.95</v>
          </cell>
          <cell r="F149">
            <v>0</v>
          </cell>
          <cell r="G149">
            <v>0.25</v>
          </cell>
          <cell r="H149">
            <v>1.4750000000000001</v>
          </cell>
          <cell r="I149">
            <v>0</v>
          </cell>
        </row>
        <row r="150">
          <cell r="A150">
            <v>0</v>
          </cell>
          <cell r="B150" t="str">
            <v>Eje A-A y Eje B-B</v>
          </cell>
          <cell r="C150">
            <v>0</v>
          </cell>
          <cell r="D150">
            <v>2</v>
          </cell>
          <cell r="E150">
            <v>2.95</v>
          </cell>
          <cell r="F150">
            <v>0</v>
          </cell>
          <cell r="G150">
            <v>0.25</v>
          </cell>
          <cell r="H150">
            <v>1.4750000000000001</v>
          </cell>
          <cell r="I150">
            <v>0</v>
          </cell>
        </row>
        <row r="151">
          <cell r="A151">
            <v>0</v>
          </cell>
          <cell r="B151" t="str">
            <v>EXTERIOR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</row>
        <row r="152">
          <cell r="A152">
            <v>0</v>
          </cell>
          <cell r="B152" t="str">
            <v>Eje 1-1 y Eje 2-2</v>
          </cell>
          <cell r="C152">
            <v>0</v>
          </cell>
          <cell r="D152">
            <v>2</v>
          </cell>
          <cell r="E152">
            <v>2.95</v>
          </cell>
          <cell r="F152">
            <v>0</v>
          </cell>
          <cell r="G152">
            <v>0.25</v>
          </cell>
          <cell r="H152">
            <v>1.4750000000000001</v>
          </cell>
          <cell r="I152">
            <v>0</v>
          </cell>
        </row>
        <row r="153">
          <cell r="A153">
            <v>0</v>
          </cell>
          <cell r="B153" t="str">
            <v>Eje A-A y Eje B-B</v>
          </cell>
          <cell r="C153">
            <v>0</v>
          </cell>
          <cell r="D153">
            <v>2</v>
          </cell>
          <cell r="E153">
            <v>2.95</v>
          </cell>
          <cell r="F153">
            <v>0</v>
          </cell>
          <cell r="G153">
            <v>0.25</v>
          </cell>
          <cell r="H153">
            <v>1.4750000000000001</v>
          </cell>
          <cell r="I153">
            <v>0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A155">
            <v>1.0601010203999999</v>
          </cell>
          <cell r="B155" t="str">
            <v>COBERTURAS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</row>
        <row r="156">
          <cell r="A156">
            <v>1.060101020401</v>
          </cell>
          <cell r="B156" t="str">
            <v>COBERTURA CON CALAMINA GALVANIZADA DE 1.80X0.83X0.27MM</v>
          </cell>
          <cell r="C156" t="str">
            <v>m2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20.25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1</v>
          </cell>
          <cell r="E157">
            <v>4.5</v>
          </cell>
          <cell r="F157">
            <v>4.5</v>
          </cell>
          <cell r="G157">
            <v>0</v>
          </cell>
          <cell r="H157">
            <v>20.25</v>
          </cell>
          <cell r="I157">
            <v>0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</row>
        <row r="159">
          <cell r="A159">
            <v>1.060101020402</v>
          </cell>
          <cell r="B159" t="str">
            <v>TIJERAL DE MADERA</v>
          </cell>
          <cell r="C159" t="str">
            <v>p2</v>
          </cell>
          <cell r="D159">
            <v>0</v>
          </cell>
          <cell r="E159" t="str">
            <v>pie</v>
          </cell>
          <cell r="F159" t="str">
            <v>pulg</v>
          </cell>
          <cell r="G159" t="str">
            <v>pulg</v>
          </cell>
          <cell r="H159">
            <v>137.46719160104988</v>
          </cell>
          <cell r="I159">
            <v>137.46719160104988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3</v>
          </cell>
          <cell r="E160">
            <v>0</v>
          </cell>
          <cell r="F160">
            <v>0</v>
          </cell>
          <cell r="G160">
            <v>0</v>
          </cell>
          <cell r="H160">
            <v>45.822397200349954</v>
          </cell>
          <cell r="I160">
            <v>0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1</v>
          </cell>
          <cell r="E161">
            <v>14.763779527559054</v>
          </cell>
          <cell r="F161">
            <v>3</v>
          </cell>
          <cell r="G161">
            <v>6</v>
          </cell>
          <cell r="H161">
            <v>22.145669291338582</v>
          </cell>
          <cell r="I161">
            <v>0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2</v>
          </cell>
          <cell r="E162">
            <v>7.5459317585301831</v>
          </cell>
          <cell r="F162">
            <v>3</v>
          </cell>
          <cell r="G162">
            <v>5</v>
          </cell>
          <cell r="H162">
            <v>18.864829396325458</v>
          </cell>
          <cell r="I162">
            <v>0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1</v>
          </cell>
          <cell r="E163">
            <v>7.2178477690288716</v>
          </cell>
          <cell r="F163">
            <v>2</v>
          </cell>
          <cell r="G163">
            <v>4</v>
          </cell>
          <cell r="H163">
            <v>4.8118985126859144</v>
          </cell>
          <cell r="I163">
            <v>0</v>
          </cell>
        </row>
        <row r="164">
          <cell r="A164">
            <v>1.0601010204030001</v>
          </cell>
          <cell r="B164" t="str">
            <v>CORREA DE MADERA TORNILLO 2"X2"</v>
          </cell>
          <cell r="C164" t="str">
            <v>p2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39.370078740157474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8</v>
          </cell>
          <cell r="E165">
            <v>14.763779527559054</v>
          </cell>
          <cell r="F165">
            <v>2</v>
          </cell>
          <cell r="G165">
            <v>2</v>
          </cell>
          <cell r="H165">
            <v>39.370078740157474</v>
          </cell>
          <cell r="I165">
            <v>0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</row>
        <row r="168">
          <cell r="A168">
            <v>1.0601010204999999</v>
          </cell>
          <cell r="B168" t="str">
            <v>CARPINTERIA METALICA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</row>
        <row r="169">
          <cell r="A169">
            <v>1.060101020501</v>
          </cell>
          <cell r="B169" t="str">
            <v>PUERTA DE FIERRO (0.90X 2.70m) CON PERFIL ANGULAR 1"X1/8", MALLA METALICA-ALAMBRE #10 COCADAS DE 2"</v>
          </cell>
          <cell r="C169" t="str">
            <v>und</v>
          </cell>
          <cell r="D169">
            <v>1</v>
          </cell>
          <cell r="E169">
            <v>0</v>
          </cell>
          <cell r="F169">
            <v>0</v>
          </cell>
          <cell r="G169">
            <v>0</v>
          </cell>
          <cell r="H169">
            <v>1</v>
          </cell>
          <cell r="I169">
            <v>1</v>
          </cell>
        </row>
        <row r="170">
          <cell r="A170">
            <v>0</v>
          </cell>
          <cell r="B170" t="str">
            <v>insumos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</row>
        <row r="171">
          <cell r="A171">
            <v>0</v>
          </cell>
          <cell r="B171" t="str">
            <v>Malla metalica de 2"x2" #10</v>
          </cell>
          <cell r="C171" t="str">
            <v>m2</v>
          </cell>
          <cell r="D171">
            <v>1</v>
          </cell>
          <cell r="E171">
            <v>0.9</v>
          </cell>
          <cell r="F171">
            <v>2.7</v>
          </cell>
          <cell r="G171">
            <v>0</v>
          </cell>
          <cell r="H171">
            <v>2.4300000000000002</v>
          </cell>
          <cell r="I171">
            <v>0</v>
          </cell>
        </row>
        <row r="172">
          <cell r="A172">
            <v>0</v>
          </cell>
          <cell r="B172" t="str">
            <v>Perfil angular 1" x 1/8"</v>
          </cell>
          <cell r="C172" t="str">
            <v>m</v>
          </cell>
          <cell r="D172">
            <v>1</v>
          </cell>
          <cell r="E172">
            <v>53.149606299212607</v>
          </cell>
          <cell r="F172">
            <v>0</v>
          </cell>
          <cell r="G172">
            <v>0</v>
          </cell>
          <cell r="H172">
            <v>53.149606299212607</v>
          </cell>
          <cell r="I172">
            <v>0</v>
          </cell>
        </row>
        <row r="173">
          <cell r="A173">
            <v>0</v>
          </cell>
          <cell r="B173" t="str">
            <v>Cerradura para puerta</v>
          </cell>
          <cell r="C173" t="str">
            <v>und</v>
          </cell>
          <cell r="D173">
            <v>1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</v>
          </cell>
        </row>
        <row r="174">
          <cell r="A174">
            <v>0</v>
          </cell>
          <cell r="B174" t="str">
            <v>bisagras para puerta 3"</v>
          </cell>
          <cell r="C174" t="str">
            <v>und</v>
          </cell>
          <cell r="D174">
            <v>3</v>
          </cell>
          <cell r="E174">
            <v>0</v>
          </cell>
          <cell r="F174">
            <v>0</v>
          </cell>
          <cell r="G174">
            <v>0</v>
          </cell>
          <cell r="H174">
            <v>3</v>
          </cell>
          <cell r="I174">
            <v>0</v>
          </cell>
        </row>
        <row r="175">
          <cell r="A175">
            <v>1.0601010205020001</v>
          </cell>
          <cell r="B175" t="str">
            <v>VENTANA DE FIERRO DE 1"X1 1/8" "/C MALLA METALICA-ALAMBRE 10 COCADAS DE 2"</v>
          </cell>
          <cell r="C175" t="str">
            <v>und</v>
          </cell>
          <cell r="D175">
            <v>3</v>
          </cell>
          <cell r="E175">
            <v>0</v>
          </cell>
          <cell r="F175">
            <v>0</v>
          </cell>
          <cell r="G175">
            <v>0</v>
          </cell>
          <cell r="H175">
            <v>3</v>
          </cell>
          <cell r="I175">
            <v>3</v>
          </cell>
        </row>
        <row r="176">
          <cell r="A176">
            <v>0</v>
          </cell>
          <cell r="B176" t="str">
            <v>insumos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>
            <v>0</v>
          </cell>
          <cell r="B177" t="str">
            <v>Malla metalica de 2"x2" #10</v>
          </cell>
          <cell r="C177" t="str">
            <v>m2</v>
          </cell>
          <cell r="D177">
            <v>1</v>
          </cell>
          <cell r="E177">
            <v>0.5</v>
          </cell>
          <cell r="F177">
            <v>2</v>
          </cell>
          <cell r="G177">
            <v>0</v>
          </cell>
          <cell r="H177">
            <v>1</v>
          </cell>
          <cell r="I177">
            <v>0</v>
          </cell>
        </row>
        <row r="178">
          <cell r="A178">
            <v>0</v>
          </cell>
          <cell r="B178" t="str">
            <v>Perfil angular 1" x 1/8"</v>
          </cell>
          <cell r="C178" t="str">
            <v>m</v>
          </cell>
          <cell r="D178">
            <v>1</v>
          </cell>
          <cell r="E178">
            <v>22.965879265091861</v>
          </cell>
          <cell r="F178">
            <v>0</v>
          </cell>
          <cell r="G178">
            <v>0</v>
          </cell>
          <cell r="H178">
            <v>22.965879265091861</v>
          </cell>
          <cell r="I178">
            <v>0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</row>
        <row r="181">
          <cell r="A181">
            <v>1.0601019999999999</v>
          </cell>
          <cell r="B181" t="str">
            <v>CISTERNA 21.00 m3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</row>
        <row r="182">
          <cell r="A182">
            <v>1.0601020099999998</v>
          </cell>
          <cell r="B182" t="str">
            <v>ESTRUCTURAS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</row>
        <row r="183">
          <cell r="A183">
            <v>1.0601020100999998</v>
          </cell>
          <cell r="B183" t="str">
            <v>MOVIMIENTO DE TIERRAS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</row>
        <row r="184">
          <cell r="A184">
            <v>1.0601020101009999</v>
          </cell>
          <cell r="B184" t="str">
            <v>EXCAVACION EN TERRENO NORMAL</v>
          </cell>
          <cell r="C184" t="str">
            <v>m3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55.77</v>
          </cell>
          <cell r="I184">
            <v>55.77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1</v>
          </cell>
          <cell r="E185">
            <v>3.25</v>
          </cell>
          <cell r="F185">
            <v>6.6</v>
          </cell>
          <cell r="G185">
            <v>2.6</v>
          </cell>
          <cell r="H185">
            <v>55.77</v>
          </cell>
          <cell r="I185">
            <v>0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</row>
        <row r="187">
          <cell r="A187">
            <v>1.060102010102</v>
          </cell>
          <cell r="B187" t="str">
            <v>NIVELACIÓN INTERIOR Y APISONADO</v>
          </cell>
          <cell r="C187" t="str">
            <v>m2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21.45</v>
          </cell>
          <cell r="I187">
            <v>21.45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1</v>
          </cell>
          <cell r="E188">
            <v>3.25</v>
          </cell>
          <cell r="F188">
            <v>6.6</v>
          </cell>
          <cell r="G188">
            <v>0</v>
          </cell>
          <cell r="H188">
            <v>21.45</v>
          </cell>
          <cell r="I188">
            <v>0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>
            <v>1.0601020101030001</v>
          </cell>
          <cell r="B192" t="str">
            <v>ELIMINACION DE MATERIAL EXCEDENTE DP=30 M</v>
          </cell>
          <cell r="C192" t="str">
            <v>m3</v>
          </cell>
          <cell r="D192">
            <v>0</v>
          </cell>
          <cell r="E192" t="str">
            <v>volumen</v>
          </cell>
          <cell r="F192">
            <v>0</v>
          </cell>
          <cell r="G192">
            <v>0</v>
          </cell>
          <cell r="H192">
            <v>66.924000000000007</v>
          </cell>
          <cell r="I192">
            <v>66.924000000000007</v>
          </cell>
        </row>
        <row r="193">
          <cell r="A193">
            <v>0</v>
          </cell>
          <cell r="B193" t="str">
            <v>excavación</v>
          </cell>
          <cell r="C193">
            <v>0</v>
          </cell>
          <cell r="D193">
            <v>1</v>
          </cell>
          <cell r="E193">
            <v>55.77</v>
          </cell>
          <cell r="F193">
            <v>1.2</v>
          </cell>
          <cell r="G193">
            <v>0</v>
          </cell>
          <cell r="H193">
            <v>66.924000000000007</v>
          </cell>
          <cell r="I193">
            <v>0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A195">
            <v>1.0601020101999998</v>
          </cell>
          <cell r="B195" t="str">
            <v>OBRAS DE CONCRETO SIMPLE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</row>
        <row r="196">
          <cell r="A196">
            <v>1.0601020102009999</v>
          </cell>
          <cell r="B196" t="str">
            <v>CONCRETO f´c=100 kg/cm2, E= 5cm</v>
          </cell>
          <cell r="C196" t="str">
            <v>m2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21.45</v>
          </cell>
          <cell r="I196">
            <v>21.45</v>
          </cell>
        </row>
        <row r="197">
          <cell r="A197">
            <v>0</v>
          </cell>
          <cell r="B197" t="str">
            <v>Solado</v>
          </cell>
          <cell r="C197">
            <v>0</v>
          </cell>
          <cell r="D197">
            <v>1</v>
          </cell>
          <cell r="E197">
            <v>3.25</v>
          </cell>
          <cell r="F197">
            <v>6.6</v>
          </cell>
          <cell r="G197">
            <v>0</v>
          </cell>
          <cell r="H197">
            <v>21.45</v>
          </cell>
          <cell r="I197">
            <v>0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</row>
        <row r="199">
          <cell r="A199">
            <v>1.0601020102999998</v>
          </cell>
          <cell r="B199" t="str">
            <v>OBRAS DE CONCRETO ARMADO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</row>
        <row r="200">
          <cell r="A200">
            <v>1.0601020103009999</v>
          </cell>
          <cell r="B200" t="str">
            <v>ZAPATA CORRIDA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A201">
            <v>1.0601020103010099</v>
          </cell>
          <cell r="B201" t="str">
            <v>CONCRETO F'c=280 kg/cm2, S/MEZCLADORA</v>
          </cell>
          <cell r="C201" t="str">
            <v>m3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4.6088000000000005</v>
          </cell>
          <cell r="I201">
            <v>4.6088000000000005</v>
          </cell>
        </row>
        <row r="202">
          <cell r="A202">
            <v>0</v>
          </cell>
          <cell r="B202">
            <v>0</v>
          </cell>
          <cell r="C202">
            <v>0</v>
          </cell>
          <cell r="D202">
            <v>2</v>
          </cell>
          <cell r="E202">
            <v>3.25</v>
          </cell>
          <cell r="F202">
            <v>0.56000000000000005</v>
          </cell>
          <cell r="G202">
            <v>0.5</v>
          </cell>
          <cell r="H202">
            <v>1.8200000000000003</v>
          </cell>
          <cell r="I202">
            <v>0</v>
          </cell>
        </row>
        <row r="203">
          <cell r="A203">
            <v>0</v>
          </cell>
          <cell r="B203">
            <v>0</v>
          </cell>
          <cell r="C203">
            <v>0</v>
          </cell>
          <cell r="D203">
            <v>2</v>
          </cell>
          <cell r="E203">
            <v>4.9799999999999995</v>
          </cell>
          <cell r="F203">
            <v>0.56000000000000005</v>
          </cell>
          <cell r="G203">
            <v>0.5</v>
          </cell>
          <cell r="H203">
            <v>2.7888000000000002</v>
          </cell>
          <cell r="I203">
            <v>0</v>
          </cell>
        </row>
        <row r="204">
          <cell r="A204">
            <v>0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</row>
        <row r="205">
          <cell r="A205">
            <v>1.0601020103010199</v>
          </cell>
          <cell r="B205" t="str">
            <v>ACERO CORRUGADO f'y=4200 kg/cm2 GRADO 60</v>
          </cell>
          <cell r="C205" t="str">
            <v>kg</v>
          </cell>
          <cell r="D205">
            <v>1</v>
          </cell>
          <cell r="E205">
            <v>142.09965</v>
          </cell>
          <cell r="F205">
            <v>0</v>
          </cell>
          <cell r="G205">
            <v>0</v>
          </cell>
          <cell r="H205">
            <v>142.09965</v>
          </cell>
          <cell r="I205">
            <v>142.09965</v>
          </cell>
        </row>
        <row r="206">
          <cell r="A206">
            <v>0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</row>
        <row r="207">
          <cell r="A207">
            <v>1.060102010302</v>
          </cell>
          <cell r="B207" t="str">
            <v>LOSA DE CIMENTACION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</row>
        <row r="208">
          <cell r="A208">
            <v>1.06010201030201</v>
          </cell>
          <cell r="B208" t="str">
            <v>CONCRETO F'c=280 kg/cm2, S/MEZCLADORA</v>
          </cell>
          <cell r="C208" t="str">
            <v>m3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2.4277499999999996</v>
          </cell>
          <cell r="I208">
            <v>2.4277499999999996</v>
          </cell>
        </row>
        <row r="209">
          <cell r="A209">
            <v>0</v>
          </cell>
          <cell r="B209">
            <v>0</v>
          </cell>
          <cell r="C209">
            <v>0</v>
          </cell>
          <cell r="D209">
            <v>1</v>
          </cell>
          <cell r="E209">
            <v>3.25</v>
          </cell>
          <cell r="F209">
            <v>4.9799999999999995</v>
          </cell>
          <cell r="G209">
            <v>0.15</v>
          </cell>
          <cell r="H209">
            <v>2.4277499999999996</v>
          </cell>
          <cell r="I209">
            <v>0</v>
          </cell>
        </row>
        <row r="210">
          <cell r="A210">
            <v>0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A211">
            <v>0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</row>
        <row r="212">
          <cell r="A212">
            <v>1.06010201030202</v>
          </cell>
          <cell r="B212" t="str">
            <v>ACERO CORRUGADO f'y=4200 kg/cm2 GRADO 60</v>
          </cell>
          <cell r="C212" t="str">
            <v>kg</v>
          </cell>
          <cell r="D212">
            <v>1</v>
          </cell>
          <cell r="E212">
            <v>190.12454999999997</v>
          </cell>
          <cell r="F212">
            <v>0</v>
          </cell>
          <cell r="G212">
            <v>0</v>
          </cell>
          <cell r="H212">
            <v>190.12454999999997</v>
          </cell>
          <cell r="I212">
            <v>190.12454999999997</v>
          </cell>
        </row>
        <row r="213">
          <cell r="A213">
            <v>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A214">
            <v>1.0601020103030001</v>
          </cell>
          <cell r="B214" t="str">
            <v>MUROS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</row>
        <row r="215">
          <cell r="A215">
            <v>1.0601020103030101</v>
          </cell>
          <cell r="B215" t="str">
            <v>CONCRETO F'c=280 kg/cm2, S/MEZCLADORA</v>
          </cell>
          <cell r="C215" t="str">
            <v>m3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6.5559999999999992</v>
          </cell>
          <cell r="I215">
            <v>6.5559999999999992</v>
          </cell>
        </row>
        <row r="216">
          <cell r="A216">
            <v>0</v>
          </cell>
          <cell r="B216" t="str">
            <v>Eje menor</v>
          </cell>
          <cell r="C216">
            <v>0</v>
          </cell>
          <cell r="D216">
            <v>2</v>
          </cell>
          <cell r="E216">
            <v>2.25</v>
          </cell>
          <cell r="F216">
            <v>0.2</v>
          </cell>
          <cell r="G216">
            <v>2.1999999999999997</v>
          </cell>
          <cell r="H216">
            <v>1.9799999999999998</v>
          </cell>
          <cell r="I216">
            <v>0</v>
          </cell>
        </row>
        <row r="217">
          <cell r="A217">
            <v>0</v>
          </cell>
          <cell r="B217" t="str">
            <v>Eje mayor</v>
          </cell>
          <cell r="C217">
            <v>0</v>
          </cell>
          <cell r="D217">
            <v>2</v>
          </cell>
          <cell r="E217">
            <v>5.2</v>
          </cell>
          <cell r="F217">
            <v>0.2</v>
          </cell>
          <cell r="G217">
            <v>2.1999999999999997</v>
          </cell>
          <cell r="H217">
            <v>4.5759999999999996</v>
          </cell>
          <cell r="I217">
            <v>0</v>
          </cell>
        </row>
        <row r="218">
          <cell r="A218">
            <v>1.0601020103030201</v>
          </cell>
          <cell r="B218" t="str">
            <v>ENCOFRADO Y DESENCOFRADO NORMAL</v>
          </cell>
          <cell r="C218" t="str">
            <v>m2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32.78</v>
          </cell>
          <cell r="I218">
            <v>32.78</v>
          </cell>
        </row>
        <row r="219">
          <cell r="A219">
            <v>0</v>
          </cell>
          <cell r="B219" t="str">
            <v>Eje menor</v>
          </cell>
          <cell r="C219">
            <v>0</v>
          </cell>
          <cell r="D219">
            <v>2</v>
          </cell>
          <cell r="E219">
            <v>2.25</v>
          </cell>
          <cell r="F219">
            <v>0</v>
          </cell>
          <cell r="G219">
            <v>2.1999999999999997</v>
          </cell>
          <cell r="H219">
            <v>9.8999999999999986</v>
          </cell>
          <cell r="I219">
            <v>0</v>
          </cell>
        </row>
        <row r="220">
          <cell r="A220">
            <v>0</v>
          </cell>
          <cell r="B220" t="str">
            <v>Eje mayor</v>
          </cell>
          <cell r="C220">
            <v>0</v>
          </cell>
          <cell r="D220">
            <v>2</v>
          </cell>
          <cell r="E220">
            <v>5.2</v>
          </cell>
          <cell r="F220">
            <v>0</v>
          </cell>
          <cell r="G220">
            <v>2.1999999999999997</v>
          </cell>
          <cell r="H220">
            <v>22.88</v>
          </cell>
          <cell r="I220">
            <v>0</v>
          </cell>
        </row>
        <row r="221">
          <cell r="A221">
            <v>0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</row>
        <row r="222">
          <cell r="A222">
            <v>1.0601020103030301</v>
          </cell>
          <cell r="B222" t="str">
            <v>ACERO CORRUGADO f'y=4200 kg/cm2 GRADO 60</v>
          </cell>
          <cell r="C222" t="str">
            <v>kg</v>
          </cell>
          <cell r="D222">
            <v>1</v>
          </cell>
          <cell r="E222">
            <v>358.97400000000005</v>
          </cell>
          <cell r="F222">
            <v>0</v>
          </cell>
          <cell r="G222">
            <v>0</v>
          </cell>
          <cell r="H222">
            <v>358.97400000000005</v>
          </cell>
          <cell r="I222">
            <v>358.97400000000005</v>
          </cell>
        </row>
        <row r="223">
          <cell r="A223">
            <v>0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A224">
            <v>1.0601020103040002</v>
          </cell>
          <cell r="B224" t="str">
            <v>LOSA DE TECHO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</row>
        <row r="225">
          <cell r="A225">
            <v>1.0601020103040102</v>
          </cell>
          <cell r="B225" t="str">
            <v>CONCRETO F'c=210 kg/cm2, S/MEZCLADORA</v>
          </cell>
          <cell r="C225" t="str">
            <v>m3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2.226</v>
          </cell>
          <cell r="I225">
            <v>2.226</v>
          </cell>
        </row>
        <row r="226">
          <cell r="A226">
            <v>0</v>
          </cell>
          <cell r="B226">
            <v>0</v>
          </cell>
          <cell r="C226">
            <v>0</v>
          </cell>
          <cell r="D226">
            <v>1</v>
          </cell>
          <cell r="E226">
            <v>2.65</v>
          </cell>
          <cell r="F226">
            <v>5.6000000000000005</v>
          </cell>
          <cell r="G226">
            <v>0.15</v>
          </cell>
          <cell r="H226">
            <v>2.226</v>
          </cell>
          <cell r="I226">
            <v>0</v>
          </cell>
        </row>
        <row r="227">
          <cell r="A227">
            <v>0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</row>
        <row r="228">
          <cell r="A228">
            <v>1.0601020103040202</v>
          </cell>
          <cell r="B228" t="str">
            <v>ENCOFRADO Y DESENCOFRADO NORMAL</v>
          </cell>
          <cell r="C228" t="str">
            <v>m2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14.840000000000002</v>
          </cell>
          <cell r="I228">
            <v>14.840000000000002</v>
          </cell>
        </row>
        <row r="229">
          <cell r="A229">
            <v>0</v>
          </cell>
          <cell r="B229">
            <v>0</v>
          </cell>
          <cell r="C229">
            <v>0</v>
          </cell>
          <cell r="D229">
            <v>1</v>
          </cell>
          <cell r="E229">
            <v>2.65</v>
          </cell>
          <cell r="F229">
            <v>5.6000000000000005</v>
          </cell>
          <cell r="G229">
            <v>0</v>
          </cell>
          <cell r="H229">
            <v>14.840000000000002</v>
          </cell>
          <cell r="I229">
            <v>0</v>
          </cell>
        </row>
        <row r="230">
          <cell r="A230">
            <v>0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</row>
        <row r="231">
          <cell r="A231">
            <v>0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</row>
        <row r="232">
          <cell r="A232">
            <v>1.0601020103040302</v>
          </cell>
          <cell r="B232" t="str">
            <v>ACERO CORRUGADO f'y=4200 kg/cm2 GRADO 60</v>
          </cell>
          <cell r="C232" t="str">
            <v>kg</v>
          </cell>
          <cell r="D232">
            <v>1</v>
          </cell>
          <cell r="E232">
            <v>254.78144999999998</v>
          </cell>
          <cell r="F232">
            <v>0</v>
          </cell>
          <cell r="G232">
            <v>0</v>
          </cell>
          <cell r="H232">
            <v>254.78144999999998</v>
          </cell>
          <cell r="I232">
            <v>254.78144999999998</v>
          </cell>
        </row>
        <row r="233">
          <cell r="A233">
            <v>0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</row>
        <row r="234">
          <cell r="A234">
            <v>0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</row>
        <row r="235">
          <cell r="A235">
            <v>1.0601020199999998</v>
          </cell>
          <cell r="B235" t="str">
            <v>ARQUITECTURA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</row>
        <row r="236">
          <cell r="A236">
            <v>1.0601020200999998</v>
          </cell>
          <cell r="B236" t="str">
            <v>REVOQUES Y ENLUCIDOS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A237">
            <v>1.0601020201009999</v>
          </cell>
          <cell r="B237" t="str">
            <v>TARRAJEO INTERIOR CON IMPERMEABILIZANTE C:A 1:2, E=2.0cm (RA)</v>
          </cell>
          <cell r="C237" t="str">
            <v>m2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41.155000000000001</v>
          </cell>
          <cell r="I237">
            <v>41.155000000000001</v>
          </cell>
        </row>
        <row r="238">
          <cell r="A238">
            <v>0</v>
          </cell>
          <cell r="B238" t="str">
            <v>Muros laterales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</row>
        <row r="239">
          <cell r="A239">
            <v>0</v>
          </cell>
          <cell r="B239">
            <v>0</v>
          </cell>
          <cell r="C239">
            <v>0</v>
          </cell>
          <cell r="D239">
            <v>2</v>
          </cell>
          <cell r="E239">
            <v>2.25</v>
          </cell>
          <cell r="F239">
            <v>2.1999999999999997</v>
          </cell>
          <cell r="G239">
            <v>0</v>
          </cell>
          <cell r="H239">
            <v>9.8999999999999986</v>
          </cell>
          <cell r="I239">
            <v>0</v>
          </cell>
        </row>
        <row r="240">
          <cell r="A240">
            <v>0</v>
          </cell>
          <cell r="B240">
            <v>0</v>
          </cell>
          <cell r="C240">
            <v>0</v>
          </cell>
          <cell r="D240">
            <v>2</v>
          </cell>
          <cell r="E240">
            <v>4.7</v>
          </cell>
          <cell r="F240">
            <v>2.1999999999999997</v>
          </cell>
          <cell r="G240">
            <v>0</v>
          </cell>
          <cell r="H240">
            <v>20.68</v>
          </cell>
          <cell r="I240">
            <v>0</v>
          </cell>
        </row>
        <row r="241">
          <cell r="A241">
            <v>0</v>
          </cell>
          <cell r="B241" t="str">
            <v>Piso de fondo</v>
          </cell>
          <cell r="C241">
            <v>0</v>
          </cell>
          <cell r="D241">
            <v>1</v>
          </cell>
          <cell r="E241">
            <v>2.25</v>
          </cell>
          <cell r="F241">
            <v>4.7</v>
          </cell>
          <cell r="G241">
            <v>0</v>
          </cell>
          <cell r="H241">
            <v>10.575000000000001</v>
          </cell>
          <cell r="I241">
            <v>0</v>
          </cell>
        </row>
        <row r="242">
          <cell r="A242">
            <v>0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</row>
        <row r="243">
          <cell r="A243">
            <v>0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</row>
        <row r="244">
          <cell r="A244">
            <v>1.0601029999999998</v>
          </cell>
          <cell r="B244" t="str">
            <v>INSTALACION ELECTROMECANICA Y EQUIPAMIENTO HIDRAULICO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</row>
        <row r="245">
          <cell r="A245">
            <v>1.0601030099999997</v>
          </cell>
          <cell r="B245" t="str">
            <v>INSTALACION ELECTRICA Y ELECTROMECANICA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</row>
        <row r="246">
          <cell r="A246">
            <v>1.0601030100999997</v>
          </cell>
          <cell r="B246" t="str">
            <v>FACTIBILIDAD ELECTRICA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</row>
        <row r="247">
          <cell r="A247">
            <v>1.0601030101009998</v>
          </cell>
          <cell r="B247" t="str">
            <v>FACTIBILIDAD ELECTRICA</v>
          </cell>
          <cell r="C247" t="str">
            <v>glb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1</v>
          </cell>
          <cell r="I247">
            <v>1</v>
          </cell>
        </row>
        <row r="248">
          <cell r="A248">
            <v>1.0601030101999998</v>
          </cell>
          <cell r="B248" t="str">
            <v>TABLERO GENERAL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</row>
        <row r="249">
          <cell r="A249">
            <v>1.0601030102009998</v>
          </cell>
          <cell r="B249" t="str">
            <v>TABLERO GENERAL/ INCLUYE INSTALACION</v>
          </cell>
          <cell r="C249" t="str">
            <v>glb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1</v>
          </cell>
          <cell r="I249">
            <v>1</v>
          </cell>
        </row>
        <row r="250">
          <cell r="A250">
            <v>0</v>
          </cell>
          <cell r="B250" t="str">
            <v>Interruptor termomagnetico 3 x 50A</v>
          </cell>
          <cell r="C250" t="str">
            <v>unid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1</v>
          </cell>
          <cell r="I250">
            <v>1</v>
          </cell>
        </row>
        <row r="251">
          <cell r="A251">
            <v>0</v>
          </cell>
          <cell r="B251" t="str">
            <v>Interruptor termomagnetico 2 x 15A</v>
          </cell>
          <cell r="C251" t="str">
            <v>unid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1</v>
          </cell>
          <cell r="I251">
            <v>1</v>
          </cell>
        </row>
        <row r="252">
          <cell r="A252">
            <v>0</v>
          </cell>
          <cell r="B252" t="str">
            <v>Interruptor termomagnetico 2 x 20A</v>
          </cell>
          <cell r="C252" t="str">
            <v>unid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2</v>
          </cell>
          <cell r="I252">
            <v>2</v>
          </cell>
        </row>
        <row r="253">
          <cell r="A253">
            <v>0</v>
          </cell>
          <cell r="B253" t="str">
            <v>Interruptor termomagnetico diferencial L 2 x 20A</v>
          </cell>
          <cell r="C253" t="str">
            <v>unid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1</v>
          </cell>
          <cell r="I253">
            <v>1</v>
          </cell>
        </row>
        <row r="254">
          <cell r="A254">
            <v>0</v>
          </cell>
          <cell r="B254" t="str">
            <v>Interruptor termomagnetico diferencial 3 x 15A</v>
          </cell>
          <cell r="C254" t="str">
            <v>unid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2</v>
          </cell>
          <cell r="I254">
            <v>2</v>
          </cell>
        </row>
        <row r="255">
          <cell r="A255">
            <v>0</v>
          </cell>
          <cell r="B255" t="str">
            <v>Arrancador directo, 220 V-3Ø-60 HZ</v>
          </cell>
          <cell r="C255" t="str">
            <v>unid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2</v>
          </cell>
          <cell r="I255">
            <v>2</v>
          </cell>
        </row>
        <row r="256">
          <cell r="A256">
            <v>1.0601030102999998</v>
          </cell>
          <cell r="B256" t="str">
            <v xml:space="preserve">ALUMBRADO INTERIOR Y TOMACORRIENTES 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</row>
        <row r="257">
          <cell r="A257">
            <v>1.0601030103009998</v>
          </cell>
          <cell r="B257" t="str">
            <v>SALIDA CENTRO DE LUZ</v>
          </cell>
          <cell r="C257" t="str">
            <v>pto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2</v>
          </cell>
          <cell r="I257">
            <v>2</v>
          </cell>
        </row>
        <row r="258">
          <cell r="A258">
            <v>1.0601030103019999</v>
          </cell>
          <cell r="B258" t="str">
            <v>SALIDA PARA TOMACORRIENTE</v>
          </cell>
          <cell r="C258" t="str">
            <v>pto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2</v>
          </cell>
          <cell r="I258">
            <v>2</v>
          </cell>
        </row>
        <row r="259">
          <cell r="A259">
            <v>1.060103010303</v>
          </cell>
          <cell r="B259" t="str">
            <v xml:space="preserve">TUBERIA ELECTRICA PVC-P  -  Ø20 mm </v>
          </cell>
          <cell r="C259" t="str">
            <v>m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7.5</v>
          </cell>
          <cell r="I259">
            <v>7.5</v>
          </cell>
        </row>
        <row r="260">
          <cell r="A260">
            <v>1.0601030103040001</v>
          </cell>
          <cell r="B260" t="str">
            <v>ALAMBRE 2.5 mm2 THW</v>
          </cell>
          <cell r="C260" t="str">
            <v>m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32.5</v>
          </cell>
          <cell r="I260">
            <v>32.5</v>
          </cell>
        </row>
        <row r="261">
          <cell r="A261">
            <v>1.0601030103050002</v>
          </cell>
          <cell r="B261" t="str">
            <v>FLUORESCENTE CIRCULAR 32 W</v>
          </cell>
          <cell r="C261" t="str">
            <v>unid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2</v>
          </cell>
          <cell r="I261">
            <v>2</v>
          </cell>
        </row>
        <row r="262">
          <cell r="A262">
            <v>1.0601030103060003</v>
          </cell>
          <cell r="B262" t="str">
            <v>INTERRUPTOR UNIPOLAR</v>
          </cell>
          <cell r="C262" t="str">
            <v>unid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1</v>
          </cell>
        </row>
        <row r="263">
          <cell r="A263">
            <v>1.0601030103999998</v>
          </cell>
          <cell r="B263" t="str">
            <v>SISTEMA CONTROLADOR DE NIVEL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</row>
        <row r="264">
          <cell r="A264">
            <v>1.0601030104009999</v>
          </cell>
          <cell r="B264" t="str">
            <v>SALIDA DE CONTROLADOR DE NIVEL</v>
          </cell>
          <cell r="C264" t="str">
            <v>pto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1</v>
          </cell>
        </row>
        <row r="265">
          <cell r="A265">
            <v>1.0601030104019999</v>
          </cell>
          <cell r="B265" t="str">
            <v>TUBERIA ELECTRICA PVC  - Ø20 mm</v>
          </cell>
          <cell r="C265" t="str">
            <v>m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10.6</v>
          </cell>
          <cell r="I265">
            <v>10.6</v>
          </cell>
        </row>
        <row r="266">
          <cell r="A266">
            <v>1.060103010403</v>
          </cell>
          <cell r="B266" t="str">
            <v>ALAMBRE 2.5 mm2 THW</v>
          </cell>
          <cell r="C266" t="str">
            <v>m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32</v>
          </cell>
          <cell r="I266">
            <v>32</v>
          </cell>
        </row>
        <row r="267">
          <cell r="A267">
            <v>1.0601030104040001</v>
          </cell>
          <cell r="B267" t="str">
            <v>CONTROLADOR DE NIVEL DE AGUA</v>
          </cell>
          <cell r="C267" t="str">
            <v>glb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1</v>
          </cell>
          <cell r="I267">
            <v>1</v>
          </cell>
        </row>
        <row r="268">
          <cell r="A268">
            <v>1.0601030104999998</v>
          </cell>
          <cell r="B268" t="str">
            <v xml:space="preserve"> SISTEMA DE BOMBAS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</row>
        <row r="269">
          <cell r="A269">
            <v>1.0601030105009999</v>
          </cell>
          <cell r="B269" t="str">
            <v>SALIDA DE FUERZA PARA BOMBA</v>
          </cell>
          <cell r="C269" t="str">
            <v>pto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2</v>
          </cell>
          <cell r="I269">
            <v>2</v>
          </cell>
        </row>
        <row r="270">
          <cell r="A270">
            <v>1.060103010502</v>
          </cell>
          <cell r="B270" t="str">
            <v>TUBERIA ELECTRICA PVC-P  - Ø100 mm</v>
          </cell>
          <cell r="C270" t="str">
            <v>m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7.9</v>
          </cell>
          <cell r="I270">
            <v>7.9</v>
          </cell>
        </row>
        <row r="271">
          <cell r="A271">
            <v>1.060103010503</v>
          </cell>
          <cell r="B271" t="str">
            <v>ALAMBRE 2.5 mm2 THW</v>
          </cell>
          <cell r="C271" t="str">
            <v>m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31.6</v>
          </cell>
          <cell r="I271">
            <v>31.6</v>
          </cell>
        </row>
        <row r="272">
          <cell r="A272">
            <v>1.0601030105040001</v>
          </cell>
          <cell r="B272" t="str">
            <v>ALAMBRE  4 mm2 THW</v>
          </cell>
          <cell r="C272" t="str">
            <v>m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10</v>
          </cell>
          <cell r="I272">
            <v>10</v>
          </cell>
        </row>
        <row r="273">
          <cell r="A273">
            <v>1.0601030105050002</v>
          </cell>
          <cell r="B273" t="str">
            <v>CAJA DE PASO DE PVC PESADA</v>
          </cell>
          <cell r="C273" t="str">
            <v>unid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3</v>
          </cell>
          <cell r="I273">
            <v>3</v>
          </cell>
        </row>
        <row r="274">
          <cell r="A274">
            <v>1.0601030105060003</v>
          </cell>
          <cell r="B274" t="str">
            <v xml:space="preserve">GENERADOR ELECTRICO TRIFASICO </v>
          </cell>
          <cell r="C274" t="str">
            <v>unid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1</v>
          </cell>
        </row>
        <row r="275">
          <cell r="A275">
            <v>1.0601030105070004</v>
          </cell>
          <cell r="B275" t="str">
            <v>TABLERO DE TRANSFERENCIA AUTOMATICA</v>
          </cell>
          <cell r="C275" t="str">
            <v>unid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1</v>
          </cell>
        </row>
        <row r="276">
          <cell r="A276">
            <v>1.0601030105999998</v>
          </cell>
          <cell r="B276" t="str">
            <v>INSTALACION DE SISTEMA DE PUESTA  A TIERRA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A277">
            <v>1.0601030106009999</v>
          </cell>
          <cell r="B277" t="str">
            <v>POZO CONEXIÓN A TIERRA R&lt; 15 Ohmios</v>
          </cell>
          <cell r="C277" t="str">
            <v>glb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1</v>
          </cell>
        </row>
        <row r="278">
          <cell r="A278">
            <v>0</v>
          </cell>
          <cell r="B278" t="str">
            <v>Insumos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</row>
        <row r="279">
          <cell r="A279">
            <v>0</v>
          </cell>
          <cell r="B279" t="str">
            <v>Tierra cernida, saturada, compactada</v>
          </cell>
          <cell r="C279" t="str">
            <v>m3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0.5</v>
          </cell>
          <cell r="I279">
            <v>0</v>
          </cell>
        </row>
        <row r="280">
          <cell r="A280">
            <v>0</v>
          </cell>
          <cell r="B280" t="str">
            <v xml:space="preserve">Cable cobre desnudo  duro de  10 mm2      </v>
          </cell>
          <cell r="C280" t="str">
            <v>m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7.6</v>
          </cell>
          <cell r="I280">
            <v>0</v>
          </cell>
        </row>
        <row r="281">
          <cell r="A281">
            <v>0</v>
          </cell>
          <cell r="B281" t="str">
            <v xml:space="preserve">Cable eléctrico TW   de  4 mm2    </v>
          </cell>
          <cell r="C281" t="str">
            <v>m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5</v>
          </cell>
          <cell r="I281">
            <v>0</v>
          </cell>
        </row>
        <row r="282">
          <cell r="A282">
            <v>0</v>
          </cell>
          <cell r="B282" t="str">
            <v>Varilla de cobre 3/4" x 2.40m + conector</v>
          </cell>
          <cell r="C282" t="str">
            <v>unid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</v>
          </cell>
        </row>
        <row r="283">
          <cell r="A283">
            <v>0</v>
          </cell>
          <cell r="B283" t="str">
            <v>Samick - gell</v>
          </cell>
          <cell r="C283" t="str">
            <v>kg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6.8</v>
          </cell>
          <cell r="I283">
            <v>0</v>
          </cell>
        </row>
        <row r="284">
          <cell r="A284">
            <v>0</v>
          </cell>
          <cell r="B284" t="str">
            <v>Marco y tapa fo. fdo. para caja de pozo a tierra</v>
          </cell>
          <cell r="C284" t="str">
            <v>unid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</row>
        <row r="285">
          <cell r="A285">
            <v>0</v>
          </cell>
          <cell r="B285" t="str">
            <v>Conexiones a caja  PVC SEL DN  25</v>
          </cell>
          <cell r="C285" t="str">
            <v>unid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2</v>
          </cell>
          <cell r="I285">
            <v>0</v>
          </cell>
        </row>
        <row r="286">
          <cell r="A286">
            <v>0</v>
          </cell>
          <cell r="B286" t="str">
            <v>Curva PVC SAP de 90° DN  25</v>
          </cell>
          <cell r="C286" t="str">
            <v>unid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</v>
          </cell>
        </row>
        <row r="287">
          <cell r="A287">
            <v>0</v>
          </cell>
          <cell r="B287" t="str">
            <v xml:space="preserve">Tuberia electrica PVC  DN  25 mm </v>
          </cell>
          <cell r="C287" t="str">
            <v>m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4</v>
          </cell>
          <cell r="I287">
            <v>0</v>
          </cell>
        </row>
        <row r="288">
          <cell r="A288">
            <v>1.0601030199999997</v>
          </cell>
          <cell r="B288" t="str">
            <v>EQUIPAMIENTO HIDRAULICO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</row>
        <row r="289">
          <cell r="A289">
            <v>1.0601030200999997</v>
          </cell>
          <cell r="B289" t="str">
            <v>SISTEMA DE BOMBEO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</row>
        <row r="290">
          <cell r="A290">
            <v>1.0601030201009998</v>
          </cell>
          <cell r="B290" t="str">
            <v>BOMBA CENTRIFUGA 8.6 HP</v>
          </cell>
          <cell r="C290" t="str">
            <v>unid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2</v>
          </cell>
          <cell r="I290">
            <v>2</v>
          </cell>
        </row>
        <row r="291">
          <cell r="A291">
            <v>1.0601030201019999</v>
          </cell>
          <cell r="B291" t="str">
            <v>ACCESORIOS DE INSTALACION</v>
          </cell>
          <cell r="C291" t="str">
            <v>glb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1</v>
          </cell>
          <cell r="I291">
            <v>1</v>
          </cell>
        </row>
        <row r="292">
          <cell r="A292">
            <v>0</v>
          </cell>
          <cell r="B292" t="str">
            <v>Insumos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</row>
        <row r="293">
          <cell r="A293">
            <v>0</v>
          </cell>
          <cell r="B293" t="str">
            <v>Valvula de paso F°G°  2"</v>
          </cell>
          <cell r="C293" t="str">
            <v>unid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2</v>
          </cell>
          <cell r="I293">
            <v>2</v>
          </cell>
        </row>
        <row r="294">
          <cell r="A294">
            <v>0</v>
          </cell>
          <cell r="B294" t="str">
            <v>Valvual check F°G° 2"</v>
          </cell>
          <cell r="C294" t="str">
            <v>unid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2</v>
          </cell>
          <cell r="I294">
            <v>2</v>
          </cell>
        </row>
        <row r="295">
          <cell r="A295">
            <v>0</v>
          </cell>
          <cell r="B295" t="str">
            <v>Union universal F°G° 2"</v>
          </cell>
          <cell r="C295" t="str">
            <v>unid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9</v>
          </cell>
          <cell r="I295">
            <v>9</v>
          </cell>
        </row>
        <row r="296">
          <cell r="A296">
            <v>0</v>
          </cell>
          <cell r="B296" t="str">
            <v>Tapon de cebado F°G° 2"</v>
          </cell>
          <cell r="C296" t="str">
            <v>unid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2</v>
          </cell>
          <cell r="I296">
            <v>2</v>
          </cell>
        </row>
        <row r="297">
          <cell r="A297">
            <v>0</v>
          </cell>
          <cell r="B297" t="str">
            <v>Codo de F°G° 90° 2"</v>
          </cell>
          <cell r="C297" t="str">
            <v>unid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11</v>
          </cell>
          <cell r="I297">
            <v>11</v>
          </cell>
        </row>
        <row r="298">
          <cell r="A298">
            <v>0</v>
          </cell>
          <cell r="B298" t="str">
            <v>Brida rompe agua F°G° 2"</v>
          </cell>
          <cell r="C298" t="str">
            <v>unid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3</v>
          </cell>
          <cell r="I298">
            <v>3</v>
          </cell>
        </row>
        <row r="299">
          <cell r="A299">
            <v>0</v>
          </cell>
          <cell r="B299" t="str">
            <v>Valvula de pie + canastilla de succion 2"</v>
          </cell>
          <cell r="C299" t="str">
            <v>unid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2</v>
          </cell>
          <cell r="I299">
            <v>2</v>
          </cell>
        </row>
        <row r="300">
          <cell r="A300">
            <v>0</v>
          </cell>
          <cell r="B300" t="str">
            <v>Tee F°G° 2"</v>
          </cell>
          <cell r="C300" t="str">
            <v>unid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1</v>
          </cell>
          <cell r="I300">
            <v>1</v>
          </cell>
        </row>
        <row r="301">
          <cell r="A301">
            <v>0</v>
          </cell>
          <cell r="B301" t="str">
            <v>Codo F°G° 45° 2"</v>
          </cell>
          <cell r="C301" t="str">
            <v>unid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2</v>
          </cell>
          <cell r="I301">
            <v>2</v>
          </cell>
        </row>
        <row r="302">
          <cell r="A302">
            <v>0</v>
          </cell>
          <cell r="B302" t="str">
            <v>Acople de amplio rango F°G° 2"</v>
          </cell>
          <cell r="C302" t="str">
            <v>unid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1</v>
          </cell>
          <cell r="I302">
            <v>1</v>
          </cell>
        </row>
        <row r="303">
          <cell r="A303">
            <v>0</v>
          </cell>
          <cell r="B303" t="str">
            <v>Valvula flotadora 2"</v>
          </cell>
          <cell r="C303" t="str">
            <v>unid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1</v>
          </cell>
          <cell r="I303">
            <v>1</v>
          </cell>
        </row>
        <row r="304">
          <cell r="A304">
            <v>0</v>
          </cell>
          <cell r="B304" t="str">
            <v>Tuberia F°G° 2"</v>
          </cell>
          <cell r="C304" t="str">
            <v>m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15</v>
          </cell>
          <cell r="I304">
            <v>15</v>
          </cell>
        </row>
        <row r="305">
          <cell r="A305">
            <v>1.0601030201029999</v>
          </cell>
          <cell r="B305" t="str">
            <v>MANOMETRO DE PRESION</v>
          </cell>
          <cell r="C305" t="str">
            <v>glb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1</v>
          </cell>
        </row>
        <row r="306">
          <cell r="A306">
            <v>0</v>
          </cell>
          <cell r="B306" t="str">
            <v>Insumos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</row>
        <row r="307">
          <cell r="A307">
            <v>0</v>
          </cell>
          <cell r="B307" t="str">
            <v>Brida de acero inoxidable AISI-304 roscado DN 21</v>
          </cell>
          <cell r="C307" t="str">
            <v>unid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6</v>
          </cell>
          <cell r="I307">
            <v>6</v>
          </cell>
        </row>
        <row r="308">
          <cell r="A308">
            <v>0</v>
          </cell>
          <cell r="B308" t="str">
            <v>Manometro de aguja</v>
          </cell>
          <cell r="C308" t="str">
            <v>unid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1</v>
          </cell>
        </row>
        <row r="309">
          <cell r="A309">
            <v>0</v>
          </cell>
          <cell r="B309" t="str">
            <v>Valvula de bola de acero inoxidable AISI -304 DN 21</v>
          </cell>
          <cell r="C309" t="str">
            <v>unid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3</v>
          </cell>
          <cell r="I309">
            <v>3</v>
          </cell>
        </row>
        <row r="310">
          <cell r="A310">
            <v>0</v>
          </cell>
          <cell r="B310" t="str">
            <v>Tee de acero inoxidable AISI -304 DN 21</v>
          </cell>
          <cell r="C310" t="str">
            <v>unid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1</v>
          </cell>
        </row>
        <row r="311">
          <cell r="A311">
            <v>0</v>
          </cell>
          <cell r="B311" t="str">
            <v>Codo 90° de acero inoxidable AISI -304  DN 21</v>
          </cell>
          <cell r="C311" t="str">
            <v>unid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2</v>
          </cell>
          <cell r="I311">
            <v>2</v>
          </cell>
        </row>
        <row r="312">
          <cell r="A312">
            <v>0</v>
          </cell>
          <cell r="B312" t="str">
            <v>Cople soldable roscado de acero inoxidable AISI-304</v>
          </cell>
          <cell r="C312" t="str">
            <v>unid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1</v>
          </cell>
        </row>
        <row r="313">
          <cell r="A313">
            <v>0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blacion"/>
      <sheetName val="C. Mantto.ok"/>
      <sheetName val="Pres&amp;C.Increm."/>
      <sheetName val="Plan de Manejo Ambiental"/>
      <sheetName val="Resum.Presto"/>
      <sheetName val="Cronograma"/>
      <sheetName val="VAC"/>
      <sheetName val="Evaluación"/>
      <sheetName val="Marco Lógico Alternativa02"/>
      <sheetName val="leopold 2"/>
      <sheetName val="leopold 1"/>
      <sheetName val="leopold 3"/>
    </sheetNames>
    <sheetDataSet>
      <sheetData sheetId="0"/>
      <sheetData sheetId="1"/>
      <sheetData sheetId="2">
        <row r="6">
          <cell r="K6">
            <v>1705897.3989690503</v>
          </cell>
          <cell r="N6">
            <v>1329864.7080442498</v>
          </cell>
        </row>
        <row r="56">
          <cell r="P56">
            <v>1679137.3989690503</v>
          </cell>
          <cell r="Q56">
            <v>1303104.7080442498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greso de Información"/>
      <sheetName val="Demanda Agua"/>
      <sheetName val="Demanda Alcantarillado"/>
      <sheetName val="NºLagunas"/>
      <sheetName val="AreaLaguna"/>
      <sheetName val="Tanq.Imhoff"/>
      <sheetName val="DeficitOxig."/>
      <sheetName val="Emisores"/>
      <sheetName val="PMedidores"/>
      <sheetName val="Almacena"/>
      <sheetName val="Demanda Activa Agua"/>
      <sheetName val="Tratamiento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- Redes"/>
      <sheetName val="Combinacion tuberias"/>
      <sheetName val="C-1A"/>
      <sheetName val="C-2A"/>
      <sheetName val="C-2B"/>
      <sheetName val="Cap-Gal"/>
      <sheetName val="Capt-Quebrada"/>
      <sheetName val="Bz-Reunion"/>
      <sheetName val="CRP6"/>
      <sheetName val="CRP7"/>
      <sheetName val="PASES AEREOS"/>
      <sheetName val="DISEÑO RESERV"/>
      <sheetName val="Reser_Caset"/>
      <sheetName val="Válv  Purga"/>
      <sheetName val="Válv Control"/>
      <sheetName val="Válv Aire"/>
      <sheetName val="pileta"/>
      <sheetName val="Tapas metalic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C6">
            <v>3.35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1"/>
      <sheetName val="2.2"/>
      <sheetName val="2.3"/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Consul"/>
      <sheetName val="3.23"/>
      <sheetName val="El Imperial"/>
      <sheetName val="Poblac"/>
      <sheetName val="Inf.General"/>
      <sheetName val="Balanc.O-D"/>
      <sheetName val="Demanda"/>
      <sheetName val="ppto aguaimperial"/>
      <sheetName val="UBS AH Biodigestor- VA"/>
      <sheetName val="Plan implementacion"/>
      <sheetName val="Inversión"/>
      <sheetName val="Costos O&amp;M"/>
      <sheetName val="Costos O&amp;M USB"/>
      <sheetName val="Costo_Increm"/>
      <sheetName val="Beneficio Social Agua"/>
      <sheetName val="Evaluacion Social Agua"/>
      <sheetName val="Sensibilidad Social"/>
      <sheetName val="Eval_UBS"/>
      <sheetName val="Tarifa"/>
      <sheetName val="Aportes"/>
      <sheetName val="CRONOGRAMA OK "/>
      <sheetName val="Presup Agua-NOVA (2)"/>
      <sheetName val="Presup Agua-NOVA"/>
      <sheetName val="UBS AH con tanque septico-NO VA"/>
      <sheetName val="UBS Hoyo seco-NO V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UMOS"/>
      <sheetName val="Resumen"/>
      <sheetName val="CAPTACION C-1"/>
      <sheetName val="CAPTACION DE FONDO"/>
      <sheetName val="GALERIA FILTRANTE"/>
      <sheetName val="LINEA CONDUC."/>
      <sheetName val="PASE AEREO L=25,0m"/>
      <sheetName val="PASE AEREO L=5,0m"/>
      <sheetName val="CAMARA T-6"/>
      <sheetName val="DISTRI. CAUDAL"/>
      <sheetName val="RESERV. 2.50M3"/>
      <sheetName val="RESERV. 3.0M3"/>
      <sheetName val="RESERV. 5.0M3"/>
      <sheetName val="CASETA DE VALVULAS"/>
      <sheetName val="RED ADUC. DISTRI."/>
      <sheetName val="CAM. RONP. T-7"/>
      <sheetName val="VALV. CONTR."/>
      <sheetName val="VALV. AIRE"/>
      <sheetName val="VALV. PURGA TIPO I"/>
      <sheetName val="VALV. PURGA TIPO II"/>
      <sheetName val="LAVA. CONEX. DOMICI."/>
      <sheetName val="LETRINA"/>
      <sheetName val="VARIO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UMOS"/>
      <sheetName val="Resumen"/>
      <sheetName val="CAPTACION C-1"/>
      <sheetName val="CAPTACION DE FONDO"/>
      <sheetName val="GALERIA FILTRANTE"/>
      <sheetName val="LINEA CONDUC."/>
      <sheetName val="PASE AEREO L=25,0m"/>
      <sheetName val="PASE AEREO L=5,0m"/>
      <sheetName val="CAMARA T-6"/>
      <sheetName val="DISTRI. CAUDAL"/>
      <sheetName val="RESERV. 2.50M3"/>
      <sheetName val="RESERV. 3.0M3"/>
      <sheetName val="RESERV. 5.0M3"/>
      <sheetName val="CASETA DE VALVULAS"/>
      <sheetName val="RED ADUC. DISTRI."/>
      <sheetName val="CAM. RONP. T-7"/>
      <sheetName val="VALV. CONTR."/>
      <sheetName val="VALV. AIRE"/>
      <sheetName val="VALV. PURGA TIPO I"/>
      <sheetName val="VALV. PURGA TIPO II"/>
      <sheetName val="LAVA. CONEX. DOMICI."/>
      <sheetName val="LETRINA"/>
      <sheetName val="VARIO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1"/>
      <sheetName val="2.2"/>
      <sheetName val="2.3"/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Consul"/>
      <sheetName val="3.23"/>
      <sheetName val="El Imperial"/>
      <sheetName val="Poblac"/>
      <sheetName val="Inf.General"/>
      <sheetName val="Balanc.O-D"/>
      <sheetName val="Demanda"/>
      <sheetName val="ppto aguaimperial"/>
      <sheetName val="UBS AH Biodigestor- VA"/>
      <sheetName val="Plan implementacion"/>
      <sheetName val="Inversión"/>
      <sheetName val="Costos O&amp;M"/>
      <sheetName val="Costos O&amp;M USB"/>
      <sheetName val="Costo_Increm"/>
      <sheetName val="Beneficio Social Agua"/>
      <sheetName val="Evaluacion Social Agua"/>
      <sheetName val="Sensibilidad Social"/>
      <sheetName val="Eval_UBS"/>
      <sheetName val="Tarifa"/>
      <sheetName val="Aportes"/>
      <sheetName val="CRONOGRAMA OK "/>
      <sheetName val="Presup Agua-NOVA (2)"/>
      <sheetName val="Presup Agua-NOVA"/>
      <sheetName val="UBS AH con tanque septico-NO VA"/>
      <sheetName val="UBS Hoyo seco-NO V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ervorios"/>
      <sheetName val="C-2A"/>
      <sheetName val="C-1A"/>
      <sheetName val="C-2B"/>
      <sheetName val="Cap-gal"/>
      <sheetName val="Cap-quebrada"/>
      <sheetName val="BZ-reunion"/>
      <sheetName val="CRP6"/>
      <sheetName val="CRP7"/>
      <sheetName val="VP-01"/>
      <sheetName val="VP-02"/>
      <sheetName val="VC-01"/>
      <sheetName val="VA-01"/>
      <sheetName val="pileta"/>
    </sheetNames>
    <sheetDataSet>
      <sheetData sheetId="0">
        <row r="151">
          <cell r="D151">
            <v>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tación Dique"/>
      <sheetName val="Metrado de Acero"/>
      <sheetName val="Resumen"/>
    </sheetNames>
    <sheetDataSet>
      <sheetData sheetId="0" refreshError="1">
        <row r="7">
          <cell r="B7">
            <v>0</v>
          </cell>
          <cell r="C7"/>
          <cell r="D7"/>
          <cell r="E7"/>
          <cell r="F7"/>
          <cell r="G7"/>
          <cell r="H7"/>
          <cell r="I7"/>
          <cell r="J7"/>
        </row>
        <row r="140">
          <cell r="B140" t="str">
            <v>01.03.04.03</v>
          </cell>
          <cell r="C140" t="str">
            <v>ACERO f'y=4200 kg/cm2</v>
          </cell>
        </row>
        <row r="141">
          <cell r="B141"/>
          <cell r="C141" t="str">
            <v>Ver Planilla de Metrados de Acero</v>
          </cell>
        </row>
        <row r="143">
          <cell r="C143" t="str">
            <v xml:space="preserve">REVOQUES Y ENLUCIDOS </v>
          </cell>
        </row>
      </sheetData>
      <sheetData sheetId="1" refreshError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2">
          <cell r="AA22">
            <v>50682.177900000002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32" displayName="Tabla32" ref="A5:I11" totalsRowShown="0" headerRowDxfId="15" dataDxfId="13" headerRowBorderDxfId="14" tableBorderDxfId="12" headerRowCellStyle="Normal_Hoja1 2" dataCellStyle="Normal_Hoja1 2">
  <tableColumns count="9">
    <tableColumn id="1" xr3:uid="{00000000-0010-0000-0000-000001000000}" name="PARTIDA" dataDxfId="11" dataCellStyle="Normal 2 3"/>
    <tableColumn id="2" xr3:uid="{00000000-0010-0000-0000-000002000000}" name="DESCRIPCION" dataDxfId="10" dataCellStyle="Normal_Hoja1 2"/>
    <tableColumn id="3" xr3:uid="{00000000-0010-0000-0000-000003000000}" name="UNID." dataDxfId="9" dataCellStyle="Normal_Hoja1 2"/>
    <tableColumn id="4" xr3:uid="{00000000-0010-0000-0000-000004000000}" name="VECES" dataDxfId="8" dataCellStyle="Normal_Hoja1 2"/>
    <tableColumn id="5" xr3:uid="{00000000-0010-0000-0000-000005000000}" name="LONG." dataDxfId="7" dataCellStyle="Normal_Hoja1 2"/>
    <tableColumn id="6" xr3:uid="{00000000-0010-0000-0000-000006000000}" name="ANCHO" dataDxfId="6" dataCellStyle="Normal_Hoja1 2"/>
    <tableColumn id="7" xr3:uid="{00000000-0010-0000-0000-000007000000}" name="ALTURA" dataDxfId="5" dataCellStyle="Normal_Hoja1 2"/>
    <tableColumn id="8" xr3:uid="{00000000-0010-0000-0000-000008000000}" name="SUB-TOTAL" dataDxfId="4" dataCellStyle="Normal_Hoja1 2"/>
    <tableColumn id="9" xr3:uid="{00000000-0010-0000-0000-000009000000}" name="TOTAL" dataDxfId="3" dataCellStyle="Normal_Hoja1 2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0000"/>
  </sheetPr>
  <dimension ref="A1:T11"/>
  <sheetViews>
    <sheetView showGridLines="0" view="pageBreakPreview" zoomScale="85" zoomScaleNormal="85" zoomScaleSheetLayoutView="85" zoomScalePageLayoutView="55" workbookViewId="0">
      <selection activeCell="J18" sqref="J18"/>
    </sheetView>
  </sheetViews>
  <sheetFormatPr baseColWidth="10" defaultColWidth="12" defaultRowHeight="15" customHeight="1"/>
  <cols>
    <col min="1" max="1" width="17.83203125" style="18" customWidth="1"/>
    <col min="2" max="2" width="96.6640625" style="18" customWidth="1"/>
    <col min="3" max="3" width="8.1640625" style="24" customWidth="1"/>
    <col min="4" max="4" width="12" style="25" customWidth="1"/>
    <col min="5" max="6" width="9.83203125" style="18" customWidth="1"/>
    <col min="7" max="7" width="10.5" style="18" customWidth="1"/>
    <col min="8" max="8" width="13.5" style="18" customWidth="1"/>
    <col min="9" max="9" width="9.83203125" style="18" customWidth="1"/>
    <col min="10" max="10" width="9.1640625" style="18" bestFit="1" customWidth="1"/>
    <col min="11" max="11" width="12.5" style="18" bestFit="1" customWidth="1"/>
    <col min="12" max="13" width="6.5" style="18" customWidth="1"/>
    <col min="14" max="14" width="22.1640625" style="18" bestFit="1" customWidth="1"/>
    <col min="15" max="17" width="13" style="18" customWidth="1"/>
    <col min="18" max="20" width="6.5" style="18" customWidth="1"/>
    <col min="21" max="23" width="11.33203125" style="18" customWidth="1"/>
    <col min="24" max="16384" width="12" style="18"/>
  </cols>
  <sheetData>
    <row r="1" spans="1:20" ht="15" customHeight="1">
      <c r="A1" s="946" t="s">
        <v>45</v>
      </c>
      <c r="B1" s="947"/>
      <c r="C1" s="947"/>
      <c r="D1" s="947"/>
      <c r="E1" s="947"/>
      <c r="F1" s="947"/>
      <c r="G1" s="947"/>
      <c r="H1" s="947"/>
      <c r="I1" s="948"/>
    </row>
    <row r="2" spans="1:20" ht="36.75" customHeight="1">
      <c r="A2" s="952" t="s">
        <v>1086</v>
      </c>
      <c r="B2" s="953"/>
      <c r="C2" s="953"/>
      <c r="D2" s="953"/>
      <c r="E2" s="953"/>
      <c r="F2" s="953"/>
      <c r="G2" s="953"/>
      <c r="H2" s="953"/>
      <c r="I2" s="41"/>
    </row>
    <row r="3" spans="1:20" ht="19.5" customHeight="1" thickBot="1">
      <c r="A3" s="949" t="s">
        <v>42</v>
      </c>
      <c r="B3" s="950"/>
      <c r="C3" s="950"/>
      <c r="D3" s="950"/>
      <c r="E3" s="950"/>
      <c r="F3" s="950"/>
      <c r="G3" s="950"/>
      <c r="H3" s="950"/>
      <c r="I3" s="951"/>
      <c r="Q3" s="19"/>
      <c r="R3" s="19"/>
      <c r="S3" s="19"/>
      <c r="T3" s="19"/>
    </row>
    <row r="4" spans="1:20" ht="15" customHeight="1">
      <c r="A4" s="42"/>
      <c r="B4" s="43"/>
      <c r="C4" s="44"/>
      <c r="D4" s="45"/>
      <c r="E4" s="43"/>
      <c r="F4" s="43"/>
      <c r="G4" s="43"/>
      <c r="H4" s="43"/>
      <c r="I4" s="46"/>
    </row>
    <row r="5" spans="1:20" ht="15" customHeight="1" thickBot="1">
      <c r="A5" s="40" t="s">
        <v>1</v>
      </c>
      <c r="B5" s="37" t="s">
        <v>2</v>
      </c>
      <c r="C5" s="38" t="s">
        <v>9</v>
      </c>
      <c r="D5" s="38" t="s">
        <v>3</v>
      </c>
      <c r="E5" s="38" t="s">
        <v>4</v>
      </c>
      <c r="F5" s="38" t="s">
        <v>5</v>
      </c>
      <c r="G5" s="38" t="s">
        <v>6</v>
      </c>
      <c r="H5" s="38" t="s">
        <v>7</v>
      </c>
      <c r="I5" s="38" t="s">
        <v>8</v>
      </c>
    </row>
    <row r="6" spans="1:20" ht="15" customHeight="1" thickTop="1">
      <c r="A6" s="47">
        <v>1.01</v>
      </c>
      <c r="B6" s="35" t="s">
        <v>42</v>
      </c>
      <c r="C6" s="20"/>
      <c r="D6" s="21"/>
      <c r="E6" s="22"/>
      <c r="F6" s="22"/>
      <c r="G6" s="22"/>
      <c r="H6" s="22"/>
      <c r="I6" s="23"/>
    </row>
    <row r="7" spans="1:20" ht="16.5" customHeight="1">
      <c r="A7" s="48" t="str">
        <f>A6 &amp; ".01"</f>
        <v>1.01.01</v>
      </c>
      <c r="B7" s="30" t="s">
        <v>46</v>
      </c>
      <c r="C7" s="20" t="s">
        <v>43</v>
      </c>
      <c r="D7" s="21"/>
      <c r="E7" s="22"/>
      <c r="F7" s="22"/>
      <c r="G7" s="22"/>
      <c r="H7" s="22">
        <v>1</v>
      </c>
      <c r="I7" s="23">
        <f>+H7</f>
        <v>1</v>
      </c>
    </row>
    <row r="8" spans="1:20" ht="16.5" customHeight="1">
      <c r="A8" s="49"/>
      <c r="B8" s="36"/>
      <c r="C8" s="31"/>
      <c r="D8" s="32"/>
      <c r="E8" s="33"/>
      <c r="F8" s="33"/>
      <c r="G8" s="33"/>
      <c r="H8" s="33"/>
      <c r="I8" s="34"/>
    </row>
    <row r="9" spans="1:20" ht="15" customHeight="1">
      <c r="A9" s="48" t="str">
        <f>A6 &amp; ".02"</f>
        <v>1.01.02</v>
      </c>
      <c r="B9" s="30" t="s">
        <v>44</v>
      </c>
      <c r="C9" s="20" t="s">
        <v>41</v>
      </c>
      <c r="D9" s="21"/>
      <c r="E9" s="22"/>
      <c r="F9" s="22"/>
      <c r="G9" s="22"/>
      <c r="H9" s="22">
        <v>1</v>
      </c>
      <c r="I9" s="23">
        <f>+H9</f>
        <v>1</v>
      </c>
    </row>
    <row r="10" spans="1:20" ht="15" customHeight="1">
      <c r="A10" s="49"/>
      <c r="B10" s="39"/>
      <c r="C10" s="31"/>
      <c r="D10" s="33"/>
      <c r="E10" s="33"/>
      <c r="F10" s="33"/>
      <c r="G10" s="33"/>
      <c r="H10" s="33"/>
      <c r="I10" s="34"/>
    </row>
    <row r="11" spans="1:20" ht="15" customHeight="1">
      <c r="A11" s="49"/>
      <c r="B11" s="36"/>
      <c r="C11" s="31"/>
      <c r="D11" s="32"/>
      <c r="E11" s="33"/>
      <c r="F11" s="33"/>
      <c r="G11" s="33"/>
      <c r="H11" s="33"/>
      <c r="I11" s="34"/>
    </row>
  </sheetData>
  <mergeCells count="3">
    <mergeCell ref="A1:I1"/>
    <mergeCell ref="A3:I3"/>
    <mergeCell ref="A2:H2"/>
  </mergeCells>
  <pageMargins left="0.53125" right="0.31496062992125984" top="0.74803149606299213" bottom="0.74803149606299213" header="0.31496062992125984" footer="0.31496062992125984"/>
  <pageSetup paperSize="9" scale="63" fitToWidth="0" fitToHeight="0" orientation="portrait" verticalDpi="300" r:id="rId1"/>
  <headerFooter>
    <oddFooter>Página &amp;P&amp;R&amp;A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6497-9783-42DD-9F9C-9953225A818A}">
  <sheetPr codeName="Hoja2">
    <tabColor rgb="FF00B0F0"/>
    <pageSetUpPr fitToPage="1"/>
  </sheetPr>
  <dimension ref="A1:J983"/>
  <sheetViews>
    <sheetView view="pageBreakPreview" zoomScale="75" zoomScaleNormal="100" zoomScaleSheetLayoutView="75" zoomScalePageLayoutView="55" workbookViewId="0">
      <selection activeCell="B4" sqref="B4"/>
    </sheetView>
  </sheetViews>
  <sheetFormatPr baseColWidth="10" defaultColWidth="18.5" defaultRowHeight="15" customHeight="1"/>
  <cols>
    <col min="1" max="1" width="18.5" style="838" customWidth="1"/>
    <col min="2" max="2" width="95.5" style="51" customWidth="1"/>
    <col min="3" max="3" width="7.1640625" style="51" customWidth="1"/>
    <col min="4" max="4" width="9" style="51" customWidth="1"/>
    <col min="5" max="5" width="11.33203125" style="51" customWidth="1"/>
    <col min="6" max="6" width="11.1640625" style="51" customWidth="1"/>
    <col min="7" max="7" width="11.5" style="51" customWidth="1"/>
    <col min="8" max="8" width="10.5" style="51" customWidth="1"/>
    <col min="9" max="9" width="12" style="51" customWidth="1"/>
    <col min="10" max="10" width="8.5" style="51" customWidth="1"/>
    <col min="11" max="16384" width="18.5" style="50"/>
  </cols>
  <sheetData>
    <row r="1" spans="1:10" ht="21" customHeight="1">
      <c r="A1" s="958" t="s">
        <v>258</v>
      </c>
      <c r="B1" s="958"/>
      <c r="C1" s="958"/>
      <c r="D1" s="958"/>
      <c r="E1" s="958"/>
      <c r="F1" s="958"/>
      <c r="G1" s="958"/>
      <c r="H1" s="958"/>
      <c r="I1" s="958"/>
      <c r="J1" s="121"/>
    </row>
    <row r="2" spans="1:10" ht="9.75" customHeight="1">
      <c r="A2" s="125"/>
      <c r="B2" s="130"/>
      <c r="C2" s="129"/>
      <c r="D2" s="129"/>
      <c r="E2" s="129"/>
      <c r="F2" s="128"/>
      <c r="G2" s="128"/>
      <c r="H2" s="128"/>
      <c r="I2" s="128"/>
      <c r="J2" s="52"/>
    </row>
    <row r="3" spans="1:10" ht="42" customHeight="1">
      <c r="A3" s="127" t="s">
        <v>257</v>
      </c>
      <c r="B3" s="959" t="s">
        <v>1086</v>
      </c>
      <c r="C3" s="960"/>
      <c r="D3" s="960"/>
      <c r="E3" s="960"/>
      <c r="F3" s="960"/>
      <c r="G3" s="960"/>
      <c r="H3" s="960"/>
      <c r="I3" s="960"/>
      <c r="J3" s="126"/>
    </row>
    <row r="4" spans="1:10" ht="5.25" customHeight="1">
      <c r="A4" s="125"/>
      <c r="B4" s="124"/>
      <c r="C4" s="123"/>
      <c r="D4" s="123"/>
      <c r="E4" s="123"/>
      <c r="F4" s="123"/>
      <c r="G4" s="123"/>
      <c r="H4" s="123"/>
      <c r="I4" s="123"/>
      <c r="J4" s="122"/>
    </row>
    <row r="5" spans="1:10" ht="15" customHeight="1" thickBot="1">
      <c r="A5" s="961" t="s">
        <v>256</v>
      </c>
      <c r="B5" s="961"/>
      <c r="C5" s="961"/>
      <c r="D5" s="961"/>
      <c r="E5" s="961"/>
      <c r="F5" s="961"/>
      <c r="G5" s="961"/>
      <c r="H5" s="961"/>
      <c r="I5" s="961"/>
      <c r="J5" s="112"/>
    </row>
    <row r="6" spans="1:10" ht="18" customHeight="1">
      <c r="A6" s="823"/>
      <c r="B6" s="120"/>
      <c r="C6" s="119"/>
      <c r="D6" s="119"/>
      <c r="E6" s="119"/>
      <c r="F6" s="119"/>
      <c r="G6" s="119"/>
      <c r="H6" s="119"/>
      <c r="I6" s="119"/>
      <c r="J6" s="112"/>
    </row>
    <row r="7" spans="1:10" ht="18" customHeight="1">
      <c r="A7" s="823"/>
      <c r="B7" s="962"/>
      <c r="C7" s="962"/>
      <c r="D7" s="962"/>
      <c r="E7" s="962"/>
      <c r="F7" s="962"/>
      <c r="G7" s="962"/>
      <c r="H7" s="962"/>
      <c r="I7" s="119"/>
      <c r="J7" s="112"/>
    </row>
    <row r="8" spans="1:10" ht="18" customHeight="1">
      <c r="A8" s="823"/>
      <c r="B8" s="962"/>
      <c r="C8" s="962"/>
      <c r="D8" s="962"/>
      <c r="E8" s="962"/>
      <c r="F8" s="962"/>
      <c r="G8" s="962"/>
      <c r="H8" s="962"/>
      <c r="I8" s="119"/>
      <c r="J8" s="112"/>
    </row>
    <row r="9" spans="1:10" ht="18" customHeight="1">
      <c r="A9" s="823"/>
      <c r="B9" s="962"/>
      <c r="C9" s="962"/>
      <c r="D9" s="962"/>
      <c r="E9" s="962"/>
      <c r="F9" s="962"/>
      <c r="G9" s="962"/>
      <c r="H9" s="962"/>
      <c r="I9" s="119"/>
      <c r="J9" s="112"/>
    </row>
    <row r="10" spans="1:10" ht="18" customHeight="1">
      <c r="A10" s="823"/>
      <c r="B10" s="962"/>
      <c r="C10" s="962"/>
      <c r="D10" s="962"/>
      <c r="E10" s="962"/>
      <c r="F10" s="962"/>
      <c r="G10" s="962"/>
      <c r="H10" s="962"/>
      <c r="I10" s="119"/>
      <c r="J10" s="112"/>
    </row>
    <row r="11" spans="1:10" ht="18" customHeight="1">
      <c r="A11" s="823"/>
      <c r="B11" s="962"/>
      <c r="C11" s="962"/>
      <c r="D11" s="962"/>
      <c r="E11" s="962"/>
      <c r="F11" s="962"/>
      <c r="G11" s="962"/>
      <c r="H11" s="962"/>
      <c r="I11" s="119"/>
      <c r="J11" s="112"/>
    </row>
    <row r="12" spans="1:10" ht="18" customHeight="1">
      <c r="A12" s="823"/>
      <c r="B12" s="962"/>
      <c r="C12" s="962"/>
      <c r="D12" s="962"/>
      <c r="E12" s="962"/>
      <c r="F12" s="962"/>
      <c r="G12" s="962"/>
      <c r="H12" s="962"/>
      <c r="I12" s="119"/>
      <c r="J12" s="112"/>
    </row>
    <row r="13" spans="1:10" ht="18" customHeight="1">
      <c r="A13" s="823"/>
      <c r="B13" s="962"/>
      <c r="C13" s="962"/>
      <c r="D13" s="962"/>
      <c r="E13" s="962"/>
      <c r="F13" s="962"/>
      <c r="G13" s="962"/>
      <c r="H13" s="962"/>
      <c r="I13" s="119"/>
      <c r="J13" s="112"/>
    </row>
    <row r="14" spans="1:10" ht="18" customHeight="1">
      <c r="A14" s="823"/>
      <c r="B14" s="962"/>
      <c r="C14" s="962"/>
      <c r="D14" s="962"/>
      <c r="E14" s="962"/>
      <c r="F14" s="962"/>
      <c r="G14" s="962"/>
      <c r="H14" s="962"/>
      <c r="I14" s="119"/>
      <c r="J14" s="112"/>
    </row>
    <row r="15" spans="1:10" ht="18" customHeight="1">
      <c r="A15" s="823"/>
      <c r="B15" s="962"/>
      <c r="C15" s="962"/>
      <c r="D15" s="962"/>
      <c r="E15" s="962"/>
      <c r="F15" s="962"/>
      <c r="G15" s="962"/>
      <c r="H15" s="962"/>
      <c r="I15" s="119"/>
      <c r="J15" s="112"/>
    </row>
    <row r="16" spans="1:10" ht="18" customHeight="1">
      <c r="A16" s="823"/>
      <c r="B16" s="962"/>
      <c r="C16" s="962"/>
      <c r="D16" s="962"/>
      <c r="E16" s="962"/>
      <c r="F16" s="962"/>
      <c r="G16" s="962"/>
      <c r="H16" s="962"/>
      <c r="I16" s="119"/>
      <c r="J16" s="112"/>
    </row>
    <row r="17" spans="1:10" ht="18" customHeight="1">
      <c r="A17" s="823"/>
      <c r="B17" s="962"/>
      <c r="C17" s="962"/>
      <c r="D17" s="962"/>
      <c r="E17" s="962"/>
      <c r="F17" s="962"/>
      <c r="G17" s="962"/>
      <c r="H17" s="962"/>
      <c r="I17" s="119"/>
      <c r="J17" s="112"/>
    </row>
    <row r="18" spans="1:10" ht="18" customHeight="1">
      <c r="A18" s="823"/>
      <c r="B18" s="962"/>
      <c r="C18" s="962"/>
      <c r="D18" s="962"/>
      <c r="E18" s="962"/>
      <c r="F18" s="962"/>
      <c r="G18" s="962"/>
      <c r="H18" s="962"/>
      <c r="I18" s="119"/>
      <c r="J18" s="112"/>
    </row>
    <row r="19" spans="1:10" ht="18" customHeight="1">
      <c r="A19" s="823"/>
      <c r="B19" s="962"/>
      <c r="C19" s="962"/>
      <c r="D19" s="962"/>
      <c r="E19" s="962"/>
      <c r="F19" s="962"/>
      <c r="G19" s="962"/>
      <c r="H19" s="962"/>
      <c r="I19" s="119"/>
      <c r="J19" s="112"/>
    </row>
    <row r="20" spans="1:10" ht="18" customHeight="1">
      <c r="A20" s="823"/>
      <c r="B20" s="962"/>
      <c r="C20" s="962"/>
      <c r="D20" s="962"/>
      <c r="E20" s="962"/>
      <c r="F20" s="962"/>
      <c r="G20" s="962"/>
      <c r="H20" s="962"/>
      <c r="I20" s="119"/>
      <c r="J20" s="112"/>
    </row>
    <row r="21" spans="1:10" ht="18" customHeight="1">
      <c r="A21" s="823"/>
      <c r="B21" s="962"/>
      <c r="C21" s="962"/>
      <c r="D21" s="962"/>
      <c r="E21" s="962"/>
      <c r="F21" s="962"/>
      <c r="G21" s="962"/>
      <c r="H21" s="962"/>
      <c r="I21" s="119"/>
      <c r="J21" s="112"/>
    </row>
    <row r="22" spans="1:10" ht="18.75" customHeight="1" thickBot="1">
      <c r="A22" s="823"/>
      <c r="B22" s="120"/>
      <c r="C22" s="119"/>
      <c r="D22" s="119"/>
      <c r="E22" s="119"/>
      <c r="F22" s="119"/>
      <c r="G22" s="119"/>
      <c r="H22" s="119"/>
      <c r="I22" s="119"/>
      <c r="J22" s="112"/>
    </row>
    <row r="23" spans="1:10" ht="19.5" customHeight="1">
      <c r="A23" s="118" t="s">
        <v>1</v>
      </c>
      <c r="B23" s="117" t="s">
        <v>2</v>
      </c>
      <c r="C23" s="117" t="s">
        <v>255</v>
      </c>
      <c r="D23" s="117" t="s">
        <v>254</v>
      </c>
      <c r="E23" s="117" t="s">
        <v>253</v>
      </c>
      <c r="F23" s="117" t="s">
        <v>5</v>
      </c>
      <c r="G23" s="117" t="s">
        <v>6</v>
      </c>
      <c r="H23" s="116" t="s">
        <v>7</v>
      </c>
      <c r="I23" s="115" t="s">
        <v>8</v>
      </c>
      <c r="J23" s="112"/>
    </row>
    <row r="24" spans="1:10" ht="15.75" customHeight="1">
      <c r="A24" s="824" t="s">
        <v>252</v>
      </c>
      <c r="B24" s="114" t="s">
        <v>251</v>
      </c>
      <c r="C24" s="113"/>
      <c r="D24" s="114"/>
      <c r="E24" s="113"/>
      <c r="F24" s="114"/>
      <c r="G24" s="113"/>
      <c r="H24" s="114"/>
      <c r="I24" s="113"/>
      <c r="J24" s="112"/>
    </row>
    <row r="25" spans="1:10" ht="12" customHeight="1">
      <c r="A25" s="694" t="str">
        <f>A$24 &amp; ".01"</f>
        <v>01.02.01</v>
      </c>
      <c r="B25" s="81" t="s">
        <v>250</v>
      </c>
      <c r="C25" s="59"/>
      <c r="D25" s="60"/>
      <c r="E25" s="59"/>
      <c r="F25" s="78"/>
      <c r="G25" s="69"/>
      <c r="H25" s="78"/>
      <c r="I25" s="69"/>
      <c r="J25" s="52"/>
    </row>
    <row r="26" spans="1:10" ht="12" customHeight="1">
      <c r="A26" s="825" t="str">
        <f>A$25 &amp; ".01"</f>
        <v>01.02.01.01</v>
      </c>
      <c r="B26" s="63" t="s">
        <v>107</v>
      </c>
      <c r="C26" s="59"/>
      <c r="D26" s="60"/>
      <c r="E26" s="59"/>
      <c r="F26" s="78"/>
      <c r="G26" s="69"/>
      <c r="H26" s="78"/>
      <c r="I26" s="69"/>
      <c r="J26" s="52"/>
    </row>
    <row r="27" spans="1:10" ht="15" customHeight="1">
      <c r="A27" s="826" t="str">
        <f>A$26 &amp; ".01"</f>
        <v>01.02.01.01.01</v>
      </c>
      <c r="B27" s="85" t="s">
        <v>249</v>
      </c>
      <c r="C27" s="89" t="s">
        <v>55</v>
      </c>
      <c r="D27" s="111"/>
      <c r="E27" s="110"/>
      <c r="F27" s="111"/>
      <c r="G27" s="110"/>
      <c r="H27" s="111"/>
      <c r="I27" s="57">
        <f>+H28</f>
        <v>37.036799999999999</v>
      </c>
      <c r="J27" s="68"/>
    </row>
    <row r="28" spans="1:10" ht="15" customHeight="1">
      <c r="A28" s="826"/>
      <c r="B28" s="78" t="s">
        <v>248</v>
      </c>
      <c r="C28" s="89"/>
      <c r="D28" s="84">
        <v>1</v>
      </c>
      <c r="E28" s="89">
        <v>5.76</v>
      </c>
      <c r="F28" s="84">
        <v>6.43</v>
      </c>
      <c r="G28" s="89"/>
      <c r="H28" s="84">
        <f>+F28*E28*D28</f>
        <v>37.036799999999999</v>
      </c>
      <c r="I28" s="110"/>
      <c r="J28" s="68"/>
    </row>
    <row r="29" spans="1:10" ht="15" customHeight="1">
      <c r="A29" s="826" t="str">
        <f>A$26 &amp; ".02"</f>
        <v>01.02.01.01.02</v>
      </c>
      <c r="B29" s="85" t="s">
        <v>104</v>
      </c>
      <c r="C29" s="89" t="s">
        <v>55</v>
      </c>
      <c r="D29" s="111"/>
      <c r="E29" s="110"/>
      <c r="F29" s="111"/>
      <c r="G29" s="110"/>
      <c r="H29" s="111"/>
      <c r="I29" s="57">
        <f>+H30</f>
        <v>37.036799999999999</v>
      </c>
      <c r="J29" s="68"/>
    </row>
    <row r="30" spans="1:10" ht="15" customHeight="1">
      <c r="A30" s="826"/>
      <c r="B30" s="78" t="s">
        <v>248</v>
      </c>
      <c r="C30" s="89"/>
      <c r="D30" s="84">
        <v>1</v>
      </c>
      <c r="E30" s="89">
        <f>+E28</f>
        <v>5.76</v>
      </c>
      <c r="F30" s="84">
        <f>F28</f>
        <v>6.43</v>
      </c>
      <c r="G30" s="89"/>
      <c r="H30" s="84">
        <f>+F30*E30*D30</f>
        <v>37.036799999999999</v>
      </c>
      <c r="I30" s="110"/>
      <c r="J30" s="68"/>
    </row>
    <row r="31" spans="1:10" ht="15" customHeight="1">
      <c r="A31" s="826" t="str">
        <f>A$26 &amp; ".03"</f>
        <v>01.02.01.01.03</v>
      </c>
      <c r="B31" s="85" t="s">
        <v>247</v>
      </c>
      <c r="C31" s="89" t="s">
        <v>55</v>
      </c>
      <c r="D31" s="111"/>
      <c r="E31" s="110"/>
      <c r="F31" s="111"/>
      <c r="G31" s="110"/>
      <c r="H31" s="111"/>
      <c r="I31" s="57">
        <f>SUM(H32:H34)</f>
        <v>6.3025000000000002</v>
      </c>
      <c r="J31" s="68"/>
    </row>
    <row r="32" spans="1:10" ht="15" customHeight="1">
      <c r="A32" s="826"/>
      <c r="B32" s="78" t="s">
        <v>242</v>
      </c>
      <c r="C32" s="89"/>
      <c r="D32" s="84">
        <v>1</v>
      </c>
      <c r="E32" s="89" t="s">
        <v>61</v>
      </c>
      <c r="F32" s="84">
        <v>3.9</v>
      </c>
      <c r="G32" s="89"/>
      <c r="H32" s="84">
        <f>PRODUCT(D32:G32)</f>
        <v>3.9</v>
      </c>
      <c r="I32" s="57"/>
      <c r="J32" s="68"/>
    </row>
    <row r="33" spans="1:10" ht="15" customHeight="1">
      <c r="A33" s="826"/>
      <c r="B33" s="78" t="s">
        <v>241</v>
      </c>
      <c r="C33" s="89"/>
      <c r="D33" s="84">
        <v>1</v>
      </c>
      <c r="E33" s="89">
        <v>1.3</v>
      </c>
      <c r="F33" s="84">
        <v>1.3</v>
      </c>
      <c r="G33" s="89"/>
      <c r="H33" s="84">
        <f>PRODUCT(D33:G33)</f>
        <v>1.6900000000000002</v>
      </c>
      <c r="I33" s="57"/>
      <c r="J33" s="68"/>
    </row>
    <row r="34" spans="1:10" ht="15" customHeight="1">
      <c r="A34" s="826"/>
      <c r="B34" s="78" t="s">
        <v>144</v>
      </c>
      <c r="C34" s="89"/>
      <c r="D34" s="84">
        <v>1</v>
      </c>
      <c r="E34" s="89">
        <v>0.95</v>
      </c>
      <c r="F34" s="84">
        <v>0.75</v>
      </c>
      <c r="G34" s="89"/>
      <c r="H34" s="84">
        <f>PRODUCT(D34:G34)</f>
        <v>0.71249999999999991</v>
      </c>
      <c r="I34" s="110"/>
      <c r="J34" s="68"/>
    </row>
    <row r="35" spans="1:10" ht="15" customHeight="1">
      <c r="A35" s="826"/>
      <c r="B35" s="78"/>
      <c r="C35" s="89"/>
      <c r="D35" s="84"/>
      <c r="E35" s="89"/>
      <c r="F35" s="84"/>
      <c r="G35" s="89"/>
      <c r="H35" s="84"/>
      <c r="I35" s="110"/>
      <c r="J35" s="68"/>
    </row>
    <row r="36" spans="1:10" ht="15" customHeight="1">
      <c r="A36" s="825" t="str">
        <f>A$25 &amp; ".02"</f>
        <v>01.02.01.02</v>
      </c>
      <c r="B36" s="63" t="s">
        <v>101</v>
      </c>
      <c r="C36" s="59" t="s">
        <v>108</v>
      </c>
      <c r="D36" s="60"/>
      <c r="E36" s="59"/>
      <c r="F36" s="78"/>
      <c r="G36" s="69"/>
      <c r="H36" s="78"/>
      <c r="I36" s="69"/>
      <c r="J36" s="68"/>
    </row>
    <row r="37" spans="1:10" ht="15" customHeight="1">
      <c r="A37" s="826" t="str">
        <f>A$36 &amp; ".01"</f>
        <v>01.02.01.02.01</v>
      </c>
      <c r="B37" s="85" t="s">
        <v>246</v>
      </c>
      <c r="C37" s="89" t="s">
        <v>93</v>
      </c>
      <c r="D37" s="109"/>
      <c r="E37" s="82"/>
      <c r="F37" s="108"/>
      <c r="G37" s="89"/>
      <c r="H37" s="84"/>
      <c r="I37" s="57">
        <f>SUM(H38)</f>
        <v>16.5</v>
      </c>
      <c r="J37" s="68"/>
    </row>
    <row r="38" spans="1:10" ht="15" customHeight="1">
      <c r="A38" s="827"/>
      <c r="B38" s="78" t="s">
        <v>245</v>
      </c>
      <c r="C38" s="89" t="s">
        <v>108</v>
      </c>
      <c r="D38" s="84">
        <v>1</v>
      </c>
      <c r="E38" s="956" t="s">
        <v>96</v>
      </c>
      <c r="F38" s="957"/>
      <c r="G38" s="89">
        <v>16.5</v>
      </c>
      <c r="H38" s="84">
        <f>+PRODUCT(D38:G38)</f>
        <v>16.5</v>
      </c>
      <c r="I38" s="57"/>
      <c r="J38" s="68"/>
    </row>
    <row r="39" spans="1:10" ht="12" customHeight="1">
      <c r="A39" s="827"/>
      <c r="B39" s="85" t="s">
        <v>244</v>
      </c>
      <c r="C39" s="89"/>
      <c r="D39" s="84"/>
      <c r="E39" s="91"/>
      <c r="F39" s="84"/>
      <c r="G39" s="89"/>
      <c r="H39" s="84"/>
      <c r="I39" s="57"/>
      <c r="J39" s="68"/>
    </row>
    <row r="40" spans="1:10" ht="12" customHeight="1">
      <c r="A40" s="827"/>
      <c r="B40" s="85"/>
      <c r="C40" s="89"/>
      <c r="D40" s="84"/>
      <c r="E40" s="91"/>
      <c r="F40" s="84"/>
      <c r="G40" s="89"/>
      <c r="H40" s="84"/>
      <c r="I40" s="57"/>
      <c r="J40" s="68"/>
    </row>
    <row r="41" spans="1:10" ht="12" customHeight="1">
      <c r="A41" s="826" t="str">
        <f>A$36 &amp; ".02"</f>
        <v>01.02.01.02.02</v>
      </c>
      <c r="B41" s="85" t="s">
        <v>243</v>
      </c>
      <c r="C41" s="89" t="s">
        <v>55</v>
      </c>
      <c r="D41" s="84"/>
      <c r="E41" s="91"/>
      <c r="F41" s="84"/>
      <c r="G41" s="89"/>
      <c r="H41" s="84"/>
      <c r="I41" s="57">
        <f>SUM(H42:H44)</f>
        <v>6.3025000000000002</v>
      </c>
      <c r="J41" s="68"/>
    </row>
    <row r="42" spans="1:10" ht="12" customHeight="1">
      <c r="A42" s="826"/>
      <c r="B42" s="78" t="s">
        <v>242</v>
      </c>
      <c r="C42" s="89"/>
      <c r="D42" s="84">
        <v>1</v>
      </c>
      <c r="E42" s="89" t="s">
        <v>61</v>
      </c>
      <c r="F42" s="84">
        <v>3.9</v>
      </c>
      <c r="G42" s="89"/>
      <c r="H42" s="84">
        <f>F42*D42</f>
        <v>3.9</v>
      </c>
      <c r="I42" s="57"/>
      <c r="J42" s="68"/>
    </row>
    <row r="43" spans="1:10" ht="12" customHeight="1">
      <c r="A43" s="826"/>
      <c r="B43" s="78" t="s">
        <v>241</v>
      </c>
      <c r="C43" s="89"/>
      <c r="D43" s="84">
        <v>1</v>
      </c>
      <c r="E43" s="89">
        <v>1.3</v>
      </c>
      <c r="F43" s="84">
        <v>1.3</v>
      </c>
      <c r="G43" s="89"/>
      <c r="H43" s="84">
        <f>+F43*E43*D43</f>
        <v>1.6900000000000002</v>
      </c>
      <c r="I43" s="57"/>
      <c r="J43" s="68"/>
    </row>
    <row r="44" spans="1:10" ht="12" customHeight="1">
      <c r="A44" s="826"/>
      <c r="B44" s="78" t="s">
        <v>144</v>
      </c>
      <c r="C44" s="89"/>
      <c r="D44" s="84">
        <v>1</v>
      </c>
      <c r="E44" s="89">
        <v>0.95</v>
      </c>
      <c r="F44" s="84">
        <v>0.75</v>
      </c>
      <c r="G44" s="89"/>
      <c r="H44" s="84">
        <f>+F44*E44*D44</f>
        <v>0.71249999999999991</v>
      </c>
      <c r="I44" s="57"/>
      <c r="J44" s="68"/>
    </row>
    <row r="45" spans="1:10" ht="12" customHeight="1">
      <c r="A45" s="827"/>
      <c r="B45" s="85"/>
      <c r="C45" s="89"/>
      <c r="D45" s="84"/>
      <c r="E45" s="91"/>
      <c r="F45" s="84"/>
      <c r="G45" s="89"/>
      <c r="H45" s="84"/>
      <c r="I45" s="57"/>
      <c r="J45" s="68"/>
    </row>
    <row r="46" spans="1:10" ht="15.75" customHeight="1">
      <c r="A46" s="826" t="str">
        <f>A$36 &amp; ".03"</f>
        <v>01.02.01.02.03</v>
      </c>
      <c r="B46" s="85" t="s">
        <v>240</v>
      </c>
      <c r="C46" s="89" t="s">
        <v>93</v>
      </c>
      <c r="D46" s="84"/>
      <c r="E46" s="91"/>
      <c r="F46" s="84"/>
      <c r="G46" s="89"/>
      <c r="H46" s="84"/>
      <c r="I46" s="57">
        <f>SUM(H47)</f>
        <v>4.5</v>
      </c>
      <c r="J46" s="68"/>
    </row>
    <row r="47" spans="1:10" ht="15.75" customHeight="1">
      <c r="A47" s="827"/>
      <c r="B47" s="78"/>
      <c r="C47" s="89" t="s">
        <v>108</v>
      </c>
      <c r="D47" s="84">
        <v>1</v>
      </c>
      <c r="E47" s="956" t="s">
        <v>96</v>
      </c>
      <c r="F47" s="957"/>
      <c r="G47" s="89">
        <v>4.5</v>
      </c>
      <c r="H47" s="84">
        <f>+PRODUCT(D47:G47)</f>
        <v>4.5</v>
      </c>
      <c r="I47" s="57"/>
      <c r="J47" s="68"/>
    </row>
    <row r="48" spans="1:10" ht="15" customHeight="1">
      <c r="A48" s="827"/>
      <c r="B48" s="85"/>
      <c r="C48" s="89"/>
      <c r="D48" s="84"/>
      <c r="E48" s="91"/>
      <c r="F48" s="84"/>
      <c r="G48" s="89"/>
      <c r="H48" s="84"/>
      <c r="I48" s="57"/>
      <c r="J48" s="68"/>
    </row>
    <row r="49" spans="1:10" ht="15" customHeight="1">
      <c r="A49" s="826" t="str">
        <f>A$36 &amp; ".04"</f>
        <v>01.02.01.02.04</v>
      </c>
      <c r="B49" s="85" t="s">
        <v>239</v>
      </c>
      <c r="C49" s="89" t="s">
        <v>93</v>
      </c>
      <c r="D49" s="84"/>
      <c r="E49" s="91"/>
      <c r="F49" s="84"/>
      <c r="G49" s="89"/>
      <c r="H49" s="84"/>
      <c r="I49" s="57">
        <f>+H50+H51</f>
        <v>14.625</v>
      </c>
      <c r="J49" s="68"/>
    </row>
    <row r="50" spans="1:10" ht="15" customHeight="1">
      <c r="A50" s="828"/>
      <c r="B50" s="107" t="s">
        <v>238</v>
      </c>
      <c r="C50" s="106"/>
      <c r="D50" s="105">
        <v>1</v>
      </c>
      <c r="E50" s="104">
        <v>1.2</v>
      </c>
      <c r="F50" s="103" t="s">
        <v>236</v>
      </c>
      <c r="G50" s="102">
        <f>I37</f>
        <v>16.5</v>
      </c>
      <c r="H50" s="78">
        <f>PRODUCT(D50:G50)</f>
        <v>19.8</v>
      </c>
      <c r="I50" s="57"/>
      <c r="J50" s="68"/>
    </row>
    <row r="51" spans="1:10" ht="15" customHeight="1">
      <c r="A51" s="828"/>
      <c r="B51" s="107" t="s">
        <v>237</v>
      </c>
      <c r="C51" s="106"/>
      <c r="D51" s="105">
        <v>-1</v>
      </c>
      <c r="E51" s="104">
        <v>1.1499999999999999</v>
      </c>
      <c r="F51" s="103" t="s">
        <v>236</v>
      </c>
      <c r="G51" s="102">
        <f>I46</f>
        <v>4.5</v>
      </c>
      <c r="H51" s="78">
        <f>PRODUCT(D51:G51)</f>
        <v>-5.1749999999999998</v>
      </c>
      <c r="I51" s="57"/>
      <c r="J51" s="68"/>
    </row>
    <row r="52" spans="1:10" ht="15" customHeight="1">
      <c r="A52" s="825" t="str">
        <f>A$25 &amp; ".03"</f>
        <v>01.02.01.03</v>
      </c>
      <c r="B52" s="63" t="s">
        <v>95</v>
      </c>
      <c r="C52" s="59" t="s">
        <v>108</v>
      </c>
      <c r="D52" s="60"/>
      <c r="E52" s="59"/>
      <c r="F52" s="78"/>
      <c r="G52" s="69"/>
      <c r="H52" s="78"/>
      <c r="I52" s="69"/>
      <c r="J52" s="68"/>
    </row>
    <row r="53" spans="1:10" ht="15" customHeight="1">
      <c r="A53" s="826" t="str">
        <f>A$52 &amp; ".01"</f>
        <v>01.02.01.03.01</v>
      </c>
      <c r="B53" s="85" t="s">
        <v>235</v>
      </c>
      <c r="C53" s="89" t="s">
        <v>55</v>
      </c>
      <c r="D53" s="84"/>
      <c r="E53" s="91"/>
      <c r="F53" s="84"/>
      <c r="G53" s="89"/>
      <c r="H53" s="84"/>
      <c r="I53" s="57">
        <f>SUM(H54:H59)</f>
        <v>3.3824999999999998</v>
      </c>
      <c r="J53" s="68"/>
    </row>
    <row r="54" spans="1:10" ht="15" customHeight="1">
      <c r="A54" s="829"/>
      <c r="B54" s="65" t="s">
        <v>234</v>
      </c>
      <c r="C54" s="59" t="s">
        <v>108</v>
      </c>
      <c r="D54" s="60">
        <v>2</v>
      </c>
      <c r="E54" s="69">
        <v>2</v>
      </c>
      <c r="F54" s="78">
        <v>0.25</v>
      </c>
      <c r="G54" s="69"/>
      <c r="H54" s="86">
        <f t="shared" ref="H54:H59" si="0">+D54*E54*F54</f>
        <v>1</v>
      </c>
      <c r="I54" s="57"/>
      <c r="J54" s="68"/>
    </row>
    <row r="55" spans="1:10" ht="15" customHeight="1">
      <c r="A55" s="829"/>
      <c r="B55" s="65" t="s">
        <v>233</v>
      </c>
      <c r="C55" s="59" t="s">
        <v>108</v>
      </c>
      <c r="D55" s="60">
        <v>1</v>
      </c>
      <c r="E55" s="69">
        <v>1.2</v>
      </c>
      <c r="F55" s="78">
        <v>0.2</v>
      </c>
      <c r="G55" s="69"/>
      <c r="H55" s="86">
        <f t="shared" si="0"/>
        <v>0.24</v>
      </c>
      <c r="I55" s="57"/>
      <c r="J55" s="68"/>
    </row>
    <row r="56" spans="1:10" ht="15" customHeight="1">
      <c r="A56" s="829"/>
      <c r="B56" s="65" t="s">
        <v>232</v>
      </c>
      <c r="C56" s="59"/>
      <c r="D56" s="60">
        <v>1</v>
      </c>
      <c r="E56" s="69">
        <v>0.9</v>
      </c>
      <c r="F56" s="78">
        <v>0.9</v>
      </c>
      <c r="G56" s="69"/>
      <c r="H56" s="86">
        <f t="shared" si="0"/>
        <v>0.81</v>
      </c>
      <c r="I56" s="57"/>
      <c r="J56" s="68"/>
    </row>
    <row r="57" spans="1:10" ht="15" customHeight="1">
      <c r="A57" s="829"/>
      <c r="B57" s="65" t="s">
        <v>231</v>
      </c>
      <c r="C57" s="59"/>
      <c r="D57" s="60">
        <v>2</v>
      </c>
      <c r="E57" s="69">
        <v>1.1000000000000001</v>
      </c>
      <c r="F57" s="78">
        <v>0.2</v>
      </c>
      <c r="G57" s="69"/>
      <c r="H57" s="86">
        <f t="shared" si="0"/>
        <v>0.44000000000000006</v>
      </c>
      <c r="I57" s="57"/>
      <c r="J57" s="68"/>
    </row>
    <row r="58" spans="1:10" ht="15" customHeight="1">
      <c r="A58" s="829"/>
      <c r="B58" s="65"/>
      <c r="C58" s="59"/>
      <c r="D58" s="60">
        <v>1</v>
      </c>
      <c r="E58" s="69">
        <v>0.9</v>
      </c>
      <c r="F58" s="78">
        <v>0.2</v>
      </c>
      <c r="G58" s="69"/>
      <c r="H58" s="86">
        <f t="shared" si="0"/>
        <v>0.18000000000000002</v>
      </c>
      <c r="I58" s="57"/>
      <c r="J58" s="68"/>
    </row>
    <row r="59" spans="1:10" ht="15" customHeight="1">
      <c r="A59" s="829"/>
      <c r="B59" s="65" t="s">
        <v>230</v>
      </c>
      <c r="C59" s="59"/>
      <c r="D59" s="60">
        <v>1</v>
      </c>
      <c r="E59" s="69">
        <v>0.75</v>
      </c>
      <c r="F59" s="78">
        <v>0.95</v>
      </c>
      <c r="G59" s="69"/>
      <c r="H59" s="86">
        <f t="shared" si="0"/>
        <v>0.71249999999999991</v>
      </c>
      <c r="I59" s="57"/>
      <c r="J59" s="68"/>
    </row>
    <row r="60" spans="1:10" ht="15" customHeight="1">
      <c r="A60" s="829"/>
      <c r="B60" s="65"/>
      <c r="C60" s="59"/>
      <c r="D60" s="60"/>
      <c r="E60" s="59"/>
      <c r="F60" s="60"/>
      <c r="G60" s="69"/>
      <c r="H60" s="78"/>
      <c r="I60" s="57"/>
      <c r="J60" s="68"/>
    </row>
    <row r="61" spans="1:10" ht="15" customHeight="1">
      <c r="A61" s="826" t="str">
        <f>A$52 &amp; ".02"</f>
        <v>01.02.01.03.02</v>
      </c>
      <c r="B61" s="85" t="s">
        <v>229</v>
      </c>
      <c r="C61" s="89" t="s">
        <v>93</v>
      </c>
      <c r="D61" s="84"/>
      <c r="E61" s="91"/>
      <c r="F61" s="84"/>
      <c r="G61" s="89"/>
      <c r="H61" s="84"/>
      <c r="I61" s="57">
        <f>SUM(H62:H63)</f>
        <v>1.946</v>
      </c>
      <c r="J61" s="68"/>
    </row>
    <row r="62" spans="1:10" ht="15" customHeight="1">
      <c r="A62" s="829"/>
      <c r="B62" s="65" t="s">
        <v>228</v>
      </c>
      <c r="C62" s="59" t="s">
        <v>108</v>
      </c>
      <c r="D62" s="60">
        <v>1</v>
      </c>
      <c r="E62" s="59">
        <v>0.5</v>
      </c>
      <c r="F62" s="60">
        <v>0.5</v>
      </c>
      <c r="G62" s="69">
        <v>0.2</v>
      </c>
      <c r="H62" s="78">
        <f>+D62*E62*F62*G62</f>
        <v>0.05</v>
      </c>
      <c r="I62" s="57"/>
      <c r="J62" s="68"/>
    </row>
    <row r="63" spans="1:10" ht="15" customHeight="1">
      <c r="A63" s="829"/>
      <c r="B63" s="65" t="s">
        <v>227</v>
      </c>
      <c r="C63" s="59"/>
      <c r="D63" s="60">
        <v>1</v>
      </c>
      <c r="E63" s="59" t="s">
        <v>61</v>
      </c>
      <c r="F63" s="60">
        <v>0.79</v>
      </c>
      <c r="G63" s="69">
        <v>2.4</v>
      </c>
      <c r="H63" s="78">
        <f>+F63*D63*G63</f>
        <v>1.8959999999999999</v>
      </c>
      <c r="I63" s="57"/>
      <c r="J63" s="68"/>
    </row>
    <row r="64" spans="1:10" ht="15" customHeight="1">
      <c r="A64" s="829"/>
      <c r="B64" s="65"/>
      <c r="C64" s="75"/>
      <c r="D64" s="60"/>
      <c r="E64" s="59"/>
      <c r="F64" s="78"/>
      <c r="G64" s="69"/>
      <c r="H64" s="78"/>
      <c r="I64" s="69"/>
      <c r="J64" s="68"/>
    </row>
    <row r="65" spans="1:10" ht="15" customHeight="1">
      <c r="A65" s="826" t="str">
        <f>A$52 &amp; ".03"</f>
        <v>01.02.01.03.03</v>
      </c>
      <c r="B65" s="85" t="s">
        <v>226</v>
      </c>
      <c r="C65" s="89" t="s">
        <v>93</v>
      </c>
      <c r="D65" s="84"/>
      <c r="E65" s="91"/>
      <c r="F65" s="84"/>
      <c r="G65" s="89"/>
      <c r="H65" s="84"/>
      <c r="I65" s="57">
        <f>+H66</f>
        <v>1.7999999999999999E-2</v>
      </c>
      <c r="J65" s="68"/>
    </row>
    <row r="66" spans="1:10" ht="15" customHeight="1">
      <c r="A66" s="829"/>
      <c r="B66" s="65" t="s">
        <v>225</v>
      </c>
      <c r="C66" s="59" t="s">
        <v>108</v>
      </c>
      <c r="D66" s="60">
        <v>1</v>
      </c>
      <c r="E66" s="59">
        <v>0.3</v>
      </c>
      <c r="F66" s="60">
        <v>0.3</v>
      </c>
      <c r="G66" s="69">
        <v>0.2</v>
      </c>
      <c r="H66" s="78">
        <f>+PRODUCT(D66:G66)</f>
        <v>1.7999999999999999E-2</v>
      </c>
      <c r="I66" s="57"/>
      <c r="J66" s="68"/>
    </row>
    <row r="67" spans="1:10" ht="15" customHeight="1">
      <c r="A67" s="829"/>
      <c r="B67" s="62"/>
      <c r="C67" s="59"/>
      <c r="D67" s="60"/>
      <c r="E67" s="59"/>
      <c r="F67" s="60"/>
      <c r="G67" s="69"/>
      <c r="H67" s="78"/>
      <c r="I67" s="57"/>
      <c r="J67" s="68"/>
    </row>
    <row r="68" spans="1:10" ht="15" customHeight="1">
      <c r="A68" s="825" t="str">
        <f>A$25 &amp; ".04"</f>
        <v>01.02.01.04</v>
      </c>
      <c r="B68" s="63" t="s">
        <v>224</v>
      </c>
      <c r="C68" s="59" t="s">
        <v>108</v>
      </c>
      <c r="D68" s="60"/>
      <c r="E68" s="59"/>
      <c r="F68" s="78"/>
      <c r="G68" s="69"/>
      <c r="H68" s="78"/>
      <c r="I68" s="69"/>
      <c r="J68" s="68"/>
    </row>
    <row r="69" spans="1:10" ht="15" customHeight="1">
      <c r="A69" s="826" t="str">
        <f>A$68 &amp; ".01"</f>
        <v>01.02.01.04.01</v>
      </c>
      <c r="B69" s="85" t="s">
        <v>223</v>
      </c>
      <c r="C69" s="89" t="s">
        <v>93</v>
      </c>
      <c r="D69" s="84"/>
      <c r="E69" s="91"/>
      <c r="F69" s="84"/>
      <c r="G69" s="89"/>
      <c r="H69" s="84"/>
      <c r="I69" s="57">
        <f>SUM(H71:H76)</f>
        <v>0.60000000000000009</v>
      </c>
      <c r="J69" s="68"/>
    </row>
    <row r="70" spans="1:10" ht="15" customHeight="1">
      <c r="A70" s="826"/>
      <c r="B70" s="92" t="s">
        <v>146</v>
      </c>
      <c r="C70" s="89"/>
      <c r="D70" s="84"/>
      <c r="E70" s="91"/>
      <c r="F70" s="84"/>
      <c r="G70" s="89"/>
      <c r="H70" s="84"/>
      <c r="I70" s="57"/>
      <c r="J70" s="68"/>
    </row>
    <row r="71" spans="1:10" ht="15" customHeight="1">
      <c r="A71" s="829"/>
      <c r="B71" s="65" t="s">
        <v>222</v>
      </c>
      <c r="C71" s="75" t="s">
        <v>108</v>
      </c>
      <c r="D71" s="60">
        <v>2</v>
      </c>
      <c r="E71" s="59">
        <v>2</v>
      </c>
      <c r="F71" s="101">
        <v>0.15</v>
      </c>
      <c r="G71" s="69">
        <v>0.55000000000000004</v>
      </c>
      <c r="H71" s="78">
        <f>+PRODUCT(D71:G71)</f>
        <v>0.33</v>
      </c>
      <c r="I71" s="69"/>
      <c r="J71" s="68"/>
    </row>
    <row r="72" spans="1:10" ht="15" customHeight="1">
      <c r="A72" s="829"/>
      <c r="B72" s="92" t="s">
        <v>145</v>
      </c>
      <c r="C72" s="75"/>
      <c r="D72" s="60"/>
      <c r="E72" s="59"/>
      <c r="F72" s="78"/>
      <c r="G72" s="69"/>
      <c r="H72" s="78"/>
      <c r="I72" s="69"/>
      <c r="J72" s="68"/>
    </row>
    <row r="73" spans="1:10" ht="15" customHeight="1">
      <c r="A73" s="829"/>
      <c r="B73" s="65" t="s">
        <v>221</v>
      </c>
      <c r="C73" s="75" t="s">
        <v>108</v>
      </c>
      <c r="D73" s="60">
        <v>1</v>
      </c>
      <c r="E73" s="59">
        <v>1.3</v>
      </c>
      <c r="F73" s="101">
        <v>0.15</v>
      </c>
      <c r="G73" s="69">
        <v>0.55000000000000004</v>
      </c>
      <c r="H73" s="78">
        <f>+PRODUCT(D73:G73)</f>
        <v>0.10725000000000001</v>
      </c>
      <c r="I73" s="69"/>
      <c r="J73" s="68"/>
    </row>
    <row r="74" spans="1:10" ht="15" customHeight="1">
      <c r="A74" s="829"/>
      <c r="B74" s="65" t="s">
        <v>220</v>
      </c>
      <c r="C74" s="75" t="s">
        <v>108</v>
      </c>
      <c r="D74" s="60">
        <v>2</v>
      </c>
      <c r="E74" s="59">
        <v>1.1000000000000001</v>
      </c>
      <c r="F74" s="101">
        <v>0.15</v>
      </c>
      <c r="G74" s="69">
        <v>0.35</v>
      </c>
      <c r="H74" s="78">
        <f>+PRODUCT(D74:G74)</f>
        <v>0.11549999999999999</v>
      </c>
      <c r="I74" s="69"/>
      <c r="J74" s="68"/>
    </row>
    <row r="75" spans="1:10" ht="15" customHeight="1">
      <c r="A75" s="829"/>
      <c r="B75" s="92" t="s">
        <v>144</v>
      </c>
      <c r="C75" s="75"/>
      <c r="D75" s="60"/>
      <c r="E75" s="59"/>
      <c r="F75" s="78"/>
      <c r="G75" s="69"/>
      <c r="H75" s="78"/>
      <c r="I75" s="69"/>
      <c r="J75" s="68"/>
    </row>
    <row r="76" spans="1:10" ht="15" customHeight="1">
      <c r="A76" s="829"/>
      <c r="B76" s="65" t="s">
        <v>219</v>
      </c>
      <c r="C76" s="75" t="s">
        <v>108</v>
      </c>
      <c r="D76" s="60">
        <v>1</v>
      </c>
      <c r="E76" s="59">
        <v>0.9</v>
      </c>
      <c r="F76" s="101">
        <v>0.15</v>
      </c>
      <c r="G76" s="69">
        <v>0.35</v>
      </c>
      <c r="H76" s="78">
        <f>+PRODUCT(D76:G76)</f>
        <v>4.725E-2</v>
      </c>
      <c r="I76" s="69"/>
      <c r="J76" s="68"/>
    </row>
    <row r="77" spans="1:10" ht="15" customHeight="1">
      <c r="A77" s="826" t="str">
        <f>A$68 &amp; ".02"</f>
        <v>01.02.01.04.02</v>
      </c>
      <c r="B77" s="85" t="s">
        <v>218</v>
      </c>
      <c r="C77" s="89" t="s">
        <v>93</v>
      </c>
      <c r="D77" s="84"/>
      <c r="E77" s="91"/>
      <c r="F77" s="84"/>
      <c r="G77" s="89"/>
      <c r="H77" s="84"/>
      <c r="I77" s="57">
        <f>SUM(H79:H85)</f>
        <v>1.1349999999999998</v>
      </c>
      <c r="J77" s="68"/>
    </row>
    <row r="78" spans="1:10" ht="15" customHeight="1">
      <c r="A78" s="826"/>
      <c r="B78" s="92" t="s">
        <v>146</v>
      </c>
      <c r="C78" s="89"/>
      <c r="D78" s="84"/>
      <c r="E78" s="91"/>
      <c r="F78" s="84"/>
      <c r="G78" s="89"/>
      <c r="H78" s="84"/>
      <c r="I78" s="57"/>
      <c r="J78" s="68"/>
    </row>
    <row r="79" spans="1:10" ht="15" customHeight="1">
      <c r="A79" s="829"/>
      <c r="B79" s="65" t="s">
        <v>217</v>
      </c>
      <c r="C79" s="75" t="s">
        <v>108</v>
      </c>
      <c r="D79" s="60">
        <v>2</v>
      </c>
      <c r="E79" s="59">
        <v>2</v>
      </c>
      <c r="F79" s="78">
        <v>0.15</v>
      </c>
      <c r="G79" s="69">
        <v>1</v>
      </c>
      <c r="H79" s="78">
        <f>+PRODUCT(D79:G79)</f>
        <v>0.6</v>
      </c>
      <c r="I79" s="69"/>
      <c r="J79" s="68"/>
    </row>
    <row r="80" spans="1:10" ht="15" customHeight="1">
      <c r="A80" s="829"/>
      <c r="B80" s="92" t="s">
        <v>145</v>
      </c>
      <c r="C80" s="75"/>
      <c r="D80" s="60"/>
      <c r="E80" s="59"/>
      <c r="F80" s="78"/>
      <c r="G80" s="69"/>
      <c r="H80" s="78"/>
      <c r="I80" s="69"/>
      <c r="J80" s="68"/>
    </row>
    <row r="81" spans="1:10" ht="15" customHeight="1">
      <c r="A81" s="829"/>
      <c r="B81" s="65" t="s">
        <v>216</v>
      </c>
      <c r="C81" s="75" t="s">
        <v>108</v>
      </c>
      <c r="D81" s="60">
        <v>1</v>
      </c>
      <c r="E81" s="59">
        <v>0.9</v>
      </c>
      <c r="F81" s="78">
        <v>0.15</v>
      </c>
      <c r="G81" s="69">
        <v>0.95</v>
      </c>
      <c r="H81" s="78">
        <f>+PRODUCT(D81:G81)</f>
        <v>0.12825</v>
      </c>
      <c r="I81" s="69"/>
      <c r="J81" s="68"/>
    </row>
    <row r="82" spans="1:10" ht="15" customHeight="1">
      <c r="A82" s="829"/>
      <c r="B82" s="65" t="s">
        <v>215</v>
      </c>
      <c r="C82" s="75"/>
      <c r="D82" s="60">
        <v>2</v>
      </c>
      <c r="E82" s="59">
        <v>1.05</v>
      </c>
      <c r="F82" s="78">
        <v>0.15</v>
      </c>
      <c r="G82" s="69">
        <v>0.95</v>
      </c>
      <c r="H82" s="78">
        <f>+PRODUCT(D82:G82)</f>
        <v>0.29924999999999996</v>
      </c>
      <c r="I82" s="69"/>
      <c r="J82" s="68"/>
    </row>
    <row r="83" spans="1:10" ht="15" customHeight="1">
      <c r="A83" s="829"/>
      <c r="B83" s="92" t="s">
        <v>144</v>
      </c>
      <c r="C83" s="75"/>
      <c r="D83" s="60"/>
      <c r="E83" s="59"/>
      <c r="F83" s="78"/>
      <c r="G83" s="69"/>
      <c r="H83" s="78"/>
      <c r="I83" s="69"/>
      <c r="J83" s="68"/>
    </row>
    <row r="84" spans="1:10" ht="15" customHeight="1">
      <c r="A84" s="829"/>
      <c r="B84" s="65" t="s">
        <v>214</v>
      </c>
      <c r="C84" s="75" t="s">
        <v>108</v>
      </c>
      <c r="D84" s="60">
        <v>2</v>
      </c>
      <c r="E84" s="59">
        <v>0.75</v>
      </c>
      <c r="F84" s="78">
        <v>0.1</v>
      </c>
      <c r="G84" s="69">
        <v>0.5</v>
      </c>
      <c r="H84" s="78">
        <f>+PRODUCT(D84:G84)</f>
        <v>7.5000000000000011E-2</v>
      </c>
      <c r="I84" s="69"/>
      <c r="J84" s="68"/>
    </row>
    <row r="85" spans="1:10" ht="15" customHeight="1">
      <c r="A85" s="829"/>
      <c r="B85" s="65" t="s">
        <v>213</v>
      </c>
      <c r="C85" s="75" t="s">
        <v>108</v>
      </c>
      <c r="D85" s="60">
        <v>1</v>
      </c>
      <c r="E85" s="59">
        <v>0.65</v>
      </c>
      <c r="F85" s="78">
        <v>0.1</v>
      </c>
      <c r="G85" s="69">
        <v>0.5</v>
      </c>
      <c r="H85" s="78">
        <f>+PRODUCT(D85:G85)</f>
        <v>3.2500000000000001E-2</v>
      </c>
      <c r="I85" s="69"/>
      <c r="J85" s="68"/>
    </row>
    <row r="86" spans="1:10" ht="15" customHeight="1">
      <c r="A86" s="829"/>
      <c r="B86" s="65"/>
      <c r="C86" s="75"/>
      <c r="D86" s="60"/>
      <c r="E86" s="59"/>
      <c r="F86" s="78"/>
      <c r="G86" s="69"/>
      <c r="H86" s="78"/>
      <c r="I86" s="69"/>
      <c r="J86" s="68"/>
    </row>
    <row r="87" spans="1:10" ht="15" customHeight="1">
      <c r="A87" s="826" t="str">
        <f>A$68 &amp; ".03"</f>
        <v>01.02.01.04.03</v>
      </c>
      <c r="B87" s="85" t="s">
        <v>212</v>
      </c>
      <c r="C87" s="89" t="s">
        <v>93</v>
      </c>
      <c r="D87" s="84"/>
      <c r="E87" s="91"/>
      <c r="F87" s="84"/>
      <c r="G87" s="89"/>
      <c r="H87" s="84"/>
      <c r="I87" s="57">
        <f>SUM(H88:H91)</f>
        <v>0.19750000000000001</v>
      </c>
      <c r="J87" s="68"/>
    </row>
    <row r="88" spans="1:10" ht="15" customHeight="1">
      <c r="A88" s="826"/>
      <c r="B88" s="92" t="s">
        <v>145</v>
      </c>
      <c r="C88" s="89"/>
      <c r="D88" s="84"/>
      <c r="E88" s="91"/>
      <c r="F88" s="84"/>
      <c r="G88" s="89"/>
      <c r="H88" s="84"/>
      <c r="I88" s="57"/>
      <c r="J88" s="68"/>
    </row>
    <row r="89" spans="1:10" ht="15" customHeight="1">
      <c r="A89" s="829"/>
      <c r="B89" s="65" t="s">
        <v>211</v>
      </c>
      <c r="C89" s="75"/>
      <c r="D89" s="60">
        <v>1</v>
      </c>
      <c r="E89" s="59">
        <v>0.9</v>
      </c>
      <c r="F89" s="78">
        <v>0.9</v>
      </c>
      <c r="G89" s="69">
        <v>0.15</v>
      </c>
      <c r="H89" s="78">
        <f>+D89*E89*F89*G89</f>
        <v>0.1215</v>
      </c>
      <c r="I89" s="69"/>
      <c r="J89" s="68"/>
    </row>
    <row r="90" spans="1:10" ht="15" customHeight="1">
      <c r="A90" s="829"/>
      <c r="B90" s="92" t="s">
        <v>144</v>
      </c>
      <c r="C90" s="75" t="s">
        <v>108</v>
      </c>
      <c r="D90" s="60"/>
      <c r="E90" s="59"/>
      <c r="F90" s="78"/>
      <c r="G90" s="69"/>
      <c r="H90" s="78"/>
      <c r="I90" s="69"/>
      <c r="J90" s="68"/>
    </row>
    <row r="91" spans="1:10" ht="15" customHeight="1">
      <c r="A91" s="829"/>
      <c r="B91" s="65" t="s">
        <v>210</v>
      </c>
      <c r="C91" s="75" t="s">
        <v>108</v>
      </c>
      <c r="D91" s="60">
        <v>1</v>
      </c>
      <c r="E91" s="59">
        <v>0.95</v>
      </c>
      <c r="F91" s="78">
        <v>0.8</v>
      </c>
      <c r="G91" s="69">
        <v>0.1</v>
      </c>
      <c r="H91" s="78">
        <f>+PRODUCT(D91:G91)</f>
        <v>7.6000000000000012E-2</v>
      </c>
      <c r="I91" s="69"/>
      <c r="J91" s="68"/>
    </row>
    <row r="92" spans="1:10" ht="15" customHeight="1">
      <c r="A92" s="826" t="str">
        <f>A$68 &amp; ".04"</f>
        <v>01.02.01.04.04</v>
      </c>
      <c r="B92" s="85" t="s">
        <v>209</v>
      </c>
      <c r="C92" s="89" t="s">
        <v>93</v>
      </c>
      <c r="D92" s="84"/>
      <c r="E92" s="91"/>
      <c r="F92" s="84"/>
      <c r="G92" s="89"/>
      <c r="H92" s="84"/>
      <c r="I92" s="57">
        <f>SUM(H94:H101)</f>
        <v>0.69324999999999992</v>
      </c>
      <c r="J92" s="68"/>
    </row>
    <row r="93" spans="1:10" ht="15" customHeight="1">
      <c r="A93" s="826"/>
      <c r="B93" s="92" t="s">
        <v>146</v>
      </c>
      <c r="C93" s="89"/>
      <c r="D93" s="84"/>
      <c r="E93" s="91"/>
      <c r="F93" s="84"/>
      <c r="G93" s="89"/>
      <c r="H93" s="84"/>
      <c r="I93" s="57"/>
      <c r="J93" s="68"/>
    </row>
    <row r="94" spans="1:10" ht="15" customHeight="1">
      <c r="A94" s="826"/>
      <c r="B94" s="65" t="s">
        <v>208</v>
      </c>
      <c r="C94" s="89"/>
      <c r="D94" s="60">
        <v>1</v>
      </c>
      <c r="E94" s="59" t="s">
        <v>61</v>
      </c>
      <c r="F94" s="78">
        <v>3.97</v>
      </c>
      <c r="G94" s="69">
        <v>0.15</v>
      </c>
      <c r="H94" s="78">
        <f>+PRODUCT(D94:G94)</f>
        <v>0.59550000000000003</v>
      </c>
      <c r="I94" s="57"/>
      <c r="J94" s="68"/>
    </row>
    <row r="95" spans="1:10" ht="15" customHeight="1">
      <c r="A95" s="826"/>
      <c r="B95" s="65" t="s">
        <v>191</v>
      </c>
      <c r="C95" s="89"/>
      <c r="D95" s="60">
        <v>-1</v>
      </c>
      <c r="E95" s="59">
        <v>0.6</v>
      </c>
      <c r="F95" s="78">
        <v>0.6</v>
      </c>
      <c r="G95" s="69">
        <v>0.15</v>
      </c>
      <c r="H95" s="78">
        <f>+PRODUCT(D95:G95)</f>
        <v>-5.3999999999999999E-2</v>
      </c>
      <c r="I95" s="57"/>
      <c r="J95" s="68"/>
    </row>
    <row r="96" spans="1:10" ht="15" customHeight="1">
      <c r="A96" s="826"/>
      <c r="B96" s="92" t="s">
        <v>145</v>
      </c>
      <c r="C96" s="89"/>
      <c r="D96" s="84"/>
      <c r="E96" s="91"/>
      <c r="F96" s="84"/>
      <c r="G96" s="89"/>
      <c r="H96" s="84"/>
      <c r="I96" s="57"/>
      <c r="J96" s="68"/>
    </row>
    <row r="97" spans="1:10" ht="15" customHeight="1">
      <c r="A97" s="829"/>
      <c r="B97" s="65" t="s">
        <v>207</v>
      </c>
      <c r="C97" s="75"/>
      <c r="D97" s="60">
        <v>1</v>
      </c>
      <c r="E97" s="59">
        <v>1.2</v>
      </c>
      <c r="F97" s="78">
        <v>1.2</v>
      </c>
      <c r="G97" s="69">
        <v>0.1</v>
      </c>
      <c r="H97" s="78">
        <f>+PRODUCT(D97:G97)</f>
        <v>0.14399999999999999</v>
      </c>
      <c r="I97" s="69"/>
      <c r="J97" s="68"/>
    </row>
    <row r="98" spans="1:10" ht="15" customHeight="1">
      <c r="A98" s="829"/>
      <c r="B98" s="65" t="s">
        <v>191</v>
      </c>
      <c r="C98" s="75" t="s">
        <v>108</v>
      </c>
      <c r="D98" s="60">
        <v>-1</v>
      </c>
      <c r="E98" s="59">
        <v>0.6</v>
      </c>
      <c r="F98" s="78">
        <v>0.6</v>
      </c>
      <c r="G98" s="69">
        <v>0.1</v>
      </c>
      <c r="H98" s="78">
        <f>+PRODUCT(D98:G98)</f>
        <v>-3.5999999999999997E-2</v>
      </c>
      <c r="I98" s="69"/>
      <c r="J98" s="68"/>
    </row>
    <row r="99" spans="1:10" ht="15" customHeight="1">
      <c r="A99" s="829"/>
      <c r="B99" s="92" t="s">
        <v>144</v>
      </c>
      <c r="C99" s="75" t="s">
        <v>108</v>
      </c>
      <c r="D99" s="60"/>
      <c r="E99" s="59"/>
      <c r="F99" s="78"/>
      <c r="G99" s="69"/>
      <c r="H99" s="78"/>
      <c r="I99" s="69"/>
      <c r="J99" s="68"/>
    </row>
    <row r="100" spans="1:10" ht="15" customHeight="1">
      <c r="A100" s="829"/>
      <c r="B100" s="65" t="s">
        <v>206</v>
      </c>
      <c r="C100" s="75" t="s">
        <v>108</v>
      </c>
      <c r="D100" s="60">
        <v>1</v>
      </c>
      <c r="E100" s="59">
        <v>0.85</v>
      </c>
      <c r="F100" s="78">
        <v>0.75</v>
      </c>
      <c r="G100" s="69">
        <v>0.1</v>
      </c>
      <c r="H100" s="78">
        <f>+PRODUCT(D100:G100)</f>
        <v>6.3750000000000001E-2</v>
      </c>
      <c r="I100" s="69"/>
      <c r="J100" s="68"/>
    </row>
    <row r="101" spans="1:10" ht="15" customHeight="1">
      <c r="A101" s="829"/>
      <c r="B101" s="65" t="s">
        <v>191</v>
      </c>
      <c r="C101" s="75"/>
      <c r="D101" s="60">
        <v>-1</v>
      </c>
      <c r="E101" s="59">
        <v>0.5</v>
      </c>
      <c r="F101" s="78">
        <v>0.4</v>
      </c>
      <c r="G101" s="69">
        <v>0.1</v>
      </c>
      <c r="H101" s="78">
        <f>+PRODUCT(D101:G101)</f>
        <v>-2.0000000000000004E-2</v>
      </c>
      <c r="I101" s="69"/>
      <c r="J101" s="68"/>
    </row>
    <row r="102" spans="1:10" ht="15" customHeight="1">
      <c r="A102" s="829"/>
      <c r="B102" s="65"/>
      <c r="C102" s="75"/>
      <c r="D102" s="60"/>
      <c r="E102" s="59"/>
      <c r="F102" s="78"/>
      <c r="G102" s="69"/>
      <c r="H102" s="78"/>
      <c r="I102" s="69"/>
      <c r="J102" s="68"/>
    </row>
    <row r="103" spans="1:10" ht="15" customHeight="1">
      <c r="A103" s="826" t="str">
        <f>A$68 &amp; ".05"</f>
        <v>01.02.01.04.05</v>
      </c>
      <c r="B103" s="85" t="s">
        <v>205</v>
      </c>
      <c r="C103" s="89" t="s">
        <v>55</v>
      </c>
      <c r="D103" s="84"/>
      <c r="E103" s="91"/>
      <c r="F103" s="84"/>
      <c r="G103" s="89"/>
      <c r="H103" s="84"/>
      <c r="I103" s="57">
        <f>SUM(H105:H114)</f>
        <v>17.845000000000002</v>
      </c>
      <c r="J103" s="68"/>
    </row>
    <row r="104" spans="1:10" ht="15" customHeight="1">
      <c r="A104" s="826"/>
      <c r="B104" s="92" t="s">
        <v>146</v>
      </c>
      <c r="C104" s="89"/>
      <c r="D104" s="84"/>
      <c r="E104" s="91"/>
      <c r="F104" s="84"/>
      <c r="G104" s="89"/>
      <c r="H104" s="84"/>
      <c r="I104" s="57"/>
      <c r="J104" s="68"/>
    </row>
    <row r="105" spans="1:10" ht="15" customHeight="1">
      <c r="A105" s="829"/>
      <c r="B105" s="65" t="s">
        <v>204</v>
      </c>
      <c r="C105" s="75" t="s">
        <v>108</v>
      </c>
      <c r="D105" s="60">
        <v>2</v>
      </c>
      <c r="E105" s="59">
        <v>2</v>
      </c>
      <c r="F105" s="78"/>
      <c r="G105" s="69">
        <v>1</v>
      </c>
      <c r="H105" s="78">
        <f>+PRODUCT(D105:G105)</f>
        <v>4</v>
      </c>
      <c r="I105" s="69"/>
      <c r="J105" s="68"/>
    </row>
    <row r="106" spans="1:10" ht="15" customHeight="1">
      <c r="A106" s="829"/>
      <c r="B106" s="65" t="s">
        <v>203</v>
      </c>
      <c r="C106" s="75" t="s">
        <v>108</v>
      </c>
      <c r="D106" s="60">
        <v>2</v>
      </c>
      <c r="E106" s="59">
        <v>2</v>
      </c>
      <c r="F106" s="78"/>
      <c r="G106" s="69">
        <v>1</v>
      </c>
      <c r="H106" s="78">
        <f>+PRODUCT(D106:G106)</f>
        <v>4</v>
      </c>
      <c r="I106" s="69"/>
      <c r="J106" s="68"/>
    </row>
    <row r="107" spans="1:10" ht="15" customHeight="1">
      <c r="A107" s="829"/>
      <c r="B107" s="92" t="s">
        <v>145</v>
      </c>
      <c r="C107" s="75"/>
      <c r="D107" s="60"/>
      <c r="E107" s="59"/>
      <c r="F107" s="78"/>
      <c r="G107" s="69"/>
      <c r="H107" s="78"/>
      <c r="I107" s="69"/>
      <c r="J107" s="68"/>
    </row>
    <row r="108" spans="1:10" ht="15" customHeight="1">
      <c r="A108" s="829"/>
      <c r="B108" s="65" t="s">
        <v>202</v>
      </c>
      <c r="C108" s="75" t="s">
        <v>108</v>
      </c>
      <c r="D108" s="60">
        <v>2</v>
      </c>
      <c r="E108" s="59">
        <v>0.9</v>
      </c>
      <c r="F108" s="78"/>
      <c r="G108" s="69">
        <v>0.95</v>
      </c>
      <c r="H108" s="78">
        <f>+G108*E108*D108</f>
        <v>1.71</v>
      </c>
      <c r="I108" s="69"/>
      <c r="J108" s="68"/>
    </row>
    <row r="109" spans="1:10" ht="15" customHeight="1">
      <c r="A109" s="829"/>
      <c r="B109" s="65" t="s">
        <v>201</v>
      </c>
      <c r="C109" s="75" t="s">
        <v>108</v>
      </c>
      <c r="D109" s="60">
        <v>3</v>
      </c>
      <c r="E109" s="59">
        <v>0.9</v>
      </c>
      <c r="F109" s="78"/>
      <c r="G109" s="69">
        <v>0.95</v>
      </c>
      <c r="H109" s="78">
        <f>+G109*E109*D109</f>
        <v>2.5649999999999999</v>
      </c>
      <c r="I109" s="69"/>
      <c r="J109" s="68"/>
    </row>
    <row r="110" spans="1:10" ht="15" customHeight="1">
      <c r="A110" s="829"/>
      <c r="B110" s="65" t="s">
        <v>200</v>
      </c>
      <c r="C110" s="75" t="s">
        <v>108</v>
      </c>
      <c r="D110" s="60">
        <v>3</v>
      </c>
      <c r="E110" s="59">
        <v>1.2</v>
      </c>
      <c r="F110" s="78"/>
      <c r="G110" s="69">
        <v>0.95</v>
      </c>
      <c r="H110" s="78">
        <f>+G110*E110*D110</f>
        <v>3.42</v>
      </c>
      <c r="I110" s="69"/>
      <c r="J110" s="68"/>
    </row>
    <row r="111" spans="1:10" ht="15" customHeight="1">
      <c r="A111" s="829"/>
      <c r="B111" s="92" t="s">
        <v>144</v>
      </c>
      <c r="C111" s="75"/>
      <c r="D111" s="60"/>
      <c r="E111" s="59"/>
      <c r="F111" s="78"/>
      <c r="G111" s="69"/>
      <c r="H111" s="78"/>
      <c r="I111" s="69"/>
      <c r="J111" s="68"/>
    </row>
    <row r="112" spans="1:10" ht="15" customHeight="1">
      <c r="A112" s="829"/>
      <c r="B112" s="65" t="s">
        <v>199</v>
      </c>
      <c r="C112" s="75" t="s">
        <v>108</v>
      </c>
      <c r="D112" s="60">
        <v>3</v>
      </c>
      <c r="E112" s="59">
        <v>0.65</v>
      </c>
      <c r="F112" s="78"/>
      <c r="G112" s="69">
        <v>0.5</v>
      </c>
      <c r="H112" s="78">
        <f>+G112*E112*D112</f>
        <v>0.97500000000000009</v>
      </c>
      <c r="I112" s="69"/>
      <c r="J112" s="68"/>
    </row>
    <row r="113" spans="1:10" ht="15" customHeight="1">
      <c r="A113" s="829"/>
      <c r="B113" s="65" t="s">
        <v>198</v>
      </c>
      <c r="C113" s="75" t="s">
        <v>108</v>
      </c>
      <c r="D113" s="60">
        <v>1</v>
      </c>
      <c r="E113" s="59">
        <v>0.85</v>
      </c>
      <c r="F113" s="78"/>
      <c r="G113" s="69">
        <v>0.5</v>
      </c>
      <c r="H113" s="78">
        <f>+G113*E113*D113</f>
        <v>0.42499999999999999</v>
      </c>
      <c r="I113" s="69"/>
      <c r="J113" s="68"/>
    </row>
    <row r="114" spans="1:10" ht="15" customHeight="1">
      <c r="A114" s="829"/>
      <c r="B114" s="62"/>
      <c r="C114" s="75" t="s">
        <v>108</v>
      </c>
      <c r="D114" s="60">
        <v>2</v>
      </c>
      <c r="E114" s="59">
        <v>0.75</v>
      </c>
      <c r="F114" s="78"/>
      <c r="G114" s="69">
        <v>0.5</v>
      </c>
      <c r="H114" s="78">
        <f>+G114*E114*D114</f>
        <v>0.75</v>
      </c>
      <c r="I114" s="69"/>
      <c r="J114" s="68"/>
    </row>
    <row r="115" spans="1:10" ht="15" customHeight="1">
      <c r="A115" s="829"/>
      <c r="B115" s="62"/>
      <c r="C115" s="75"/>
      <c r="D115" s="60"/>
      <c r="E115" s="59"/>
      <c r="F115" s="78"/>
      <c r="G115" s="69"/>
      <c r="H115" s="78"/>
      <c r="I115" s="69"/>
      <c r="J115" s="68"/>
    </row>
    <row r="116" spans="1:10" ht="15" customHeight="1">
      <c r="A116" s="826" t="str">
        <f>A$68 &amp; ".06"</f>
        <v>01.02.01.04.06</v>
      </c>
      <c r="B116" s="85" t="s">
        <v>197</v>
      </c>
      <c r="C116" s="89" t="s">
        <v>55</v>
      </c>
      <c r="D116" s="84"/>
      <c r="E116" s="91"/>
      <c r="F116" s="84"/>
      <c r="G116" s="89"/>
      <c r="H116" s="84"/>
      <c r="I116" s="57">
        <f>SUM(H118:H133)</f>
        <v>5.7975000000000012</v>
      </c>
      <c r="J116" s="68"/>
    </row>
    <row r="117" spans="1:10" ht="15" customHeight="1">
      <c r="A117" s="826"/>
      <c r="B117" s="92" t="s">
        <v>146</v>
      </c>
      <c r="C117" s="89"/>
      <c r="D117" s="84"/>
      <c r="E117" s="91"/>
      <c r="F117" s="84"/>
      <c r="G117" s="89"/>
      <c r="H117" s="84"/>
      <c r="I117" s="57"/>
      <c r="J117" s="68"/>
    </row>
    <row r="118" spans="1:10" ht="15" customHeight="1">
      <c r="A118" s="829"/>
      <c r="B118" s="65" t="s">
        <v>196</v>
      </c>
      <c r="C118" s="75" t="s">
        <v>108</v>
      </c>
      <c r="D118" s="60">
        <v>1</v>
      </c>
      <c r="E118" s="59" t="s">
        <v>47</v>
      </c>
      <c r="F118" s="78">
        <v>3.39</v>
      </c>
      <c r="G118" s="69"/>
      <c r="H118" s="78">
        <f>+PRODUCT(D118:G118)</f>
        <v>3.39</v>
      </c>
      <c r="I118" s="69"/>
      <c r="J118" s="68"/>
    </row>
    <row r="119" spans="1:10" ht="15" customHeight="1">
      <c r="A119" s="829"/>
      <c r="B119" s="65" t="s">
        <v>191</v>
      </c>
      <c r="C119" s="75"/>
      <c r="D119" s="60">
        <v>-1</v>
      </c>
      <c r="E119" s="59">
        <v>0.6</v>
      </c>
      <c r="F119" s="78">
        <v>0.6</v>
      </c>
      <c r="G119" s="69"/>
      <c r="H119" s="78">
        <f>+PRODUCT(D119:G119)</f>
        <v>-0.36</v>
      </c>
      <c r="I119" s="69"/>
      <c r="J119" s="68"/>
    </row>
    <row r="120" spans="1:10" ht="15" customHeight="1">
      <c r="A120" s="829"/>
      <c r="B120" s="65" t="s">
        <v>195</v>
      </c>
      <c r="C120" s="75" t="s">
        <v>108</v>
      </c>
      <c r="D120" s="60">
        <v>2</v>
      </c>
      <c r="E120" s="59">
        <v>2</v>
      </c>
      <c r="F120" s="78"/>
      <c r="G120" s="69">
        <v>0.15</v>
      </c>
      <c r="H120" s="78">
        <f>+PRODUCT(D120:G120)</f>
        <v>0.6</v>
      </c>
      <c r="I120" s="69"/>
      <c r="J120" s="68"/>
    </row>
    <row r="121" spans="1:10" ht="15" customHeight="1">
      <c r="A121" s="829"/>
      <c r="B121" s="65" t="s">
        <v>189</v>
      </c>
      <c r="C121" s="75" t="s">
        <v>108</v>
      </c>
      <c r="D121" s="60">
        <v>4</v>
      </c>
      <c r="E121" s="59">
        <v>0.6</v>
      </c>
      <c r="F121" s="78"/>
      <c r="G121" s="69">
        <v>0.15</v>
      </c>
      <c r="H121" s="78">
        <f>+PRODUCT(D121:G121)</f>
        <v>0.36</v>
      </c>
      <c r="I121" s="69"/>
      <c r="J121" s="68"/>
    </row>
    <row r="122" spans="1:10" ht="15" customHeight="1">
      <c r="A122" s="829"/>
      <c r="B122" s="92" t="s">
        <v>145</v>
      </c>
      <c r="C122" s="75"/>
      <c r="D122" s="60"/>
      <c r="E122" s="59"/>
      <c r="F122" s="78"/>
      <c r="G122" s="69"/>
      <c r="H122" s="78"/>
      <c r="I122" s="69"/>
      <c r="J122" s="68"/>
    </row>
    <row r="123" spans="1:10" ht="15" customHeight="1">
      <c r="A123" s="829"/>
      <c r="B123" s="65" t="s">
        <v>194</v>
      </c>
      <c r="C123" s="75" t="s">
        <v>108</v>
      </c>
      <c r="D123" s="60">
        <v>1</v>
      </c>
      <c r="E123" s="59">
        <v>0.9</v>
      </c>
      <c r="F123" s="78">
        <v>0.9</v>
      </c>
      <c r="G123" s="69"/>
      <c r="H123" s="78">
        <f>+F123*E123*D123</f>
        <v>0.81</v>
      </c>
      <c r="I123" s="69"/>
      <c r="J123" s="68"/>
    </row>
    <row r="124" spans="1:10" ht="15" customHeight="1">
      <c r="A124" s="829"/>
      <c r="B124" s="65" t="s">
        <v>191</v>
      </c>
      <c r="C124" s="75" t="s">
        <v>108</v>
      </c>
      <c r="D124" s="60">
        <v>-1</v>
      </c>
      <c r="E124" s="59">
        <v>0.6</v>
      </c>
      <c r="F124" s="78">
        <v>0.6</v>
      </c>
      <c r="G124" s="69"/>
      <c r="H124" s="78">
        <f>+F124*E124*D124</f>
        <v>-0.36</v>
      </c>
      <c r="I124" s="69"/>
      <c r="J124" s="68"/>
    </row>
    <row r="125" spans="1:10" ht="15" customHeight="1">
      <c r="A125" s="829"/>
      <c r="B125" s="65" t="s">
        <v>193</v>
      </c>
      <c r="C125" s="75"/>
      <c r="D125" s="60">
        <v>3</v>
      </c>
      <c r="E125" s="59">
        <v>1.2</v>
      </c>
      <c r="F125" s="78"/>
      <c r="G125" s="69">
        <v>0.1</v>
      </c>
      <c r="H125" s="78">
        <f>+G125*E125*D125</f>
        <v>0.36</v>
      </c>
      <c r="I125" s="69"/>
      <c r="J125" s="68"/>
    </row>
    <row r="126" spans="1:10" ht="15" customHeight="1">
      <c r="A126" s="829"/>
      <c r="B126" s="65" t="s">
        <v>189</v>
      </c>
      <c r="C126" s="75"/>
      <c r="D126" s="60">
        <v>4</v>
      </c>
      <c r="E126" s="59">
        <v>0.6</v>
      </c>
      <c r="F126" s="78"/>
      <c r="G126" s="69">
        <v>0.15</v>
      </c>
      <c r="H126" s="78">
        <f>+G126*E126*D126</f>
        <v>0.36</v>
      </c>
      <c r="I126" s="69"/>
      <c r="J126" s="68"/>
    </row>
    <row r="127" spans="1:10" ht="15" customHeight="1">
      <c r="A127" s="829"/>
      <c r="B127" s="92" t="s">
        <v>144</v>
      </c>
      <c r="C127" s="75"/>
      <c r="D127" s="60"/>
      <c r="E127" s="59"/>
      <c r="F127" s="78"/>
      <c r="G127" s="69"/>
      <c r="H127" s="78"/>
      <c r="I127" s="69"/>
      <c r="J127" s="68"/>
    </row>
    <row r="128" spans="1:10" ht="15" customHeight="1">
      <c r="A128" s="829"/>
      <c r="B128" s="65" t="s">
        <v>192</v>
      </c>
      <c r="C128" s="75" t="s">
        <v>108</v>
      </c>
      <c r="D128" s="60">
        <v>1</v>
      </c>
      <c r="E128" s="59">
        <v>0.65</v>
      </c>
      <c r="F128" s="78">
        <v>0.65</v>
      </c>
      <c r="G128" s="69"/>
      <c r="H128" s="78">
        <f>+F128*E128*D128</f>
        <v>0.42250000000000004</v>
      </c>
      <c r="I128" s="69"/>
      <c r="J128" s="68"/>
    </row>
    <row r="129" spans="1:10" ht="15" customHeight="1">
      <c r="A129" s="829"/>
      <c r="B129" s="65" t="s">
        <v>191</v>
      </c>
      <c r="C129" s="75" t="s">
        <v>108</v>
      </c>
      <c r="D129" s="60">
        <v>-1</v>
      </c>
      <c r="E129" s="59">
        <v>0.5</v>
      </c>
      <c r="F129" s="60">
        <v>0.4</v>
      </c>
      <c r="G129" s="69"/>
      <c r="H129" s="78">
        <f>+F129*E129*D129</f>
        <v>-0.2</v>
      </c>
      <c r="I129" s="69"/>
      <c r="J129" s="68"/>
    </row>
    <row r="130" spans="1:10" ht="15" customHeight="1">
      <c r="A130" s="829"/>
      <c r="B130" s="65" t="s">
        <v>190</v>
      </c>
      <c r="C130" s="75"/>
      <c r="D130" s="60">
        <v>2</v>
      </c>
      <c r="E130" s="59">
        <v>0.75</v>
      </c>
      <c r="F130" s="60"/>
      <c r="G130" s="69">
        <v>0.1</v>
      </c>
      <c r="H130" s="78">
        <f>+G130*E130*D130</f>
        <v>0.15000000000000002</v>
      </c>
      <c r="I130" s="69"/>
      <c r="J130" s="68"/>
    </row>
    <row r="131" spans="1:10" ht="15" customHeight="1">
      <c r="A131" s="829"/>
      <c r="B131" s="65"/>
      <c r="C131" s="75"/>
      <c r="D131" s="60">
        <v>1</v>
      </c>
      <c r="E131" s="59">
        <v>0.85</v>
      </c>
      <c r="F131" s="60"/>
      <c r="G131" s="69">
        <v>0.1</v>
      </c>
      <c r="H131" s="78">
        <f>+G131*E131*D131</f>
        <v>8.5000000000000006E-2</v>
      </c>
      <c r="I131" s="69"/>
      <c r="J131" s="68"/>
    </row>
    <row r="132" spans="1:10" ht="15" customHeight="1">
      <c r="A132" s="829"/>
      <c r="B132" s="65" t="s">
        <v>189</v>
      </c>
      <c r="C132" s="75"/>
      <c r="D132" s="60">
        <v>2</v>
      </c>
      <c r="E132" s="59">
        <v>0.5</v>
      </c>
      <c r="F132" s="60"/>
      <c r="G132" s="69">
        <v>0.1</v>
      </c>
      <c r="H132" s="78">
        <f>+G132*E132*D132</f>
        <v>0.1</v>
      </c>
      <c r="I132" s="69"/>
      <c r="J132" s="68"/>
    </row>
    <row r="133" spans="1:10" ht="15" customHeight="1">
      <c r="A133" s="829"/>
      <c r="B133" s="65"/>
      <c r="C133" s="75"/>
      <c r="D133" s="60">
        <v>2</v>
      </c>
      <c r="E133" s="59">
        <v>0.4</v>
      </c>
      <c r="F133" s="60"/>
      <c r="G133" s="69">
        <v>0.1</v>
      </c>
      <c r="H133" s="78">
        <f>+G133*E133*D133</f>
        <v>8.0000000000000016E-2</v>
      </c>
      <c r="I133" s="69"/>
      <c r="J133" s="68"/>
    </row>
    <row r="134" spans="1:10" ht="15" customHeight="1">
      <c r="A134" s="829"/>
      <c r="B134" s="65"/>
      <c r="C134" s="75"/>
      <c r="D134" s="60"/>
      <c r="E134" s="59"/>
      <c r="F134" s="60"/>
      <c r="G134" s="69"/>
      <c r="H134" s="78"/>
      <c r="I134" s="69"/>
      <c r="J134" s="68"/>
    </row>
    <row r="135" spans="1:10" ht="15" customHeight="1">
      <c r="A135" s="826" t="str">
        <f>A$68 &amp; ".07"</f>
        <v>01.02.01.04.07</v>
      </c>
      <c r="B135" s="85" t="s">
        <v>188</v>
      </c>
      <c r="C135" s="89" t="s">
        <v>187</v>
      </c>
      <c r="D135" s="84"/>
      <c r="E135" s="91"/>
      <c r="F135" s="84"/>
      <c r="G135" s="89"/>
      <c r="H135" s="84"/>
      <c r="I135" s="57">
        <f>+SUM(H136:H138)</f>
        <v>139.20000000000002</v>
      </c>
      <c r="J135" s="68"/>
    </row>
    <row r="136" spans="1:10" ht="15" customHeight="1">
      <c r="A136" s="829"/>
      <c r="B136" s="65" t="s">
        <v>186</v>
      </c>
      <c r="C136" s="75" t="s">
        <v>108</v>
      </c>
      <c r="D136" s="60">
        <v>1</v>
      </c>
      <c r="E136" s="59"/>
      <c r="F136" s="78"/>
      <c r="G136" s="69">
        <v>61.09</v>
      </c>
      <c r="H136" s="78">
        <f>PRODUCT(D136:G136)</f>
        <v>61.09</v>
      </c>
      <c r="I136" s="69"/>
      <c r="J136" s="68"/>
    </row>
    <row r="137" spans="1:10" ht="15" customHeight="1">
      <c r="A137" s="830"/>
      <c r="B137" s="65" t="s">
        <v>185</v>
      </c>
      <c r="C137" s="75" t="s">
        <v>108</v>
      </c>
      <c r="D137" s="60">
        <v>1</v>
      </c>
      <c r="E137" s="59"/>
      <c r="F137" s="78"/>
      <c r="G137" s="69">
        <v>63.39</v>
      </c>
      <c r="H137" s="78">
        <f>PRODUCT(D137:G137)</f>
        <v>63.39</v>
      </c>
      <c r="I137" s="69"/>
      <c r="J137" s="68"/>
    </row>
    <row r="138" spans="1:10" ht="15" customHeight="1">
      <c r="A138" s="830"/>
      <c r="B138" s="65" t="s">
        <v>184</v>
      </c>
      <c r="C138" s="75" t="s">
        <v>108</v>
      </c>
      <c r="D138" s="60">
        <v>1</v>
      </c>
      <c r="E138" s="59"/>
      <c r="F138" s="84"/>
      <c r="G138" s="69">
        <v>14.72</v>
      </c>
      <c r="H138" s="78">
        <f>PRODUCT(D138:G138)</f>
        <v>14.72</v>
      </c>
      <c r="I138" s="69"/>
      <c r="J138" s="68"/>
    </row>
    <row r="139" spans="1:10" ht="15" customHeight="1">
      <c r="A139" s="830"/>
      <c r="B139" s="65"/>
      <c r="C139" s="75"/>
      <c r="D139" s="60"/>
      <c r="E139" s="59"/>
      <c r="F139" s="84"/>
      <c r="G139" s="69"/>
      <c r="H139" s="78"/>
      <c r="I139" s="69"/>
      <c r="J139" s="68"/>
    </row>
    <row r="140" spans="1:10" ht="15" customHeight="1">
      <c r="A140" s="840" t="str">
        <f>A$24 &amp; ".02"</f>
        <v>01.02.02</v>
      </c>
      <c r="B140" s="839" t="s">
        <v>183</v>
      </c>
      <c r="C140" s="75" t="s">
        <v>108</v>
      </c>
      <c r="D140" s="60"/>
      <c r="E140" s="59"/>
      <c r="F140" s="78"/>
      <c r="G140" s="69"/>
      <c r="H140" s="78"/>
      <c r="I140" s="69"/>
      <c r="J140" s="68"/>
    </row>
    <row r="141" spans="1:10" ht="15" customHeight="1">
      <c r="A141" s="825" t="str">
        <f>A$140 &amp; ".01"</f>
        <v>01.02.02.01</v>
      </c>
      <c r="B141" s="63" t="s">
        <v>182</v>
      </c>
      <c r="C141" s="59" t="s">
        <v>108</v>
      </c>
      <c r="D141" s="60"/>
      <c r="E141" s="59"/>
      <c r="F141" s="78"/>
      <c r="G141" s="69"/>
      <c r="H141" s="78"/>
      <c r="I141" s="69"/>
      <c r="J141" s="68"/>
    </row>
    <row r="142" spans="1:10" ht="15" customHeight="1">
      <c r="A142" s="826" t="str">
        <f>A$141 &amp; ".01"</f>
        <v>01.02.02.01.01</v>
      </c>
      <c r="B142" s="85" t="s">
        <v>181</v>
      </c>
      <c r="C142" s="89" t="s">
        <v>55</v>
      </c>
      <c r="D142" s="84"/>
      <c r="E142" s="91"/>
      <c r="F142" s="84"/>
      <c r="G142" s="89"/>
      <c r="H142" s="84"/>
      <c r="I142" s="57">
        <f>SUM(H144:H156)</f>
        <v>13.790000000000001</v>
      </c>
      <c r="J142" s="68"/>
    </row>
    <row r="143" spans="1:10" ht="15" customHeight="1">
      <c r="A143" s="826"/>
      <c r="B143" s="92" t="s">
        <v>145</v>
      </c>
      <c r="C143" s="89"/>
      <c r="D143" s="84"/>
      <c r="E143" s="91"/>
      <c r="F143" s="84"/>
      <c r="G143" s="89"/>
      <c r="H143" s="84"/>
      <c r="I143" s="57"/>
      <c r="J143" s="68"/>
    </row>
    <row r="144" spans="1:10" ht="15" customHeight="1">
      <c r="A144" s="829"/>
      <c r="B144" s="65" t="s">
        <v>180</v>
      </c>
      <c r="C144" s="75" t="s">
        <v>108</v>
      </c>
      <c r="D144" s="60">
        <v>2</v>
      </c>
      <c r="E144" s="59">
        <v>0.9</v>
      </c>
      <c r="F144" s="78">
        <v>0.95</v>
      </c>
      <c r="G144" s="69"/>
      <c r="H144" s="78">
        <f t="shared" ref="H144:H149" si="1">+PRODUCT(D144:G144)</f>
        <v>1.71</v>
      </c>
      <c r="I144" s="57"/>
      <c r="J144" s="68"/>
    </row>
    <row r="145" spans="1:10" ht="15" customHeight="1">
      <c r="A145" s="829"/>
      <c r="B145" s="63"/>
      <c r="C145" s="75" t="s">
        <v>108</v>
      </c>
      <c r="D145" s="60">
        <v>2</v>
      </c>
      <c r="E145" s="59">
        <v>0.9</v>
      </c>
      <c r="F145" s="78">
        <v>0.95</v>
      </c>
      <c r="G145" s="69"/>
      <c r="H145" s="78">
        <f t="shared" si="1"/>
        <v>1.71</v>
      </c>
      <c r="I145" s="57"/>
      <c r="J145" s="68"/>
    </row>
    <row r="146" spans="1:10" ht="15" customHeight="1">
      <c r="A146" s="829"/>
      <c r="B146" s="65" t="s">
        <v>176</v>
      </c>
      <c r="C146" s="75" t="s">
        <v>108</v>
      </c>
      <c r="D146" s="60">
        <v>1</v>
      </c>
      <c r="E146" s="59">
        <v>0.9</v>
      </c>
      <c r="F146" s="78">
        <v>0.9</v>
      </c>
      <c r="G146" s="69"/>
      <c r="H146" s="78">
        <f t="shared" si="1"/>
        <v>0.81</v>
      </c>
      <c r="I146" s="57"/>
      <c r="J146" s="68"/>
    </row>
    <row r="147" spans="1:10" ht="15" customHeight="1">
      <c r="A147" s="829"/>
      <c r="B147" s="65" t="s">
        <v>141</v>
      </c>
      <c r="C147" s="75" t="s">
        <v>108</v>
      </c>
      <c r="D147" s="60">
        <v>-1</v>
      </c>
      <c r="E147" s="59">
        <v>0.6</v>
      </c>
      <c r="F147" s="78">
        <v>0.6</v>
      </c>
      <c r="G147" s="69"/>
      <c r="H147" s="78">
        <f t="shared" si="1"/>
        <v>-0.36</v>
      </c>
      <c r="I147" s="57"/>
      <c r="J147" s="68"/>
    </row>
    <row r="148" spans="1:10" ht="15" customHeight="1">
      <c r="A148" s="829"/>
      <c r="B148" s="65" t="s">
        <v>175</v>
      </c>
      <c r="C148" s="75"/>
      <c r="D148" s="60">
        <v>4</v>
      </c>
      <c r="E148" s="59">
        <v>0.6</v>
      </c>
      <c r="F148" s="78"/>
      <c r="G148" s="69">
        <v>0.1</v>
      </c>
      <c r="H148" s="78">
        <f t="shared" si="1"/>
        <v>0.24</v>
      </c>
      <c r="I148" s="57"/>
      <c r="J148" s="68"/>
    </row>
    <row r="149" spans="1:10" ht="15" customHeight="1">
      <c r="A149" s="829"/>
      <c r="B149" s="65" t="s">
        <v>179</v>
      </c>
      <c r="C149" s="75" t="s">
        <v>108</v>
      </c>
      <c r="D149" s="60">
        <v>1</v>
      </c>
      <c r="E149" s="59">
        <v>0.9</v>
      </c>
      <c r="F149" s="78">
        <v>0.9</v>
      </c>
      <c r="G149" s="69"/>
      <c r="H149" s="78">
        <f t="shared" si="1"/>
        <v>0.81</v>
      </c>
      <c r="I149" s="57"/>
      <c r="J149" s="68"/>
    </row>
    <row r="150" spans="1:10" ht="15" customHeight="1">
      <c r="A150" s="831"/>
      <c r="B150" s="100" t="s">
        <v>146</v>
      </c>
      <c r="C150" s="98"/>
      <c r="D150" s="60"/>
      <c r="E150" s="59"/>
      <c r="F150" s="78"/>
      <c r="G150" s="69"/>
      <c r="H150" s="78"/>
      <c r="I150" s="57"/>
      <c r="J150" s="68"/>
    </row>
    <row r="151" spans="1:10" ht="15" customHeight="1">
      <c r="A151" s="831"/>
      <c r="B151" s="99" t="s">
        <v>178</v>
      </c>
      <c r="C151" s="98" t="s">
        <v>108</v>
      </c>
      <c r="D151" s="60">
        <v>1</v>
      </c>
      <c r="E151" s="59">
        <v>0.9</v>
      </c>
      <c r="F151" s="78">
        <v>1</v>
      </c>
      <c r="G151" s="69"/>
      <c r="H151" s="78">
        <f t="shared" ref="H151:H156" si="2">+PRODUCT(D151:G151)</f>
        <v>0.9</v>
      </c>
      <c r="I151" s="57"/>
      <c r="J151" s="68"/>
    </row>
    <row r="152" spans="1:10" ht="15" customHeight="1">
      <c r="A152" s="829"/>
      <c r="B152" s="65" t="s">
        <v>177</v>
      </c>
      <c r="C152" s="75" t="s">
        <v>108</v>
      </c>
      <c r="D152" s="60">
        <v>1</v>
      </c>
      <c r="E152" s="59">
        <v>2</v>
      </c>
      <c r="F152" s="78">
        <v>1</v>
      </c>
      <c r="G152" s="69"/>
      <c r="H152" s="78">
        <f t="shared" si="2"/>
        <v>2</v>
      </c>
      <c r="I152" s="57"/>
      <c r="J152" s="68"/>
    </row>
    <row r="153" spans="1:10" ht="15" customHeight="1">
      <c r="A153" s="829"/>
      <c r="B153" s="62"/>
      <c r="C153" s="75" t="s">
        <v>108</v>
      </c>
      <c r="D153" s="60">
        <v>1</v>
      </c>
      <c r="E153" s="59">
        <v>2</v>
      </c>
      <c r="F153" s="78">
        <v>1</v>
      </c>
      <c r="G153" s="69"/>
      <c r="H153" s="78">
        <f t="shared" si="2"/>
        <v>2</v>
      </c>
      <c r="I153" s="57"/>
      <c r="J153" s="68"/>
    </row>
    <row r="154" spans="1:10" ht="15" customHeight="1">
      <c r="A154" s="829"/>
      <c r="B154" s="65" t="s">
        <v>176</v>
      </c>
      <c r="C154" s="75"/>
      <c r="D154" s="60">
        <v>1</v>
      </c>
      <c r="E154" s="59" t="s">
        <v>61</v>
      </c>
      <c r="F154" s="78">
        <v>3.97</v>
      </c>
      <c r="G154" s="69"/>
      <c r="H154" s="78">
        <f t="shared" si="2"/>
        <v>3.97</v>
      </c>
      <c r="I154" s="57"/>
      <c r="J154" s="68"/>
    </row>
    <row r="155" spans="1:10" ht="15" customHeight="1">
      <c r="A155" s="829"/>
      <c r="B155" s="65" t="s">
        <v>141</v>
      </c>
      <c r="C155" s="75" t="s">
        <v>108</v>
      </c>
      <c r="D155" s="60">
        <v>-1</v>
      </c>
      <c r="E155" s="59">
        <v>0.6</v>
      </c>
      <c r="F155" s="78">
        <v>0.6</v>
      </c>
      <c r="G155" s="69"/>
      <c r="H155" s="78">
        <f t="shared" si="2"/>
        <v>-0.36</v>
      </c>
      <c r="I155" s="57"/>
      <c r="J155" s="68"/>
    </row>
    <row r="156" spans="1:10" ht="15" customHeight="1">
      <c r="A156" s="829"/>
      <c r="B156" s="65" t="s">
        <v>175</v>
      </c>
      <c r="C156" s="75"/>
      <c r="D156" s="60">
        <v>4</v>
      </c>
      <c r="E156" s="59">
        <v>0.6</v>
      </c>
      <c r="F156" s="78"/>
      <c r="G156" s="69">
        <v>0.15</v>
      </c>
      <c r="H156" s="78">
        <f t="shared" si="2"/>
        <v>0.36</v>
      </c>
      <c r="I156" s="57"/>
      <c r="J156" s="68"/>
    </row>
    <row r="157" spans="1:10" ht="15" customHeight="1">
      <c r="A157" s="829"/>
      <c r="B157" s="62"/>
      <c r="C157" s="75" t="s">
        <v>108</v>
      </c>
      <c r="D157" s="60"/>
      <c r="E157" s="59"/>
      <c r="F157" s="78"/>
      <c r="G157" s="69"/>
      <c r="H157" s="78"/>
      <c r="I157" s="57"/>
      <c r="J157" s="68"/>
    </row>
    <row r="158" spans="1:10" ht="15" customHeight="1">
      <c r="A158" s="826" t="str">
        <f>A$141 &amp; ".02"</f>
        <v>01.02.02.01.02</v>
      </c>
      <c r="B158" s="85" t="s">
        <v>174</v>
      </c>
      <c r="C158" s="89" t="s">
        <v>55</v>
      </c>
      <c r="D158" s="84"/>
      <c r="E158" s="91"/>
      <c r="F158" s="84"/>
      <c r="G158" s="89"/>
      <c r="H158" s="84"/>
      <c r="I158" s="57">
        <f>SUM(H159:H183)</f>
        <v>17.609500000000001</v>
      </c>
      <c r="J158" s="68"/>
    </row>
    <row r="159" spans="1:10" ht="15" customHeight="1">
      <c r="A159" s="826"/>
      <c r="B159" s="93" t="s">
        <v>146</v>
      </c>
      <c r="C159" s="89"/>
      <c r="D159" s="84"/>
      <c r="E159" s="91"/>
      <c r="F159" s="84"/>
      <c r="G159" s="89"/>
      <c r="H159" s="84"/>
      <c r="I159" s="57"/>
      <c r="J159" s="68"/>
    </row>
    <row r="160" spans="1:10" ht="15" customHeight="1">
      <c r="A160" s="829"/>
      <c r="B160" s="65" t="s">
        <v>173</v>
      </c>
      <c r="C160" s="75" t="s">
        <v>108</v>
      </c>
      <c r="D160" s="60">
        <v>2</v>
      </c>
      <c r="E160" s="59">
        <v>2</v>
      </c>
      <c r="F160" s="78"/>
      <c r="G160" s="69">
        <v>1</v>
      </c>
      <c r="H160" s="78">
        <f>+PRODUCT(D160:G160)</f>
        <v>4</v>
      </c>
      <c r="I160" s="57"/>
      <c r="J160" s="68"/>
    </row>
    <row r="161" spans="1:10" ht="15" customHeight="1">
      <c r="A161" s="829"/>
      <c r="B161" s="65" t="s">
        <v>172</v>
      </c>
      <c r="C161" s="75" t="s">
        <v>108</v>
      </c>
      <c r="D161" s="60">
        <v>1</v>
      </c>
      <c r="E161" s="59" t="s">
        <v>61</v>
      </c>
      <c r="F161" s="78">
        <v>3.97</v>
      </c>
      <c r="G161" s="69"/>
      <c r="H161" s="78">
        <f>+PRODUCT(D161:G161)</f>
        <v>3.97</v>
      </c>
      <c r="I161" s="57"/>
      <c r="J161" s="68"/>
    </row>
    <row r="162" spans="1:10" ht="15" customHeight="1">
      <c r="A162" s="829"/>
      <c r="B162" s="65" t="s">
        <v>141</v>
      </c>
      <c r="C162" s="75" t="s">
        <v>108</v>
      </c>
      <c r="D162" s="60">
        <v>-1</v>
      </c>
      <c r="E162" s="59">
        <v>0.6</v>
      </c>
      <c r="F162" s="78">
        <v>0.6</v>
      </c>
      <c r="G162" s="69"/>
      <c r="H162" s="78">
        <f>+PRODUCT(D162:G162)</f>
        <v>-0.36</v>
      </c>
      <c r="I162" s="57"/>
      <c r="J162" s="68"/>
    </row>
    <row r="163" spans="1:10" ht="15" customHeight="1">
      <c r="A163" s="829"/>
      <c r="B163" s="65" t="s">
        <v>168</v>
      </c>
      <c r="C163" s="75"/>
      <c r="D163" s="60">
        <v>2</v>
      </c>
      <c r="E163" s="59">
        <v>2</v>
      </c>
      <c r="F163" s="78"/>
      <c r="G163" s="69">
        <v>0.15</v>
      </c>
      <c r="H163" s="78">
        <f>+PRODUCT(D163:G163)</f>
        <v>0.6</v>
      </c>
      <c r="I163" s="57"/>
      <c r="J163" s="68"/>
    </row>
    <row r="164" spans="1:10" ht="15" customHeight="1">
      <c r="A164" s="829"/>
      <c r="B164" s="65"/>
      <c r="C164" s="75"/>
      <c r="D164" s="60">
        <v>1</v>
      </c>
      <c r="E164" s="59">
        <v>4.03</v>
      </c>
      <c r="F164" s="78"/>
      <c r="G164" s="69">
        <v>0.15</v>
      </c>
      <c r="H164" s="78">
        <f>+PRODUCT(D164:G164)</f>
        <v>0.60450000000000004</v>
      </c>
      <c r="I164" s="57"/>
      <c r="J164" s="68"/>
    </row>
    <row r="165" spans="1:10" ht="15" customHeight="1">
      <c r="A165" s="829"/>
      <c r="B165" s="92" t="s">
        <v>145</v>
      </c>
      <c r="C165" s="75" t="s">
        <v>108</v>
      </c>
      <c r="D165" s="60"/>
      <c r="E165" s="59"/>
      <c r="F165" s="78"/>
      <c r="G165" s="69"/>
      <c r="H165" s="78"/>
      <c r="I165" s="57"/>
      <c r="J165" s="68"/>
    </row>
    <row r="166" spans="1:10" ht="15" customHeight="1">
      <c r="A166" s="829"/>
      <c r="B166" s="65" t="s">
        <v>171</v>
      </c>
      <c r="C166" s="75" t="s">
        <v>108</v>
      </c>
      <c r="D166" s="60">
        <v>2</v>
      </c>
      <c r="E166" s="59">
        <v>1.2</v>
      </c>
      <c r="F166" s="78">
        <v>0.95</v>
      </c>
      <c r="G166" s="69"/>
      <c r="H166" s="78">
        <f>+PRODUCT(D166:G166)</f>
        <v>2.2799999999999998</v>
      </c>
      <c r="I166" s="57"/>
      <c r="J166" s="68"/>
    </row>
    <row r="167" spans="1:10" ht="15" customHeight="1">
      <c r="A167" s="829"/>
      <c r="B167" s="65" t="s">
        <v>170</v>
      </c>
      <c r="C167" s="75" t="s">
        <v>108</v>
      </c>
      <c r="D167" s="60">
        <v>1</v>
      </c>
      <c r="E167" s="59">
        <v>1.2</v>
      </c>
      <c r="F167" s="78">
        <v>0.95</v>
      </c>
      <c r="G167" s="69"/>
      <c r="H167" s="78">
        <f>+PRODUCT(D167:G167)</f>
        <v>1.1399999999999999</v>
      </c>
      <c r="I167" s="57"/>
      <c r="J167" s="68"/>
    </row>
    <row r="168" spans="1:10" ht="15" customHeight="1">
      <c r="A168" s="829"/>
      <c r="B168" s="65" t="s">
        <v>169</v>
      </c>
      <c r="C168" s="75" t="s">
        <v>108</v>
      </c>
      <c r="D168" s="60">
        <v>1</v>
      </c>
      <c r="E168" s="59">
        <v>1.2</v>
      </c>
      <c r="F168" s="78">
        <v>1.2</v>
      </c>
      <c r="G168" s="69"/>
      <c r="H168" s="78">
        <f>+PRODUCT(D168:G168)</f>
        <v>1.44</v>
      </c>
      <c r="I168" s="57"/>
      <c r="J168" s="68"/>
    </row>
    <row r="169" spans="1:10" ht="15" customHeight="1">
      <c r="A169" s="829"/>
      <c r="B169" s="65" t="s">
        <v>141</v>
      </c>
      <c r="C169" s="75" t="s">
        <v>108</v>
      </c>
      <c r="D169" s="60">
        <v>-1</v>
      </c>
      <c r="E169" s="59">
        <v>0.6</v>
      </c>
      <c r="F169" s="78">
        <v>0.6</v>
      </c>
      <c r="G169" s="69"/>
      <c r="H169" s="78">
        <f>+PRODUCT(D169:G169)</f>
        <v>-0.36</v>
      </c>
      <c r="I169" s="57"/>
      <c r="J169" s="68"/>
    </row>
    <row r="170" spans="1:10" ht="15" customHeight="1">
      <c r="A170" s="829"/>
      <c r="B170" s="65" t="s">
        <v>168</v>
      </c>
      <c r="C170" s="75" t="s">
        <v>108</v>
      </c>
      <c r="D170" s="60">
        <v>3</v>
      </c>
      <c r="E170" s="59">
        <v>1.2</v>
      </c>
      <c r="F170" s="78"/>
      <c r="G170" s="69">
        <v>0.1</v>
      </c>
      <c r="H170" s="78">
        <f>+PRODUCT(D170:G170)</f>
        <v>0.36</v>
      </c>
      <c r="I170" s="57"/>
      <c r="J170" s="68"/>
    </row>
    <row r="171" spans="1:10" ht="15" customHeight="1">
      <c r="A171" s="829"/>
      <c r="B171" s="92" t="s">
        <v>144</v>
      </c>
      <c r="C171" s="75"/>
      <c r="D171" s="60"/>
      <c r="E171" s="59"/>
      <c r="F171" s="78"/>
      <c r="G171" s="69"/>
      <c r="H171" s="78"/>
      <c r="I171" s="57"/>
      <c r="J171" s="68"/>
    </row>
    <row r="172" spans="1:10" ht="15" customHeight="1">
      <c r="A172" s="829"/>
      <c r="B172" s="65" t="s">
        <v>167</v>
      </c>
      <c r="C172" s="75" t="s">
        <v>108</v>
      </c>
      <c r="D172" s="60">
        <v>1</v>
      </c>
      <c r="E172" s="59">
        <v>0.65</v>
      </c>
      <c r="F172" s="78">
        <v>0.65</v>
      </c>
      <c r="G172" s="69"/>
      <c r="H172" s="78">
        <f t="shared" ref="H172:H183" si="3">+PRODUCT(D172:G172)</f>
        <v>0.42250000000000004</v>
      </c>
      <c r="I172" s="57"/>
      <c r="J172" s="68"/>
    </row>
    <row r="173" spans="1:10" ht="15" customHeight="1">
      <c r="A173" s="829"/>
      <c r="B173" s="65" t="s">
        <v>166</v>
      </c>
      <c r="C173" s="75" t="s">
        <v>108</v>
      </c>
      <c r="D173" s="60">
        <v>-1</v>
      </c>
      <c r="E173" s="59">
        <v>0.15</v>
      </c>
      <c r="F173" s="78">
        <v>0.15</v>
      </c>
      <c r="G173" s="69"/>
      <c r="H173" s="78">
        <f t="shared" si="3"/>
        <v>-2.2499999999999999E-2</v>
      </c>
      <c r="I173" s="57"/>
      <c r="J173" s="68"/>
    </row>
    <row r="174" spans="1:10" ht="15" customHeight="1">
      <c r="A174" s="829"/>
      <c r="B174" s="65" t="s">
        <v>165</v>
      </c>
      <c r="C174" s="75" t="s">
        <v>108</v>
      </c>
      <c r="D174" s="60">
        <v>4</v>
      </c>
      <c r="E174" s="59">
        <v>0.65</v>
      </c>
      <c r="F174" s="78">
        <v>0.5</v>
      </c>
      <c r="G174" s="69"/>
      <c r="H174" s="78">
        <f t="shared" si="3"/>
        <v>1.3</v>
      </c>
      <c r="I174" s="57"/>
      <c r="J174" s="68"/>
    </row>
    <row r="175" spans="1:10" ht="15" customHeight="1">
      <c r="A175" s="829"/>
      <c r="B175" s="65" t="s">
        <v>164</v>
      </c>
      <c r="C175" s="75" t="s">
        <v>108</v>
      </c>
      <c r="D175" s="60">
        <v>1</v>
      </c>
      <c r="E175" s="59">
        <v>0.65</v>
      </c>
      <c r="F175" s="78">
        <v>0.65</v>
      </c>
      <c r="G175" s="69"/>
      <c r="H175" s="78">
        <f t="shared" si="3"/>
        <v>0.42250000000000004</v>
      </c>
      <c r="I175" s="57"/>
      <c r="J175" s="68"/>
    </row>
    <row r="176" spans="1:10" ht="15" customHeight="1">
      <c r="A176" s="829"/>
      <c r="B176" s="65" t="s">
        <v>163</v>
      </c>
      <c r="C176" s="75"/>
      <c r="D176" s="60">
        <v>1</v>
      </c>
      <c r="E176" s="59">
        <v>0.65</v>
      </c>
      <c r="F176" s="78">
        <v>0.65</v>
      </c>
      <c r="G176" s="69"/>
      <c r="H176" s="78">
        <f t="shared" si="3"/>
        <v>0.42250000000000004</v>
      </c>
      <c r="I176" s="57"/>
      <c r="J176" s="68"/>
    </row>
    <row r="177" spans="1:10" ht="15" customHeight="1">
      <c r="A177" s="829"/>
      <c r="B177" s="65" t="s">
        <v>141</v>
      </c>
      <c r="C177" s="75" t="s">
        <v>108</v>
      </c>
      <c r="D177" s="60">
        <v>-1</v>
      </c>
      <c r="E177" s="59">
        <v>0.5</v>
      </c>
      <c r="F177" s="78">
        <v>0.4</v>
      </c>
      <c r="G177" s="69"/>
      <c r="H177" s="78">
        <f t="shared" si="3"/>
        <v>-0.2</v>
      </c>
      <c r="I177" s="57"/>
      <c r="J177" s="68"/>
    </row>
    <row r="178" spans="1:10" ht="15" customHeight="1">
      <c r="A178" s="829"/>
      <c r="B178" s="65" t="s">
        <v>162</v>
      </c>
      <c r="C178" s="75" t="s">
        <v>108</v>
      </c>
      <c r="D178" s="60">
        <v>2</v>
      </c>
      <c r="E178" s="59">
        <v>0.5</v>
      </c>
      <c r="F178" s="78"/>
      <c r="G178" s="69">
        <v>0.1</v>
      </c>
      <c r="H178" s="78">
        <f t="shared" si="3"/>
        <v>0.1</v>
      </c>
      <c r="I178" s="57"/>
      <c r="J178" s="68"/>
    </row>
    <row r="179" spans="1:10" ht="15" customHeight="1">
      <c r="A179" s="829"/>
      <c r="B179" s="65"/>
      <c r="C179" s="75"/>
      <c r="D179" s="60">
        <v>2</v>
      </c>
      <c r="E179" s="59">
        <v>0.4</v>
      </c>
      <c r="F179" s="78"/>
      <c r="G179" s="69">
        <v>0.1</v>
      </c>
      <c r="H179" s="78">
        <f t="shared" si="3"/>
        <v>8.0000000000000016E-2</v>
      </c>
      <c r="I179" s="57"/>
      <c r="J179" s="68"/>
    </row>
    <row r="180" spans="1:10" ht="15" customHeight="1">
      <c r="A180" s="829"/>
      <c r="B180" s="65" t="s">
        <v>161</v>
      </c>
      <c r="C180" s="75" t="s">
        <v>108</v>
      </c>
      <c r="D180" s="60">
        <v>2</v>
      </c>
      <c r="E180" s="59">
        <v>0.75</v>
      </c>
      <c r="F180" s="78"/>
      <c r="G180" s="69">
        <v>0.1</v>
      </c>
      <c r="H180" s="78">
        <f t="shared" si="3"/>
        <v>0.15000000000000002</v>
      </c>
      <c r="I180" s="57"/>
      <c r="J180" s="68"/>
    </row>
    <row r="181" spans="1:10" ht="15" customHeight="1">
      <c r="A181" s="829"/>
      <c r="B181" s="65"/>
      <c r="C181" s="75"/>
      <c r="D181" s="60">
        <v>1</v>
      </c>
      <c r="E181" s="59">
        <v>0.85</v>
      </c>
      <c r="F181" s="78"/>
      <c r="G181" s="69">
        <v>0.1</v>
      </c>
      <c r="H181" s="78">
        <f t="shared" si="3"/>
        <v>8.5000000000000006E-2</v>
      </c>
      <c r="I181" s="57"/>
      <c r="J181" s="68"/>
    </row>
    <row r="182" spans="1:10" ht="15" customHeight="1">
      <c r="A182" s="829"/>
      <c r="B182" s="65" t="s">
        <v>160</v>
      </c>
      <c r="C182" s="75" t="s">
        <v>108</v>
      </c>
      <c r="D182" s="60">
        <v>2</v>
      </c>
      <c r="E182" s="59">
        <v>0.75</v>
      </c>
      <c r="F182" s="78"/>
      <c r="G182" s="69">
        <v>0.5</v>
      </c>
      <c r="H182" s="78">
        <f t="shared" si="3"/>
        <v>0.75</v>
      </c>
      <c r="I182" s="57"/>
      <c r="J182" s="68"/>
    </row>
    <row r="183" spans="1:10" ht="15" customHeight="1">
      <c r="A183" s="829"/>
      <c r="B183" s="65" t="s">
        <v>159</v>
      </c>
      <c r="C183" s="75" t="s">
        <v>108</v>
      </c>
      <c r="D183" s="60">
        <v>1</v>
      </c>
      <c r="E183" s="59">
        <v>0.85</v>
      </c>
      <c r="F183" s="78"/>
      <c r="G183" s="69">
        <v>0.5</v>
      </c>
      <c r="H183" s="78">
        <f t="shared" si="3"/>
        <v>0.42499999999999999</v>
      </c>
      <c r="I183" s="57"/>
      <c r="J183" s="68"/>
    </row>
    <row r="184" spans="1:10" ht="15" customHeight="1">
      <c r="A184" s="829"/>
      <c r="B184" s="62"/>
      <c r="C184" s="75"/>
      <c r="D184" s="60"/>
      <c r="E184" s="59"/>
      <c r="F184" s="78"/>
      <c r="G184" s="69"/>
      <c r="H184" s="78"/>
      <c r="I184" s="57"/>
      <c r="J184" s="68"/>
    </row>
    <row r="185" spans="1:10" ht="15" customHeight="1">
      <c r="A185" s="826" t="str">
        <f>A$141 &amp; ".03"</f>
        <v>01.02.02.01.03</v>
      </c>
      <c r="B185" s="62" t="s">
        <v>158</v>
      </c>
      <c r="C185" s="75" t="s">
        <v>55</v>
      </c>
      <c r="D185" s="60"/>
      <c r="E185" s="59"/>
      <c r="F185" s="78"/>
      <c r="G185" s="69"/>
      <c r="H185" s="78"/>
      <c r="I185" s="57">
        <f>SUM(H186)</f>
        <v>0.81</v>
      </c>
      <c r="J185" s="68"/>
    </row>
    <row r="186" spans="1:10" ht="15" customHeight="1">
      <c r="A186" s="826"/>
      <c r="B186" s="65" t="s">
        <v>157</v>
      </c>
      <c r="C186" s="75"/>
      <c r="D186" s="60">
        <v>1</v>
      </c>
      <c r="E186" s="59">
        <v>0.9</v>
      </c>
      <c r="F186" s="78">
        <v>0.9</v>
      </c>
      <c r="G186" s="69"/>
      <c r="H186" s="78">
        <f>+PRODUCT(D186:G186)</f>
        <v>0.81</v>
      </c>
      <c r="I186" s="57"/>
      <c r="J186" s="68"/>
    </row>
    <row r="187" spans="1:10" ht="15" customHeight="1">
      <c r="A187" s="829"/>
      <c r="B187" s="62"/>
      <c r="C187" s="75"/>
      <c r="D187" s="60"/>
      <c r="E187" s="59"/>
      <c r="F187" s="78"/>
      <c r="G187" s="69"/>
      <c r="H187" s="78"/>
      <c r="I187" s="57"/>
      <c r="J187" s="68"/>
    </row>
    <row r="188" spans="1:10" ht="15" customHeight="1">
      <c r="A188" s="825" t="str">
        <f>A$140 &amp; ".02"</f>
        <v>01.02.02.02</v>
      </c>
      <c r="B188" s="63" t="s">
        <v>156</v>
      </c>
      <c r="C188" s="59" t="s">
        <v>108</v>
      </c>
      <c r="D188" s="60"/>
      <c r="E188" s="59"/>
      <c r="F188" s="78"/>
      <c r="G188" s="69"/>
      <c r="H188" s="78"/>
      <c r="I188" s="69"/>
      <c r="J188" s="68"/>
    </row>
    <row r="189" spans="1:10" ht="15" customHeight="1">
      <c r="A189" s="826" t="str">
        <f>A$188 &amp; ".01"</f>
        <v>01.02.02.02.01</v>
      </c>
      <c r="B189" s="85" t="s">
        <v>155</v>
      </c>
      <c r="C189" s="89" t="s">
        <v>93</v>
      </c>
      <c r="D189" s="84"/>
      <c r="E189" s="91"/>
      <c r="F189" s="84"/>
      <c r="G189" s="89"/>
      <c r="H189" s="84"/>
      <c r="I189" s="57">
        <f>+H190</f>
        <v>0.52800000000000002</v>
      </c>
      <c r="J189" s="68"/>
    </row>
    <row r="190" spans="1:10" ht="15" customHeight="1">
      <c r="A190" s="829"/>
      <c r="B190" s="62"/>
      <c r="C190" s="75" t="s">
        <v>108</v>
      </c>
      <c r="D190" s="60">
        <v>1</v>
      </c>
      <c r="E190" s="59" t="s">
        <v>47</v>
      </c>
      <c r="F190" s="60">
        <v>0.22</v>
      </c>
      <c r="G190" s="69">
        <v>2.4</v>
      </c>
      <c r="H190" s="78">
        <f>+PRODUCT(D190:G190)</f>
        <v>0.52800000000000002</v>
      </c>
      <c r="I190" s="57"/>
      <c r="J190" s="68"/>
    </row>
    <row r="191" spans="1:10" ht="15" customHeight="1">
      <c r="A191" s="829"/>
      <c r="B191" s="63"/>
      <c r="C191" s="75" t="s">
        <v>108</v>
      </c>
      <c r="D191" s="60"/>
      <c r="E191" s="59"/>
      <c r="F191" s="60"/>
      <c r="G191" s="69"/>
      <c r="H191" s="78"/>
      <c r="I191" s="57"/>
      <c r="J191" s="68"/>
    </row>
    <row r="192" spans="1:10" ht="15" customHeight="1">
      <c r="A192" s="826" t="str">
        <f>A$188 &amp; ".02"</f>
        <v>01.02.02.02.02</v>
      </c>
      <c r="B192" s="85" t="s">
        <v>154</v>
      </c>
      <c r="C192" s="89" t="s">
        <v>93</v>
      </c>
      <c r="D192" s="84"/>
      <c r="E192" s="91"/>
      <c r="F192" s="84"/>
      <c r="G192" s="89"/>
      <c r="H192" s="84"/>
      <c r="I192" s="57">
        <f>+H193</f>
        <v>0.57599999999999996</v>
      </c>
      <c r="J192" s="68"/>
    </row>
    <row r="193" spans="1:10" ht="15" customHeight="1">
      <c r="A193" s="829"/>
      <c r="B193" s="62"/>
      <c r="C193" s="75" t="s">
        <v>108</v>
      </c>
      <c r="D193" s="60">
        <v>1</v>
      </c>
      <c r="E193" s="59" t="s">
        <v>47</v>
      </c>
      <c r="F193" s="60">
        <v>0.24</v>
      </c>
      <c r="G193" s="69">
        <v>2.4</v>
      </c>
      <c r="H193" s="78">
        <f>+PRODUCT(D193:G193)</f>
        <v>0.57599999999999996</v>
      </c>
      <c r="I193" s="57"/>
      <c r="J193" s="68"/>
    </row>
    <row r="194" spans="1:10" ht="15" customHeight="1">
      <c r="A194" s="829"/>
      <c r="B194" s="62"/>
      <c r="C194" s="75"/>
      <c r="D194" s="60"/>
      <c r="E194" s="59"/>
      <c r="F194" s="60"/>
      <c r="G194" s="69"/>
      <c r="H194" s="78"/>
      <c r="I194" s="57"/>
      <c r="J194" s="68"/>
    </row>
    <row r="195" spans="1:10" ht="15" customHeight="1">
      <c r="A195" s="826" t="str">
        <f>A$188 &amp; ".03"</f>
        <v>01.02.02.02.03</v>
      </c>
      <c r="B195" s="85" t="s">
        <v>153</v>
      </c>
      <c r="C195" s="75" t="s">
        <v>93</v>
      </c>
      <c r="D195" s="60"/>
      <c r="E195" s="59"/>
      <c r="F195" s="60"/>
      <c r="G195" s="69"/>
      <c r="H195" s="78"/>
      <c r="I195" s="57">
        <f>+H196</f>
        <v>0.312</v>
      </c>
      <c r="J195" s="68"/>
    </row>
    <row r="196" spans="1:10" ht="15" customHeight="1">
      <c r="A196" s="829"/>
      <c r="B196" s="62"/>
      <c r="C196" s="75"/>
      <c r="D196" s="60">
        <v>1</v>
      </c>
      <c r="E196" s="59" t="s">
        <v>152</v>
      </c>
      <c r="F196" s="60">
        <v>0.13</v>
      </c>
      <c r="G196" s="69">
        <v>2.4</v>
      </c>
      <c r="H196" s="78">
        <f>+PRODUCT(D196:G196)</f>
        <v>0.312</v>
      </c>
      <c r="I196" s="57"/>
      <c r="J196" s="68"/>
    </row>
    <row r="197" spans="1:10" ht="15" customHeight="1">
      <c r="A197" s="829"/>
      <c r="B197" s="63"/>
      <c r="C197" s="75" t="s">
        <v>108</v>
      </c>
      <c r="D197" s="60"/>
      <c r="E197" s="59"/>
      <c r="F197" s="78"/>
      <c r="G197" s="69"/>
      <c r="H197" s="78"/>
      <c r="I197" s="57"/>
      <c r="J197" s="68"/>
    </row>
    <row r="198" spans="1:10" ht="12" customHeight="1">
      <c r="A198" s="825" t="str">
        <f>A$140 &amp; ".03"</f>
        <v>01.02.02.03</v>
      </c>
      <c r="B198" s="63" t="s">
        <v>1038</v>
      </c>
      <c r="C198" s="59" t="s">
        <v>108</v>
      </c>
      <c r="D198" s="60"/>
      <c r="E198" s="59"/>
      <c r="F198" s="78"/>
      <c r="G198" s="69"/>
      <c r="H198" s="78"/>
      <c r="I198" s="69"/>
      <c r="J198" s="68"/>
    </row>
    <row r="199" spans="1:10" ht="15" customHeight="1">
      <c r="A199" s="832" t="str">
        <f>A$198 &amp; ".01"</f>
        <v>01.02.02.03.01</v>
      </c>
      <c r="B199" s="97" t="s">
        <v>150</v>
      </c>
      <c r="C199" s="89" t="s">
        <v>58</v>
      </c>
      <c r="D199" s="84"/>
      <c r="E199" s="91"/>
      <c r="F199" s="84"/>
      <c r="G199" s="89"/>
      <c r="H199" s="84"/>
      <c r="I199" s="57">
        <f>H200</f>
        <v>2</v>
      </c>
      <c r="J199" s="68"/>
    </row>
    <row r="200" spans="1:10" ht="15.75" customHeight="1">
      <c r="A200" s="833"/>
      <c r="B200" s="94"/>
      <c r="C200" s="59"/>
      <c r="D200" s="84">
        <v>2</v>
      </c>
      <c r="E200" s="89"/>
      <c r="F200" s="84"/>
      <c r="G200" s="89"/>
      <c r="H200" s="78">
        <v>2</v>
      </c>
      <c r="I200" s="96"/>
      <c r="J200" s="68"/>
    </row>
    <row r="201" spans="1:10" ht="15.75" customHeight="1">
      <c r="A201" s="833"/>
      <c r="B201" s="94"/>
      <c r="C201" s="59"/>
      <c r="D201" s="84"/>
      <c r="E201" s="89"/>
      <c r="F201" s="84"/>
      <c r="G201" s="89"/>
      <c r="H201" s="78"/>
      <c r="I201" s="96"/>
      <c r="J201" s="68"/>
    </row>
    <row r="202" spans="1:10" ht="15.75" customHeight="1">
      <c r="A202" s="832" t="str">
        <f>A$198 &amp; ".02"</f>
        <v>01.02.02.03.02</v>
      </c>
      <c r="B202" s="95" t="s">
        <v>149</v>
      </c>
      <c r="C202" s="89" t="s">
        <v>58</v>
      </c>
      <c r="D202" s="84"/>
      <c r="E202" s="91"/>
      <c r="F202" s="84"/>
      <c r="G202" s="89"/>
      <c r="H202" s="78"/>
      <c r="I202" s="57">
        <f>H203</f>
        <v>1</v>
      </c>
      <c r="J202" s="68"/>
    </row>
    <row r="203" spans="1:10" ht="15" customHeight="1">
      <c r="A203" s="829"/>
      <c r="B203" s="94"/>
      <c r="C203" s="59"/>
      <c r="D203" s="84">
        <v>1</v>
      </c>
      <c r="E203" s="89"/>
      <c r="F203" s="84"/>
      <c r="G203" s="89"/>
      <c r="H203" s="78">
        <v>1</v>
      </c>
      <c r="I203" s="91"/>
      <c r="J203" s="68"/>
    </row>
    <row r="204" spans="1:10" ht="15" customHeight="1">
      <c r="A204" s="825" t="str">
        <f>A$140 &amp; ".04"</f>
        <v>01.02.02.04</v>
      </c>
      <c r="B204" s="63" t="s">
        <v>148</v>
      </c>
      <c r="C204" s="59" t="s">
        <v>108</v>
      </c>
      <c r="D204" s="60"/>
      <c r="E204" s="59"/>
      <c r="F204" s="78"/>
      <c r="G204" s="69"/>
      <c r="H204" s="78"/>
      <c r="I204" s="69"/>
      <c r="J204" s="68"/>
    </row>
    <row r="205" spans="1:10" ht="15" customHeight="1">
      <c r="A205" s="832" t="str">
        <f>A$204 &amp; ".01"</f>
        <v>01.02.02.04.01</v>
      </c>
      <c r="B205" s="85" t="s">
        <v>147</v>
      </c>
      <c r="C205" s="89" t="s">
        <v>55</v>
      </c>
      <c r="D205" s="84"/>
      <c r="E205" s="91"/>
      <c r="F205" s="84"/>
      <c r="G205" s="89"/>
      <c r="H205" s="84"/>
      <c r="I205" s="57">
        <f>SUM(H206:H224)</f>
        <v>10.936000000000002</v>
      </c>
      <c r="J205" s="68"/>
    </row>
    <row r="206" spans="1:10" ht="15" customHeight="1">
      <c r="A206" s="829"/>
      <c r="B206" s="93" t="s">
        <v>146</v>
      </c>
      <c r="C206" s="75" t="s">
        <v>108</v>
      </c>
      <c r="D206" s="60"/>
      <c r="E206" s="59"/>
      <c r="F206" s="78"/>
      <c r="G206" s="69"/>
      <c r="H206" s="78"/>
      <c r="I206" s="57"/>
      <c r="J206" s="68"/>
    </row>
    <row r="207" spans="1:10" ht="15" customHeight="1">
      <c r="A207" s="829"/>
      <c r="B207" s="65" t="s">
        <v>143</v>
      </c>
      <c r="C207" s="75" t="s">
        <v>108</v>
      </c>
      <c r="D207" s="60">
        <v>1</v>
      </c>
      <c r="E207" s="59">
        <v>2.4</v>
      </c>
      <c r="F207" s="78">
        <v>1.41</v>
      </c>
      <c r="G207" s="69"/>
      <c r="H207" s="78">
        <f>+PRODUCT(D207:G207)</f>
        <v>3.3839999999999999</v>
      </c>
      <c r="I207" s="57"/>
      <c r="J207" s="68"/>
    </row>
    <row r="208" spans="1:10" ht="15" customHeight="1">
      <c r="A208" s="829"/>
      <c r="B208" s="65" t="s">
        <v>142</v>
      </c>
      <c r="C208" s="75" t="s">
        <v>108</v>
      </c>
      <c r="D208" s="60">
        <v>2</v>
      </c>
      <c r="E208" s="59">
        <v>2</v>
      </c>
      <c r="F208" s="78"/>
      <c r="G208" s="69">
        <v>0.15</v>
      </c>
      <c r="H208" s="78">
        <f>+PRODUCT(D208:G208)</f>
        <v>0.6</v>
      </c>
      <c r="I208" s="57"/>
      <c r="J208" s="68"/>
    </row>
    <row r="209" spans="1:10" ht="15" customHeight="1">
      <c r="A209" s="829"/>
      <c r="B209" s="65"/>
      <c r="C209" s="75"/>
      <c r="D209" s="60">
        <v>1</v>
      </c>
      <c r="E209" s="59">
        <v>4.03</v>
      </c>
      <c r="F209" s="78"/>
      <c r="G209" s="69">
        <v>0.15</v>
      </c>
      <c r="H209" s="78">
        <f>+PRODUCT(D209:G209)</f>
        <v>0.60450000000000004</v>
      </c>
      <c r="I209" s="57"/>
      <c r="J209" s="68"/>
    </row>
    <row r="210" spans="1:10" ht="15" customHeight="1">
      <c r="A210" s="829"/>
      <c r="B210" s="65" t="s">
        <v>141</v>
      </c>
      <c r="C210" s="75" t="s">
        <v>108</v>
      </c>
      <c r="D210" s="60">
        <v>-1</v>
      </c>
      <c r="E210" s="59">
        <v>0.6</v>
      </c>
      <c r="F210" s="78">
        <v>0.6</v>
      </c>
      <c r="G210" s="69"/>
      <c r="H210" s="78">
        <f>+PRODUCT(D210:G210)</f>
        <v>-0.36</v>
      </c>
      <c r="I210" s="57"/>
      <c r="J210" s="68"/>
    </row>
    <row r="211" spans="1:10" ht="15" customHeight="1">
      <c r="A211" s="829"/>
      <c r="B211" s="92" t="s">
        <v>145</v>
      </c>
      <c r="C211" s="75" t="s">
        <v>108</v>
      </c>
      <c r="D211" s="60"/>
      <c r="E211" s="59"/>
      <c r="F211" s="78"/>
      <c r="G211" s="69"/>
      <c r="H211" s="78"/>
      <c r="I211" s="57"/>
      <c r="J211" s="68"/>
    </row>
    <row r="212" spans="1:10" ht="15" customHeight="1">
      <c r="A212" s="829"/>
      <c r="B212" s="65" t="s">
        <v>143</v>
      </c>
      <c r="C212" s="75" t="s">
        <v>108</v>
      </c>
      <c r="D212" s="60">
        <v>1</v>
      </c>
      <c r="E212" s="59">
        <v>1.2</v>
      </c>
      <c r="F212" s="78">
        <v>1.2</v>
      </c>
      <c r="G212" s="69"/>
      <c r="H212" s="78">
        <f>+PRODUCT(D212:G212)</f>
        <v>1.44</v>
      </c>
      <c r="I212" s="57"/>
      <c r="J212" s="68"/>
    </row>
    <row r="213" spans="1:10" ht="15" customHeight="1">
      <c r="A213" s="829"/>
      <c r="B213" s="65" t="s">
        <v>142</v>
      </c>
      <c r="C213" s="75" t="s">
        <v>108</v>
      </c>
      <c r="D213" s="60">
        <v>2</v>
      </c>
      <c r="E213" s="59">
        <v>1.2</v>
      </c>
      <c r="F213" s="78"/>
      <c r="G213" s="69">
        <v>0.1</v>
      </c>
      <c r="H213" s="78">
        <f>+PRODUCT(D213:G213)</f>
        <v>0.24</v>
      </c>
      <c r="I213" s="57"/>
      <c r="J213" s="68"/>
    </row>
    <row r="214" spans="1:10" ht="15" customHeight="1">
      <c r="A214" s="829"/>
      <c r="B214" s="65"/>
      <c r="C214" s="75" t="s">
        <v>108</v>
      </c>
      <c r="D214" s="60">
        <v>1</v>
      </c>
      <c r="E214" s="59">
        <v>1.2</v>
      </c>
      <c r="F214" s="78"/>
      <c r="G214" s="69">
        <v>0.1</v>
      </c>
      <c r="H214" s="78">
        <f>+PRODUCT(D214:G214)</f>
        <v>0.12</v>
      </c>
      <c r="I214" s="57"/>
      <c r="J214" s="68"/>
    </row>
    <row r="215" spans="1:10" ht="15" customHeight="1">
      <c r="A215" s="829"/>
      <c r="B215" s="65" t="s">
        <v>141</v>
      </c>
      <c r="C215" s="75" t="s">
        <v>108</v>
      </c>
      <c r="D215" s="60">
        <v>-1</v>
      </c>
      <c r="E215" s="59">
        <v>0.6</v>
      </c>
      <c r="F215" s="78">
        <v>0.6</v>
      </c>
      <c r="G215" s="69"/>
      <c r="H215" s="78">
        <f>+PRODUCT(D215:G215)</f>
        <v>-0.36</v>
      </c>
      <c r="I215" s="57"/>
      <c r="J215" s="68"/>
    </row>
    <row r="216" spans="1:10" ht="15" customHeight="1">
      <c r="A216" s="829"/>
      <c r="B216" s="65" t="s">
        <v>140</v>
      </c>
      <c r="C216" s="75" t="s">
        <v>108</v>
      </c>
      <c r="D216" s="60">
        <v>3</v>
      </c>
      <c r="E216" s="59">
        <v>1.2</v>
      </c>
      <c r="F216" s="78"/>
      <c r="G216" s="69">
        <v>0.95</v>
      </c>
      <c r="H216" s="78">
        <f>+PRODUCT(D216:G216)</f>
        <v>3.4199999999999995</v>
      </c>
      <c r="I216" s="57"/>
      <c r="J216" s="68"/>
    </row>
    <row r="217" spans="1:10" ht="15" customHeight="1">
      <c r="A217" s="829"/>
      <c r="B217" s="92" t="s">
        <v>144</v>
      </c>
      <c r="C217" s="75" t="s">
        <v>108</v>
      </c>
      <c r="D217" s="60"/>
      <c r="E217" s="59"/>
      <c r="F217" s="78"/>
      <c r="G217" s="69"/>
      <c r="H217" s="78"/>
      <c r="I217" s="57"/>
      <c r="J217" s="68"/>
    </row>
    <row r="218" spans="1:10" ht="15" customHeight="1">
      <c r="A218" s="829"/>
      <c r="B218" s="65" t="s">
        <v>143</v>
      </c>
      <c r="C218" s="75" t="s">
        <v>108</v>
      </c>
      <c r="D218" s="60">
        <v>1</v>
      </c>
      <c r="E218" s="59">
        <v>0.85</v>
      </c>
      <c r="F218" s="78">
        <v>0.75</v>
      </c>
      <c r="G218" s="69"/>
      <c r="H218" s="78">
        <f t="shared" ref="H218:H223" si="4">+PRODUCT(D218:G218)</f>
        <v>0.63749999999999996</v>
      </c>
      <c r="I218" s="57"/>
      <c r="J218" s="68"/>
    </row>
    <row r="219" spans="1:10" ht="15" customHeight="1">
      <c r="A219" s="829"/>
      <c r="B219" s="65" t="s">
        <v>142</v>
      </c>
      <c r="C219" s="75" t="s">
        <v>108</v>
      </c>
      <c r="D219" s="60">
        <v>2</v>
      </c>
      <c r="E219" s="59">
        <v>0.75</v>
      </c>
      <c r="F219" s="78"/>
      <c r="G219" s="69">
        <v>0.1</v>
      </c>
      <c r="H219" s="78">
        <f t="shared" si="4"/>
        <v>0.15000000000000002</v>
      </c>
      <c r="I219" s="57"/>
      <c r="J219" s="68"/>
    </row>
    <row r="220" spans="1:10" ht="15" customHeight="1">
      <c r="A220" s="829"/>
      <c r="B220" s="65"/>
      <c r="C220" s="75" t="s">
        <v>108</v>
      </c>
      <c r="D220" s="60">
        <v>1</v>
      </c>
      <c r="E220" s="59">
        <v>0.85</v>
      </c>
      <c r="F220" s="78"/>
      <c r="G220" s="69">
        <v>0.1</v>
      </c>
      <c r="H220" s="78">
        <f t="shared" si="4"/>
        <v>8.5000000000000006E-2</v>
      </c>
      <c r="I220" s="57"/>
      <c r="J220" s="68"/>
    </row>
    <row r="221" spans="1:10" ht="15" customHeight="1">
      <c r="A221" s="829"/>
      <c r="B221" s="65" t="s">
        <v>141</v>
      </c>
      <c r="C221" s="75" t="s">
        <v>108</v>
      </c>
      <c r="D221" s="60">
        <v>-1</v>
      </c>
      <c r="E221" s="59">
        <v>0.5</v>
      </c>
      <c r="F221" s="78">
        <v>0.4</v>
      </c>
      <c r="G221" s="69"/>
      <c r="H221" s="78">
        <f t="shared" si="4"/>
        <v>-0.2</v>
      </c>
      <c r="I221" s="57"/>
      <c r="J221" s="68"/>
    </row>
    <row r="222" spans="1:10" ht="15" customHeight="1">
      <c r="A222" s="829"/>
      <c r="B222" s="65" t="s">
        <v>140</v>
      </c>
      <c r="C222" s="75" t="s">
        <v>108</v>
      </c>
      <c r="D222" s="60">
        <v>2</v>
      </c>
      <c r="E222" s="59">
        <v>0.75</v>
      </c>
      <c r="F222" s="78"/>
      <c r="G222" s="69">
        <v>0.5</v>
      </c>
      <c r="H222" s="78">
        <f t="shared" si="4"/>
        <v>0.75</v>
      </c>
      <c r="I222" s="57"/>
      <c r="J222" s="68"/>
    </row>
    <row r="223" spans="1:10" ht="15" customHeight="1">
      <c r="A223" s="829"/>
      <c r="B223" s="62"/>
      <c r="C223" s="75" t="s">
        <v>108</v>
      </c>
      <c r="D223" s="60">
        <v>1</v>
      </c>
      <c r="E223" s="59">
        <v>0.85</v>
      </c>
      <c r="F223" s="78"/>
      <c r="G223" s="69">
        <v>0.5</v>
      </c>
      <c r="H223" s="78">
        <f t="shared" si="4"/>
        <v>0.42499999999999999</v>
      </c>
      <c r="I223" s="57"/>
      <c r="J223" s="68"/>
    </row>
    <row r="224" spans="1:10" ht="15" customHeight="1">
      <c r="A224" s="829"/>
      <c r="B224" s="62"/>
      <c r="C224" s="75" t="s">
        <v>108</v>
      </c>
      <c r="D224" s="60"/>
      <c r="E224" s="59"/>
      <c r="F224" s="78"/>
      <c r="G224" s="69"/>
      <c r="H224" s="78"/>
      <c r="I224" s="57"/>
      <c r="J224" s="68"/>
    </row>
    <row r="225" spans="1:10" ht="18" customHeight="1">
      <c r="A225" s="825" t="str">
        <f>A$140 &amp; ".05"</f>
        <v>01.02.02.05</v>
      </c>
      <c r="B225" s="63" t="s">
        <v>1039</v>
      </c>
      <c r="C225" s="59" t="s">
        <v>108</v>
      </c>
      <c r="D225" s="60"/>
      <c r="E225" s="59"/>
      <c r="F225" s="78"/>
      <c r="G225" s="69"/>
      <c r="H225" s="78"/>
      <c r="I225" s="69"/>
      <c r="J225" s="68"/>
    </row>
    <row r="226" spans="1:10" ht="15" customHeight="1">
      <c r="A226" s="832" t="str">
        <f>A$225 &amp; ".01"</f>
        <v>01.02.02.05.01</v>
      </c>
      <c r="B226" s="85" t="s">
        <v>139</v>
      </c>
      <c r="C226" s="89" t="s">
        <v>58</v>
      </c>
      <c r="D226" s="84"/>
      <c r="E226" s="91"/>
      <c r="F226" s="84"/>
      <c r="G226" s="89"/>
      <c r="H226" s="84"/>
      <c r="I226" s="57">
        <v>1</v>
      </c>
      <c r="J226" s="68"/>
    </row>
    <row r="227" spans="1:10" ht="15" customHeight="1">
      <c r="A227" s="830"/>
      <c r="B227" s="66" t="s">
        <v>138</v>
      </c>
      <c r="C227" s="75" t="s">
        <v>108</v>
      </c>
      <c r="D227" s="60"/>
      <c r="E227" s="69"/>
      <c r="F227" s="78"/>
      <c r="G227" s="69"/>
      <c r="H227" s="78"/>
      <c r="I227" s="69"/>
      <c r="J227" s="68"/>
    </row>
    <row r="228" spans="1:10" ht="15" customHeight="1">
      <c r="A228" s="830"/>
      <c r="B228" s="65" t="s">
        <v>137</v>
      </c>
      <c r="C228" s="75" t="s">
        <v>58</v>
      </c>
      <c r="D228" s="60">
        <v>1</v>
      </c>
      <c r="E228" s="69"/>
      <c r="F228" s="78"/>
      <c r="G228" s="69"/>
      <c r="H228" s="78"/>
      <c r="I228" s="69"/>
      <c r="J228" s="68"/>
    </row>
    <row r="229" spans="1:10" ht="15" customHeight="1">
      <c r="A229" s="830"/>
      <c r="B229" s="65" t="s">
        <v>136</v>
      </c>
      <c r="C229" s="75" t="s">
        <v>0</v>
      </c>
      <c r="D229" s="60">
        <v>0.3</v>
      </c>
      <c r="E229" s="69"/>
      <c r="F229" s="78"/>
      <c r="G229" s="69"/>
      <c r="H229" s="78"/>
      <c r="I229" s="69"/>
      <c r="J229" s="68"/>
    </row>
    <row r="230" spans="1:10" ht="15" customHeight="1">
      <c r="A230" s="830"/>
      <c r="B230" s="65" t="s">
        <v>135</v>
      </c>
      <c r="C230" s="75" t="s">
        <v>58</v>
      </c>
      <c r="D230" s="60">
        <v>1</v>
      </c>
      <c r="E230" s="69"/>
      <c r="F230" s="78"/>
      <c r="G230" s="69"/>
      <c r="H230" s="78"/>
      <c r="I230" s="69"/>
      <c r="J230" s="68"/>
    </row>
    <row r="231" spans="1:10" ht="15" customHeight="1">
      <c r="A231" s="830"/>
      <c r="B231" s="65" t="s">
        <v>134</v>
      </c>
      <c r="C231" s="75" t="s">
        <v>58</v>
      </c>
      <c r="D231" s="60">
        <v>4</v>
      </c>
      <c r="E231" s="69"/>
      <c r="F231" s="78"/>
      <c r="G231" s="69"/>
      <c r="H231" s="78"/>
      <c r="I231" s="69"/>
      <c r="J231" s="68"/>
    </row>
    <row r="232" spans="1:10" ht="15" customHeight="1">
      <c r="A232" s="830"/>
      <c r="B232" s="65" t="s">
        <v>133</v>
      </c>
      <c r="C232" s="75" t="s">
        <v>58</v>
      </c>
      <c r="D232" s="60">
        <v>2</v>
      </c>
      <c r="E232" s="69"/>
      <c r="F232" s="78"/>
      <c r="G232" s="69"/>
      <c r="H232" s="78"/>
      <c r="I232" s="69"/>
      <c r="J232" s="68"/>
    </row>
    <row r="233" spans="1:10" ht="15" customHeight="1">
      <c r="A233" s="830"/>
      <c r="B233" s="65" t="s">
        <v>132</v>
      </c>
      <c r="C233" s="75" t="s">
        <v>58</v>
      </c>
      <c r="D233" s="60">
        <v>2</v>
      </c>
      <c r="E233" s="69"/>
      <c r="F233" s="78"/>
      <c r="G233" s="69"/>
      <c r="H233" s="78"/>
      <c r="I233" s="69"/>
      <c r="J233" s="68"/>
    </row>
    <row r="234" spans="1:10" ht="15" customHeight="1">
      <c r="A234" s="830"/>
      <c r="B234" s="65" t="s">
        <v>131</v>
      </c>
      <c r="C234" s="75" t="s">
        <v>58</v>
      </c>
      <c r="D234" s="60">
        <v>1</v>
      </c>
      <c r="E234" s="69"/>
      <c r="F234" s="78"/>
      <c r="G234" s="69"/>
      <c r="H234" s="78"/>
      <c r="I234" s="69"/>
      <c r="J234" s="68"/>
    </row>
    <row r="235" spans="1:10" ht="15" customHeight="1">
      <c r="A235" s="830"/>
      <c r="B235" s="65" t="s">
        <v>130</v>
      </c>
      <c r="C235" s="75" t="s">
        <v>0</v>
      </c>
      <c r="D235" s="60">
        <v>1</v>
      </c>
      <c r="E235" s="69"/>
      <c r="F235" s="78"/>
      <c r="G235" s="69"/>
      <c r="H235" s="78"/>
      <c r="I235" s="69"/>
      <c r="J235" s="68"/>
    </row>
    <row r="236" spans="1:10" ht="15" customHeight="1">
      <c r="A236" s="830"/>
      <c r="B236" s="65" t="s">
        <v>129</v>
      </c>
      <c r="C236" s="75" t="s">
        <v>58</v>
      </c>
      <c r="D236" s="60">
        <v>1</v>
      </c>
      <c r="E236" s="69"/>
      <c r="F236" s="78"/>
      <c r="G236" s="69"/>
      <c r="H236" s="78"/>
      <c r="I236" s="69"/>
      <c r="J236" s="68"/>
    </row>
    <row r="237" spans="1:10" ht="15" customHeight="1">
      <c r="A237" s="830"/>
      <c r="B237" s="65" t="s">
        <v>128</v>
      </c>
      <c r="C237" s="75" t="s">
        <v>58</v>
      </c>
      <c r="D237" s="60">
        <v>1</v>
      </c>
      <c r="E237" s="69"/>
      <c r="F237" s="78"/>
      <c r="G237" s="69"/>
      <c r="H237" s="78"/>
      <c r="I237" s="69"/>
      <c r="J237" s="68"/>
    </row>
    <row r="238" spans="1:10" ht="15" customHeight="1">
      <c r="A238" s="830"/>
      <c r="B238" s="65" t="s">
        <v>127</v>
      </c>
      <c r="C238" s="75" t="s">
        <v>58</v>
      </c>
      <c r="D238" s="60">
        <v>1</v>
      </c>
      <c r="E238" s="69"/>
      <c r="F238" s="78"/>
      <c r="G238" s="69"/>
      <c r="H238" s="78"/>
      <c r="I238" s="69"/>
      <c r="J238" s="68"/>
    </row>
    <row r="239" spans="1:10" ht="15" customHeight="1">
      <c r="A239" s="830"/>
      <c r="B239" s="62"/>
      <c r="C239" s="75"/>
      <c r="D239" s="60"/>
      <c r="E239" s="69"/>
      <c r="F239" s="78"/>
      <c r="G239" s="69"/>
      <c r="H239" s="78"/>
      <c r="I239" s="69"/>
      <c r="J239" s="68"/>
    </row>
    <row r="240" spans="1:10" ht="16.5" customHeight="1">
      <c r="A240" s="832" t="str">
        <f>A$225 &amp; ".02"</f>
        <v>01.02.02.05.02</v>
      </c>
      <c r="B240" s="85" t="s">
        <v>126</v>
      </c>
      <c r="C240" s="89" t="s">
        <v>58</v>
      </c>
      <c r="D240" s="84"/>
      <c r="E240" s="91"/>
      <c r="F240" s="84"/>
      <c r="G240" s="89"/>
      <c r="H240" s="84"/>
      <c r="I240" s="57">
        <v>1</v>
      </c>
      <c r="J240" s="68"/>
    </row>
    <row r="241" spans="1:10" ht="15" customHeight="1">
      <c r="A241" s="830"/>
      <c r="B241" s="66" t="s">
        <v>125</v>
      </c>
      <c r="C241" s="75" t="s">
        <v>108</v>
      </c>
      <c r="D241" s="60"/>
      <c r="E241" s="69"/>
      <c r="F241" s="78"/>
      <c r="G241" s="69"/>
      <c r="H241" s="78"/>
      <c r="I241" s="69"/>
      <c r="J241" s="68"/>
    </row>
    <row r="242" spans="1:10" ht="15" customHeight="1">
      <c r="A242" s="830"/>
      <c r="B242" s="65" t="s">
        <v>124</v>
      </c>
      <c r="C242" s="75" t="s">
        <v>58</v>
      </c>
      <c r="D242" s="60">
        <v>1</v>
      </c>
      <c r="E242" s="69"/>
      <c r="F242" s="78"/>
      <c r="G242" s="69"/>
      <c r="H242" s="78"/>
      <c r="I242" s="69"/>
      <c r="J242" s="68"/>
    </row>
    <row r="243" spans="1:10" ht="13.5" customHeight="1">
      <c r="A243" s="830"/>
      <c r="B243" s="65" t="s">
        <v>123</v>
      </c>
      <c r="C243" s="75" t="s">
        <v>58</v>
      </c>
      <c r="D243" s="60">
        <v>2</v>
      </c>
      <c r="E243" s="69"/>
      <c r="F243" s="78"/>
      <c r="G243" s="69"/>
      <c r="H243" s="78"/>
      <c r="I243" s="69"/>
      <c r="J243" s="68"/>
    </row>
    <row r="244" spans="1:10" ht="15" customHeight="1">
      <c r="A244" s="830"/>
      <c r="B244" s="65" t="s">
        <v>122</v>
      </c>
      <c r="C244" s="75" t="s">
        <v>58</v>
      </c>
      <c r="D244" s="60">
        <v>3</v>
      </c>
      <c r="E244" s="69"/>
      <c r="F244" s="78"/>
      <c r="G244" s="69"/>
      <c r="H244" s="78"/>
      <c r="I244" s="69"/>
      <c r="J244" s="68"/>
    </row>
    <row r="245" spans="1:10" ht="15" customHeight="1">
      <c r="A245" s="830"/>
      <c r="B245" s="65" t="s">
        <v>121</v>
      </c>
      <c r="C245" s="75" t="s">
        <v>58</v>
      </c>
      <c r="D245" s="60">
        <v>2</v>
      </c>
      <c r="E245" s="69"/>
      <c r="F245" s="78"/>
      <c r="G245" s="69"/>
      <c r="H245" s="78"/>
      <c r="I245" s="69"/>
      <c r="J245" s="68"/>
    </row>
    <row r="246" spans="1:10" ht="15" customHeight="1">
      <c r="A246" s="830"/>
      <c r="B246" s="65" t="s">
        <v>120</v>
      </c>
      <c r="C246" s="75" t="s">
        <v>58</v>
      </c>
      <c r="D246" s="60">
        <v>2</v>
      </c>
      <c r="E246" s="69"/>
      <c r="F246" s="78"/>
      <c r="G246" s="69"/>
      <c r="H246" s="78"/>
      <c r="I246" s="69"/>
      <c r="J246" s="68"/>
    </row>
    <row r="247" spans="1:10" ht="15" customHeight="1">
      <c r="A247" s="830"/>
      <c r="B247" s="65" t="s">
        <v>119</v>
      </c>
      <c r="C247" s="75" t="s">
        <v>58</v>
      </c>
      <c r="D247" s="60">
        <v>1</v>
      </c>
      <c r="E247" s="69"/>
      <c r="F247" s="78"/>
      <c r="G247" s="69"/>
      <c r="H247" s="78"/>
      <c r="I247" s="69"/>
      <c r="J247" s="68"/>
    </row>
    <row r="248" spans="1:10" ht="15" customHeight="1">
      <c r="A248" s="830"/>
      <c r="B248" s="65" t="s">
        <v>118</v>
      </c>
      <c r="C248" s="75" t="s">
        <v>0</v>
      </c>
      <c r="D248" s="60">
        <v>6.6</v>
      </c>
      <c r="E248" s="69"/>
      <c r="F248" s="78"/>
      <c r="G248" s="69"/>
      <c r="H248" s="78"/>
      <c r="I248" s="69"/>
      <c r="J248" s="68"/>
    </row>
    <row r="249" spans="1:10" ht="17.25" customHeight="1">
      <c r="A249" s="830"/>
      <c r="B249" s="62"/>
      <c r="C249" s="75"/>
      <c r="D249" s="60"/>
      <c r="E249" s="69"/>
      <c r="F249" s="78"/>
      <c r="G249" s="69"/>
      <c r="H249" s="78"/>
      <c r="I249" s="69"/>
      <c r="J249" s="68"/>
    </row>
    <row r="250" spans="1:10" ht="15" customHeight="1">
      <c r="A250" s="825" t="str">
        <f>A$140 &amp; ".06"</f>
        <v>01.02.02.06</v>
      </c>
      <c r="B250" s="63" t="s">
        <v>117</v>
      </c>
      <c r="C250" s="59" t="s">
        <v>108</v>
      </c>
      <c r="D250" s="60"/>
      <c r="E250" s="59"/>
      <c r="F250" s="78"/>
      <c r="G250" s="69"/>
      <c r="H250" s="78"/>
      <c r="I250" s="69"/>
      <c r="J250" s="68"/>
    </row>
    <row r="251" spans="1:10" ht="15" customHeight="1">
      <c r="A251" s="832" t="str">
        <f>A$250 &amp; ".01"</f>
        <v>01.02.02.06.01</v>
      </c>
      <c r="B251" s="85" t="s">
        <v>116</v>
      </c>
      <c r="C251" s="89" t="s">
        <v>0</v>
      </c>
      <c r="D251" s="84">
        <v>1</v>
      </c>
      <c r="E251" s="91"/>
      <c r="F251" s="78">
        <v>1.2</v>
      </c>
      <c r="G251" s="89"/>
      <c r="H251" s="84"/>
      <c r="I251" s="57">
        <f>+D251*F251</f>
        <v>1.2</v>
      </c>
      <c r="J251" s="68"/>
    </row>
    <row r="252" spans="1:10" ht="15" customHeight="1">
      <c r="A252" s="832"/>
      <c r="B252" s="85"/>
      <c r="C252" s="89"/>
      <c r="D252" s="84"/>
      <c r="E252" s="90"/>
      <c r="F252" s="69"/>
      <c r="G252" s="89"/>
      <c r="H252" s="84"/>
      <c r="I252" s="57"/>
      <c r="J252" s="68"/>
    </row>
    <row r="253" spans="1:10" ht="15" customHeight="1">
      <c r="A253" s="832" t="str">
        <f>A$250 &amp; ".02"</f>
        <v>01.02.02.06.02</v>
      </c>
      <c r="B253" s="85" t="s">
        <v>115</v>
      </c>
      <c r="C253" s="89" t="s">
        <v>55</v>
      </c>
      <c r="D253" s="84"/>
      <c r="E253" s="88"/>
      <c r="F253" s="82"/>
      <c r="G253" s="59"/>
      <c r="H253" s="84"/>
      <c r="I253" s="57">
        <f>H254</f>
        <v>3.39</v>
      </c>
      <c r="J253" s="68"/>
    </row>
    <row r="254" spans="1:10" ht="15" customHeight="1">
      <c r="A254" s="833"/>
      <c r="B254" s="62" t="s">
        <v>114</v>
      </c>
      <c r="C254" s="75"/>
      <c r="D254" s="84">
        <v>1</v>
      </c>
      <c r="E254" s="954" t="s">
        <v>113</v>
      </c>
      <c r="F254" s="955"/>
      <c r="G254" s="69">
        <v>3.39</v>
      </c>
      <c r="H254" s="78">
        <f>PRODUCT(D254:G254)</f>
        <v>3.39</v>
      </c>
      <c r="I254" s="57"/>
      <c r="J254" s="68"/>
    </row>
    <row r="255" spans="1:10" ht="15" customHeight="1">
      <c r="A255" s="833"/>
      <c r="B255" s="62"/>
      <c r="C255" s="75"/>
      <c r="D255" s="84"/>
      <c r="E255" s="83"/>
      <c r="F255" s="82"/>
      <c r="G255" s="69"/>
      <c r="H255" s="78"/>
      <c r="I255" s="57"/>
      <c r="J255" s="68"/>
    </row>
    <row r="256" spans="1:10" ht="15" customHeight="1">
      <c r="A256" s="832" t="str">
        <f>A$250 &amp; ".03"</f>
        <v>01.02.02.06.03</v>
      </c>
      <c r="B256" s="85" t="s">
        <v>112</v>
      </c>
      <c r="C256" s="75" t="s">
        <v>93</v>
      </c>
      <c r="D256" s="84"/>
      <c r="E256" s="83"/>
      <c r="F256" s="82"/>
      <c r="G256" s="69"/>
      <c r="H256" s="78"/>
      <c r="I256" s="87">
        <v>0.01</v>
      </c>
      <c r="J256" s="68"/>
    </row>
    <row r="257" spans="1:10" ht="15" customHeight="1">
      <c r="A257" s="832"/>
      <c r="B257" s="85"/>
      <c r="C257" s="75"/>
      <c r="D257" s="84">
        <v>1</v>
      </c>
      <c r="E257" s="83">
        <v>0.15</v>
      </c>
      <c r="F257" s="82">
        <v>0.15</v>
      </c>
      <c r="G257" s="69">
        <v>0.2</v>
      </c>
      <c r="H257" s="86">
        <f>D257*E257*G257*F257</f>
        <v>4.4999999999999997E-3</v>
      </c>
      <c r="I257" s="57"/>
      <c r="J257" s="68"/>
    </row>
    <row r="258" spans="1:10" ht="15" customHeight="1">
      <c r="A258" s="832"/>
      <c r="B258" s="85"/>
      <c r="C258" s="75"/>
      <c r="D258" s="84"/>
      <c r="E258" s="83"/>
      <c r="F258" s="82"/>
      <c r="G258" s="69"/>
      <c r="H258" s="86"/>
      <c r="I258" s="57"/>
      <c r="J258" s="68"/>
    </row>
    <row r="259" spans="1:10" ht="15" customHeight="1">
      <c r="A259" s="832" t="str">
        <f>A$250 &amp; ".04"</f>
        <v>01.02.02.06.04</v>
      </c>
      <c r="B259" s="85" t="s">
        <v>111</v>
      </c>
      <c r="C259" s="75" t="s">
        <v>0</v>
      </c>
      <c r="D259" s="84"/>
      <c r="E259" s="83"/>
      <c r="F259" s="82"/>
      <c r="G259" s="69"/>
      <c r="H259" s="78"/>
      <c r="I259" s="57">
        <f>H260</f>
        <v>4.8</v>
      </c>
      <c r="J259" s="68"/>
    </row>
    <row r="260" spans="1:10" ht="15" customHeight="1">
      <c r="A260" s="832"/>
      <c r="B260" s="85"/>
      <c r="C260" s="75"/>
      <c r="D260" s="84">
        <v>1</v>
      </c>
      <c r="E260" s="83"/>
      <c r="F260" s="82"/>
      <c r="G260" s="69" t="s">
        <v>78</v>
      </c>
      <c r="H260" s="78">
        <v>4.8</v>
      </c>
      <c r="I260" s="57"/>
      <c r="J260" s="68"/>
    </row>
    <row r="261" spans="1:10" ht="15" customHeight="1">
      <c r="A261" s="832"/>
      <c r="B261" s="85"/>
      <c r="C261" s="75"/>
      <c r="D261" s="84"/>
      <c r="E261" s="83"/>
      <c r="F261" s="82"/>
      <c r="G261" s="69"/>
      <c r="H261" s="86"/>
      <c r="I261" s="57"/>
      <c r="J261" s="68"/>
    </row>
    <row r="262" spans="1:10" ht="15" customHeight="1">
      <c r="A262" s="832" t="str">
        <f>A$250 &amp; ".05"</f>
        <v>01.02.02.06.05</v>
      </c>
      <c r="B262" s="85" t="s">
        <v>110</v>
      </c>
      <c r="C262" s="75" t="s">
        <v>93</v>
      </c>
      <c r="D262" s="84"/>
      <c r="E262" s="83"/>
      <c r="F262" s="82"/>
      <c r="G262" s="69"/>
      <c r="H262" s="78"/>
      <c r="I262" s="57">
        <f>H263</f>
        <v>0.40500000000000003</v>
      </c>
      <c r="J262" s="68"/>
    </row>
    <row r="263" spans="1:10" ht="15" customHeight="1">
      <c r="A263" s="833"/>
      <c r="B263" s="62"/>
      <c r="C263" s="75"/>
      <c r="D263" s="84">
        <v>1</v>
      </c>
      <c r="E263" s="83">
        <v>0.9</v>
      </c>
      <c r="F263" s="82">
        <v>0.9</v>
      </c>
      <c r="G263" s="69">
        <v>0.5</v>
      </c>
      <c r="H263" s="78">
        <f>D263*E263*G263*F263</f>
        <v>0.40500000000000003</v>
      </c>
      <c r="I263" s="57"/>
      <c r="J263" s="68"/>
    </row>
    <row r="264" spans="1:10" ht="15" customHeight="1">
      <c r="A264" s="833"/>
      <c r="B264" s="62"/>
      <c r="C264" s="75"/>
      <c r="D264" s="84"/>
      <c r="E264" s="83"/>
      <c r="F264" s="82"/>
      <c r="G264" s="69"/>
      <c r="H264" s="78"/>
      <c r="I264" s="57"/>
      <c r="J264" s="68"/>
    </row>
    <row r="265" spans="1:10" ht="15" customHeight="1">
      <c r="A265" s="694" t="str">
        <f>A$24 &amp; ".03"</f>
        <v>01.02.03</v>
      </c>
      <c r="B265" s="839" t="s">
        <v>109</v>
      </c>
      <c r="C265" s="75" t="s">
        <v>108</v>
      </c>
      <c r="D265" s="60"/>
      <c r="E265" s="59"/>
      <c r="F265" s="78"/>
      <c r="G265" s="69"/>
      <c r="H265" s="78"/>
      <c r="I265" s="57"/>
      <c r="J265" s="68"/>
    </row>
    <row r="266" spans="1:10" ht="12" customHeight="1">
      <c r="A266" s="825" t="str">
        <f>A$265 &amp; ".01"</f>
        <v>01.02.03.01</v>
      </c>
      <c r="B266" s="63" t="s">
        <v>107</v>
      </c>
      <c r="C266" s="75"/>
      <c r="D266" s="72"/>
      <c r="E266" s="73"/>
      <c r="F266" s="58"/>
      <c r="G266" s="71"/>
      <c r="H266" s="58"/>
      <c r="I266" s="75"/>
      <c r="J266" s="68"/>
    </row>
    <row r="267" spans="1:10" ht="12" customHeight="1">
      <c r="A267" s="832" t="str">
        <f>A$266 &amp; ".01"</f>
        <v>01.02.03.01.01</v>
      </c>
      <c r="B267" s="62" t="s">
        <v>106</v>
      </c>
      <c r="C267" s="75" t="s">
        <v>55</v>
      </c>
      <c r="D267" s="72"/>
      <c r="E267" s="73"/>
      <c r="F267" s="58"/>
      <c r="G267" s="71"/>
      <c r="H267" s="50"/>
      <c r="I267" s="57">
        <f>H268</f>
        <v>9.9920000000000009</v>
      </c>
      <c r="J267" s="68"/>
    </row>
    <row r="268" spans="1:10" ht="12" customHeight="1">
      <c r="A268" s="825"/>
      <c r="B268" s="77" t="s">
        <v>105</v>
      </c>
      <c r="C268" s="75"/>
      <c r="D268" s="72">
        <v>1</v>
      </c>
      <c r="E268" s="73">
        <v>24.98</v>
      </c>
      <c r="F268" s="58">
        <v>0.4</v>
      </c>
      <c r="G268" s="71"/>
      <c r="H268" s="58">
        <f>PRODUCT(D268:G268)</f>
        <v>9.9920000000000009</v>
      </c>
      <c r="I268" s="75"/>
      <c r="J268" s="68"/>
    </row>
    <row r="269" spans="1:10" ht="12" customHeight="1">
      <c r="A269" s="825"/>
      <c r="B269" s="63"/>
      <c r="C269" s="75"/>
      <c r="D269" s="72"/>
      <c r="E269" s="73"/>
      <c r="F269" s="58"/>
      <c r="G269" s="71"/>
      <c r="H269" s="58"/>
      <c r="I269" s="75"/>
      <c r="J269" s="68"/>
    </row>
    <row r="270" spans="1:10" ht="12" customHeight="1">
      <c r="A270" s="832" t="str">
        <f>A$266 &amp; ".02"</f>
        <v>01.02.03.01.02</v>
      </c>
      <c r="B270" s="62" t="s">
        <v>104</v>
      </c>
      <c r="C270" s="75" t="s">
        <v>55</v>
      </c>
      <c r="D270" s="74"/>
      <c r="E270" s="59"/>
      <c r="F270" s="60"/>
      <c r="G270" s="59"/>
      <c r="H270" s="78"/>
      <c r="I270" s="57">
        <f>H271</f>
        <v>9.9920000000000009</v>
      </c>
      <c r="J270" s="68"/>
    </row>
    <row r="271" spans="1:10" ht="12" customHeight="1">
      <c r="A271" s="830"/>
      <c r="B271" s="77" t="s">
        <v>102</v>
      </c>
      <c r="C271" s="69"/>
      <c r="D271" s="74">
        <v>1</v>
      </c>
      <c r="E271" s="73">
        <v>24.98</v>
      </c>
      <c r="F271" s="72">
        <v>0.4</v>
      </c>
      <c r="G271" s="71"/>
      <c r="H271" s="58">
        <f>+F271*E271</f>
        <v>9.9920000000000009</v>
      </c>
      <c r="I271" s="71"/>
      <c r="J271" s="68"/>
    </row>
    <row r="272" spans="1:10" ht="12" customHeight="1">
      <c r="A272" s="830"/>
      <c r="B272" s="76"/>
      <c r="C272" s="69"/>
      <c r="D272" s="74"/>
      <c r="E272" s="73"/>
      <c r="F272" s="72"/>
      <c r="G272" s="71"/>
      <c r="H272" s="58"/>
      <c r="I272" s="71"/>
      <c r="J272" s="68"/>
    </row>
    <row r="273" spans="1:10" ht="12" customHeight="1">
      <c r="A273" s="832" t="str">
        <f>A$266 &amp; ".03"</f>
        <v>01.02.03.01.03</v>
      </c>
      <c r="B273" s="62" t="s">
        <v>103</v>
      </c>
      <c r="C273" s="75" t="s">
        <v>55</v>
      </c>
      <c r="D273" s="74"/>
      <c r="E273" s="59"/>
      <c r="F273" s="60"/>
      <c r="G273" s="59"/>
      <c r="H273" s="78"/>
      <c r="I273" s="57">
        <f>H274</f>
        <v>9.9920000000000009</v>
      </c>
      <c r="J273" s="68"/>
    </row>
    <row r="274" spans="1:10" ht="12" customHeight="1">
      <c r="A274" s="830"/>
      <c r="B274" s="77" t="s">
        <v>102</v>
      </c>
      <c r="C274" s="69"/>
      <c r="D274" s="74">
        <v>1</v>
      </c>
      <c r="E274" s="73">
        <v>24.98</v>
      </c>
      <c r="F274" s="72">
        <v>0.4</v>
      </c>
      <c r="G274" s="71"/>
      <c r="H274" s="58">
        <f>+F274*E274</f>
        <v>9.9920000000000009</v>
      </c>
      <c r="I274" s="71"/>
      <c r="J274" s="68"/>
    </row>
    <row r="275" spans="1:10" ht="12" customHeight="1">
      <c r="A275" s="830"/>
      <c r="B275" s="77"/>
      <c r="C275" s="69"/>
      <c r="D275" s="74"/>
      <c r="E275" s="73"/>
      <c r="F275" s="72"/>
      <c r="G275" s="71"/>
      <c r="H275" s="58"/>
      <c r="I275" s="71"/>
      <c r="J275" s="68"/>
    </row>
    <row r="276" spans="1:10" ht="12" customHeight="1">
      <c r="A276" s="825" t="str">
        <f>A$265 &amp; ".02"</f>
        <v>01.02.03.02</v>
      </c>
      <c r="B276" s="63" t="s">
        <v>101</v>
      </c>
      <c r="C276" s="75"/>
      <c r="D276" s="74"/>
      <c r="E276" s="73"/>
      <c r="F276" s="72"/>
      <c r="G276" s="71"/>
      <c r="H276" s="58"/>
      <c r="I276" s="71"/>
      <c r="J276" s="68"/>
    </row>
    <row r="277" spans="1:10" ht="12" customHeight="1">
      <c r="A277" s="832" t="str">
        <f>A$276 &amp; ".01"</f>
        <v>01.02.03.02.01</v>
      </c>
      <c r="B277" s="62" t="s">
        <v>100</v>
      </c>
      <c r="C277" s="75" t="s">
        <v>93</v>
      </c>
      <c r="D277" s="74"/>
      <c r="E277" s="73"/>
      <c r="F277" s="72"/>
      <c r="G277" s="71"/>
      <c r="H277" s="58"/>
      <c r="I277" s="70">
        <f>H278</f>
        <v>1.1520000000000001</v>
      </c>
      <c r="J277" s="68"/>
    </row>
    <row r="278" spans="1:10" ht="12" customHeight="1">
      <c r="A278" s="834"/>
      <c r="B278" s="77" t="s">
        <v>99</v>
      </c>
      <c r="C278" s="75"/>
      <c r="D278" s="74">
        <v>12</v>
      </c>
      <c r="E278" s="73">
        <v>0.4</v>
      </c>
      <c r="F278" s="72">
        <v>0.4</v>
      </c>
      <c r="G278" s="71">
        <v>0.6</v>
      </c>
      <c r="H278" s="58">
        <f>PRODUCT(D278:G278)</f>
        <v>1.1520000000000001</v>
      </c>
      <c r="I278" s="71"/>
      <c r="J278" s="68"/>
    </row>
    <row r="279" spans="1:10" ht="12" customHeight="1">
      <c r="A279" s="834"/>
      <c r="B279" s="76"/>
      <c r="C279" s="75"/>
      <c r="D279" s="74"/>
      <c r="E279" s="73"/>
      <c r="F279" s="72"/>
      <c r="G279" s="71"/>
      <c r="H279" s="58"/>
      <c r="I279" s="71"/>
      <c r="J279" s="68"/>
    </row>
    <row r="280" spans="1:10" ht="15" customHeight="1">
      <c r="A280" s="832" t="str">
        <f>A$276 &amp; ".02"</f>
        <v>01.02.03.02.02</v>
      </c>
      <c r="B280" s="62" t="s">
        <v>98</v>
      </c>
      <c r="C280" s="75" t="s">
        <v>93</v>
      </c>
      <c r="D280" s="74"/>
      <c r="E280" s="73"/>
      <c r="F280" s="72"/>
      <c r="G280" s="71"/>
      <c r="H280" s="58"/>
      <c r="I280" s="70">
        <f>H281</f>
        <v>1.3824000000000001</v>
      </c>
      <c r="J280" s="68"/>
    </row>
    <row r="281" spans="1:10" ht="15" customHeight="1">
      <c r="A281" s="830"/>
      <c r="B281" s="77" t="s">
        <v>97</v>
      </c>
      <c r="C281" s="69"/>
      <c r="D281" s="74">
        <v>1</v>
      </c>
      <c r="E281" s="75">
        <v>1.2</v>
      </c>
      <c r="F281" s="80" t="s">
        <v>96</v>
      </c>
      <c r="G281" s="79">
        <f>I277</f>
        <v>1.1520000000000001</v>
      </c>
      <c r="H281" s="78">
        <f>PRODUCT(D281:G281)</f>
        <v>1.3824000000000001</v>
      </c>
      <c r="I281" s="71"/>
      <c r="J281" s="68"/>
    </row>
    <row r="282" spans="1:10" ht="12" customHeight="1">
      <c r="A282" s="834"/>
      <c r="B282" s="76"/>
      <c r="C282" s="69"/>
      <c r="D282" s="74"/>
      <c r="E282" s="73"/>
      <c r="F282" s="72"/>
      <c r="G282" s="71"/>
      <c r="H282" s="58"/>
      <c r="I282" s="71"/>
      <c r="J282" s="68"/>
    </row>
    <row r="283" spans="1:10" ht="12" customHeight="1">
      <c r="A283" s="825" t="str">
        <f>A$265 &amp; ".03"</f>
        <v>01.02.03.03</v>
      </c>
      <c r="B283" s="63" t="s">
        <v>360</v>
      </c>
      <c r="C283" s="75"/>
      <c r="D283" s="74"/>
      <c r="E283" s="73"/>
      <c r="F283" s="72"/>
      <c r="G283" s="71"/>
      <c r="H283" s="58"/>
      <c r="I283" s="71"/>
      <c r="J283" s="68"/>
    </row>
    <row r="284" spans="1:10" ht="12" customHeight="1">
      <c r="A284" s="832" t="str">
        <f>A$283 &amp; ".01"</f>
        <v>01.02.03.03.01</v>
      </c>
      <c r="B284" s="62" t="s">
        <v>94</v>
      </c>
      <c r="C284" s="75" t="s">
        <v>93</v>
      </c>
      <c r="D284" s="74"/>
      <c r="E284" s="73"/>
      <c r="F284" s="72"/>
      <c r="G284" s="71"/>
      <c r="H284" s="58"/>
      <c r="I284" s="70">
        <f>H285</f>
        <v>1.1520000000000001</v>
      </c>
      <c r="J284" s="68"/>
    </row>
    <row r="285" spans="1:10" ht="12" customHeight="1">
      <c r="A285" s="834"/>
      <c r="B285" s="77" t="s">
        <v>92</v>
      </c>
      <c r="C285" s="75"/>
      <c r="D285" s="74">
        <v>12</v>
      </c>
      <c r="E285" s="73">
        <v>0.4</v>
      </c>
      <c r="F285" s="72">
        <v>0.4</v>
      </c>
      <c r="G285" s="71">
        <v>0.6</v>
      </c>
      <c r="H285" s="58">
        <f>PRODUCT(D285:G285)</f>
        <v>1.1520000000000001</v>
      </c>
      <c r="I285" s="71"/>
      <c r="J285" s="68"/>
    </row>
    <row r="286" spans="1:10" ht="12" customHeight="1">
      <c r="A286" s="834"/>
      <c r="B286" s="76"/>
      <c r="C286" s="69"/>
      <c r="D286" s="74"/>
      <c r="E286" s="73"/>
      <c r="F286" s="72"/>
      <c r="G286" s="71"/>
      <c r="H286" s="58"/>
      <c r="I286" s="71"/>
      <c r="J286" s="68"/>
    </row>
    <row r="287" spans="1:10" ht="12" customHeight="1">
      <c r="A287" s="825" t="str">
        <f>A$265 &amp; ".04"</f>
        <v>01.02.03.04</v>
      </c>
      <c r="B287" s="63" t="s">
        <v>91</v>
      </c>
      <c r="C287" s="75"/>
      <c r="D287" s="74"/>
      <c r="E287" s="73"/>
      <c r="F287" s="72"/>
      <c r="G287" s="71"/>
      <c r="H287" s="58"/>
      <c r="I287" s="71"/>
      <c r="J287" s="68"/>
    </row>
    <row r="288" spans="1:10" ht="12" customHeight="1">
      <c r="A288" s="832" t="str">
        <f>A$287 &amp; ".01"</f>
        <v>01.02.03.04.01</v>
      </c>
      <c r="B288" s="62" t="s">
        <v>90</v>
      </c>
      <c r="C288" s="75" t="s">
        <v>58</v>
      </c>
      <c r="D288" s="74"/>
      <c r="E288" s="73"/>
      <c r="F288" s="72"/>
      <c r="G288" s="71"/>
      <c r="H288" s="58"/>
      <c r="I288" s="70">
        <f>H289</f>
        <v>12</v>
      </c>
      <c r="J288" s="68"/>
    </row>
    <row r="289" spans="1:10" ht="12" customHeight="1">
      <c r="A289" s="834"/>
      <c r="B289" s="77"/>
      <c r="C289" s="69"/>
      <c r="D289" s="74">
        <v>12</v>
      </c>
      <c r="E289" s="59"/>
      <c r="F289" s="60"/>
      <c r="G289" s="69"/>
      <c r="H289" s="78">
        <v>12</v>
      </c>
      <c r="I289" s="69"/>
      <c r="J289" s="68"/>
    </row>
    <row r="290" spans="1:10" ht="12" customHeight="1">
      <c r="A290" s="834"/>
      <c r="B290" s="77"/>
      <c r="C290" s="69"/>
      <c r="D290" s="74"/>
      <c r="E290" s="59"/>
      <c r="F290" s="60"/>
      <c r="G290" s="69"/>
      <c r="H290" s="78"/>
      <c r="I290" s="69"/>
      <c r="J290" s="68"/>
    </row>
    <row r="291" spans="1:10" ht="12" customHeight="1">
      <c r="A291" s="832" t="str">
        <f>A$287 &amp; ".02"</f>
        <v>01.02.03.04.02</v>
      </c>
      <c r="B291" s="62" t="s">
        <v>89</v>
      </c>
      <c r="C291" s="69" t="s">
        <v>58</v>
      </c>
      <c r="D291" s="74"/>
      <c r="E291" s="59"/>
      <c r="F291" s="60"/>
      <c r="G291" s="69"/>
      <c r="H291" s="78"/>
      <c r="I291" s="70">
        <f>SUM(H292:H295)</f>
        <v>66</v>
      </c>
      <c r="J291" s="68"/>
    </row>
    <row r="292" spans="1:10" ht="12" customHeight="1">
      <c r="A292" s="830"/>
      <c r="B292" s="77" t="s">
        <v>88</v>
      </c>
      <c r="C292" s="75"/>
      <c r="D292" s="74">
        <v>18</v>
      </c>
      <c r="E292" s="73"/>
      <c r="F292" s="72"/>
      <c r="G292" s="71"/>
      <c r="H292" s="58">
        <f>PRODUCT(D292:G292)</f>
        <v>18</v>
      </c>
      <c r="I292" s="71"/>
      <c r="J292" s="68"/>
    </row>
    <row r="293" spans="1:10" ht="12" customHeight="1">
      <c r="A293" s="835"/>
      <c r="B293" s="77" t="s">
        <v>87</v>
      </c>
      <c r="C293" s="75"/>
      <c r="D293" s="74">
        <v>12</v>
      </c>
      <c r="E293" s="73"/>
      <c r="F293" s="72"/>
      <c r="G293" s="71"/>
      <c r="H293" s="58">
        <f>PRODUCT(D293:G293)</f>
        <v>12</v>
      </c>
      <c r="I293" s="70"/>
      <c r="J293" s="68"/>
    </row>
    <row r="294" spans="1:10" ht="12" customHeight="1">
      <c r="A294" s="830"/>
      <c r="B294" s="77" t="s">
        <v>86</v>
      </c>
      <c r="C294" s="69"/>
      <c r="D294" s="74">
        <v>18</v>
      </c>
      <c r="E294" s="73"/>
      <c r="F294" s="72"/>
      <c r="G294" s="71"/>
      <c r="H294" s="58">
        <f>PRODUCT(D294:G294)</f>
        <v>18</v>
      </c>
      <c r="I294" s="71"/>
      <c r="J294" s="68"/>
    </row>
    <row r="295" spans="1:10" ht="12" customHeight="1">
      <c r="A295" s="830"/>
      <c r="B295" s="77" t="s">
        <v>85</v>
      </c>
      <c r="C295" s="69"/>
      <c r="D295" s="74">
        <v>18</v>
      </c>
      <c r="E295" s="73"/>
      <c r="F295" s="72"/>
      <c r="G295" s="71"/>
      <c r="H295" s="58">
        <f>PRODUCT(D295:G295)</f>
        <v>18</v>
      </c>
      <c r="I295" s="71"/>
      <c r="J295" s="68"/>
    </row>
    <row r="296" spans="1:10" ht="12" customHeight="1">
      <c r="A296" s="830"/>
      <c r="B296" s="76"/>
      <c r="C296" s="69"/>
      <c r="D296" s="74"/>
      <c r="E296" s="73"/>
      <c r="F296" s="72"/>
      <c r="G296" s="71"/>
      <c r="H296" s="58"/>
      <c r="I296" s="71"/>
      <c r="J296" s="68"/>
    </row>
    <row r="297" spans="1:10" ht="12" customHeight="1">
      <c r="A297" s="825" t="str">
        <f>A$265 &amp; ".05"</f>
        <v>01.02.03.05</v>
      </c>
      <c r="B297" s="63" t="s">
        <v>84</v>
      </c>
      <c r="C297" s="75"/>
      <c r="D297" s="74"/>
      <c r="E297" s="73"/>
      <c r="F297" s="72"/>
      <c r="G297" s="71"/>
      <c r="H297" s="58"/>
      <c r="I297" s="70"/>
      <c r="J297" s="68"/>
    </row>
    <row r="298" spans="1:10" ht="12" customHeight="1">
      <c r="A298" s="832" t="str">
        <f>A$297 &amp; ".01"</f>
        <v>01.02.03.05.01</v>
      </c>
      <c r="B298" s="62" t="s">
        <v>83</v>
      </c>
      <c r="C298" s="59" t="s">
        <v>0</v>
      </c>
      <c r="D298" s="60"/>
      <c r="E298" s="59"/>
      <c r="F298" s="60"/>
      <c r="G298" s="59"/>
      <c r="H298" s="60"/>
      <c r="I298" s="70">
        <f>SUM(H300:H318)</f>
        <v>130.43</v>
      </c>
      <c r="J298" s="68"/>
    </row>
    <row r="299" spans="1:10" ht="12" customHeight="1">
      <c r="A299" s="830"/>
      <c r="B299" s="65" t="s">
        <v>82</v>
      </c>
      <c r="C299" s="59"/>
      <c r="D299" s="60"/>
      <c r="E299" s="59"/>
      <c r="F299" s="60"/>
      <c r="G299" s="59"/>
      <c r="H299" s="60"/>
      <c r="I299" s="57"/>
      <c r="J299" s="68"/>
    </row>
    <row r="300" spans="1:10" ht="12" customHeight="1">
      <c r="A300" s="830"/>
      <c r="B300" s="65" t="s">
        <v>75</v>
      </c>
      <c r="C300" s="59"/>
      <c r="D300" s="60">
        <v>2</v>
      </c>
      <c r="E300" s="59" t="s">
        <v>78</v>
      </c>
      <c r="F300" s="60">
        <v>5.9</v>
      </c>
      <c r="G300" s="59"/>
      <c r="H300" s="58">
        <f>PRODUCT(D300:G300)</f>
        <v>11.8</v>
      </c>
      <c r="I300" s="69"/>
      <c r="J300" s="68"/>
    </row>
    <row r="301" spans="1:10" ht="12" customHeight="1">
      <c r="A301" s="830"/>
      <c r="B301" s="65" t="s">
        <v>74</v>
      </c>
      <c r="C301" s="59"/>
      <c r="D301" s="60">
        <v>1</v>
      </c>
      <c r="E301" s="59" t="s">
        <v>78</v>
      </c>
      <c r="F301" s="60">
        <v>6</v>
      </c>
      <c r="G301" s="59"/>
      <c r="H301" s="58">
        <f>PRODUCT(D301:G301)</f>
        <v>6</v>
      </c>
      <c r="I301" s="69"/>
      <c r="J301" s="68"/>
    </row>
    <row r="302" spans="1:10" ht="12" customHeight="1">
      <c r="A302" s="830"/>
      <c r="B302" s="65"/>
      <c r="C302" s="59"/>
      <c r="D302" s="60">
        <v>1</v>
      </c>
      <c r="E302" s="59" t="s">
        <v>78</v>
      </c>
      <c r="F302" s="60">
        <v>6</v>
      </c>
      <c r="G302" s="59"/>
      <c r="H302" s="58">
        <f>PRODUCT(D302:G302)</f>
        <v>6</v>
      </c>
      <c r="I302" s="69"/>
      <c r="J302" s="68"/>
    </row>
    <row r="303" spans="1:10" ht="12" customHeight="1">
      <c r="A303" s="830"/>
      <c r="B303" s="65" t="s">
        <v>73</v>
      </c>
      <c r="C303" s="59"/>
      <c r="D303" s="60">
        <v>2</v>
      </c>
      <c r="E303" s="59" t="s">
        <v>78</v>
      </c>
      <c r="F303" s="60">
        <v>5.95</v>
      </c>
      <c r="G303" s="59"/>
      <c r="H303" s="58">
        <f>PRODUCT(D303:G303)</f>
        <v>11.9</v>
      </c>
      <c r="I303" s="57"/>
      <c r="J303" s="68"/>
    </row>
    <row r="304" spans="1:10" ht="12" customHeight="1">
      <c r="A304" s="830"/>
      <c r="B304" s="65" t="s">
        <v>81</v>
      </c>
      <c r="C304" s="59"/>
      <c r="D304" s="60"/>
      <c r="E304" s="59"/>
      <c r="F304" s="60"/>
      <c r="G304" s="59"/>
      <c r="H304" s="58"/>
      <c r="I304" s="57"/>
      <c r="J304" s="68"/>
    </row>
    <row r="305" spans="1:10" ht="12" customHeight="1">
      <c r="A305" s="830"/>
      <c r="B305" s="65" t="s">
        <v>71</v>
      </c>
      <c r="C305" s="59"/>
      <c r="D305" s="60">
        <v>1</v>
      </c>
      <c r="E305" s="59" t="s">
        <v>78</v>
      </c>
      <c r="F305" s="60">
        <v>6.3</v>
      </c>
      <c r="G305" s="59"/>
      <c r="H305" s="58">
        <f>PRODUCT(D305:G305)</f>
        <v>6.3</v>
      </c>
      <c r="I305" s="69"/>
      <c r="J305" s="68"/>
    </row>
    <row r="306" spans="1:10" ht="12" customHeight="1">
      <c r="A306" s="830"/>
      <c r="B306" s="65"/>
      <c r="C306" s="59"/>
      <c r="D306" s="60">
        <v>1</v>
      </c>
      <c r="E306" s="59" t="s">
        <v>78</v>
      </c>
      <c r="F306" s="60">
        <v>6.3</v>
      </c>
      <c r="G306" s="59"/>
      <c r="H306" s="58">
        <f>PRODUCT(D306:G306)</f>
        <v>6.3</v>
      </c>
      <c r="I306" s="69"/>
      <c r="J306" s="68"/>
    </row>
    <row r="307" spans="1:10" ht="12" customHeight="1">
      <c r="A307" s="830"/>
      <c r="B307" s="65" t="s">
        <v>70</v>
      </c>
      <c r="C307" s="59"/>
      <c r="D307" s="60">
        <v>2</v>
      </c>
      <c r="E307" s="59" t="s">
        <v>78</v>
      </c>
      <c r="F307" s="60">
        <v>6.35</v>
      </c>
      <c r="G307" s="59"/>
      <c r="H307" s="58">
        <f>PRODUCT(D307:G307)</f>
        <v>12.7</v>
      </c>
      <c r="I307" s="57"/>
      <c r="J307" s="68"/>
    </row>
    <row r="308" spans="1:10" ht="12" customHeight="1">
      <c r="A308" s="830"/>
      <c r="B308" s="65" t="s">
        <v>80</v>
      </c>
      <c r="C308" s="59"/>
      <c r="D308" s="60"/>
      <c r="E308" s="59"/>
      <c r="F308" s="60"/>
      <c r="G308" s="59"/>
      <c r="H308" s="58"/>
      <c r="I308" s="57"/>
      <c r="J308" s="68"/>
    </row>
    <row r="309" spans="1:10" ht="12" customHeight="1">
      <c r="A309" s="830"/>
      <c r="B309" s="65" t="s">
        <v>68</v>
      </c>
      <c r="C309" s="59"/>
      <c r="D309" s="60">
        <v>2</v>
      </c>
      <c r="E309" s="59" t="s">
        <v>78</v>
      </c>
      <c r="F309" s="60">
        <v>5.9</v>
      </c>
      <c r="G309" s="59"/>
      <c r="H309" s="58">
        <f>PRODUCT(D309:G309)</f>
        <v>11.8</v>
      </c>
      <c r="I309" s="57"/>
      <c r="J309" s="68"/>
    </row>
    <row r="310" spans="1:10" ht="12" customHeight="1">
      <c r="A310" s="830"/>
      <c r="B310" s="65" t="s">
        <v>67</v>
      </c>
      <c r="C310" s="59"/>
      <c r="D310" s="60">
        <v>1</v>
      </c>
      <c r="E310" s="59" t="s">
        <v>78</v>
      </c>
      <c r="F310" s="60">
        <v>5.9</v>
      </c>
      <c r="G310" s="59"/>
      <c r="H310" s="58">
        <f>PRODUCT(D310:G310)</f>
        <v>5.9</v>
      </c>
      <c r="I310" s="57"/>
      <c r="J310" s="68"/>
    </row>
    <row r="311" spans="1:10" ht="12" customHeight="1">
      <c r="A311" s="830"/>
      <c r="B311" s="66"/>
      <c r="C311" s="59"/>
      <c r="D311" s="60">
        <v>1</v>
      </c>
      <c r="E311" s="59" t="s">
        <v>78</v>
      </c>
      <c r="F311" s="60">
        <v>5.9</v>
      </c>
      <c r="G311" s="59"/>
      <c r="H311" s="58">
        <f>PRODUCT(D311:G311)</f>
        <v>5.9</v>
      </c>
      <c r="I311" s="57"/>
      <c r="J311" s="68"/>
    </row>
    <row r="312" spans="1:10" ht="12" customHeight="1">
      <c r="A312" s="830"/>
      <c r="B312" s="65" t="s">
        <v>66</v>
      </c>
      <c r="C312" s="59"/>
      <c r="D312" s="60">
        <v>1</v>
      </c>
      <c r="E312" s="59" t="s">
        <v>78</v>
      </c>
      <c r="F312" s="60">
        <v>5.9</v>
      </c>
      <c r="G312" s="59"/>
      <c r="H312" s="58">
        <f>PRODUCT(D312:G312)</f>
        <v>5.9</v>
      </c>
      <c r="I312" s="57"/>
      <c r="J312" s="68"/>
    </row>
    <row r="313" spans="1:10" ht="12" customHeight="1">
      <c r="A313" s="830"/>
      <c r="B313" s="66"/>
      <c r="C313" s="59"/>
      <c r="D313" s="60">
        <v>1</v>
      </c>
      <c r="E313" s="59" t="s">
        <v>78</v>
      </c>
      <c r="F313" s="60">
        <v>5.9</v>
      </c>
      <c r="G313" s="59"/>
      <c r="H313" s="58">
        <f>PRODUCT(D313:G313)</f>
        <v>5.9</v>
      </c>
      <c r="I313" s="57"/>
      <c r="J313" s="68"/>
    </row>
    <row r="314" spans="1:10" ht="12" customHeight="1">
      <c r="A314" s="830"/>
      <c r="B314" s="65" t="s">
        <v>79</v>
      </c>
      <c r="C314" s="59"/>
      <c r="D314" s="60"/>
      <c r="E314" s="59"/>
      <c r="F314" s="60"/>
      <c r="G314" s="59"/>
      <c r="H314" s="58"/>
      <c r="I314" s="57"/>
      <c r="J314" s="68"/>
    </row>
    <row r="315" spans="1:10" ht="15" customHeight="1">
      <c r="A315" s="830"/>
      <c r="B315" s="65" t="s">
        <v>64</v>
      </c>
      <c r="C315" s="59"/>
      <c r="D315" s="60">
        <v>2</v>
      </c>
      <c r="E315" s="59" t="s">
        <v>78</v>
      </c>
      <c r="F315" s="60">
        <v>5.67</v>
      </c>
      <c r="G315" s="59"/>
      <c r="H315" s="58">
        <f>PRODUCT(D315:G315)</f>
        <v>11.34</v>
      </c>
      <c r="I315" s="57"/>
      <c r="J315" s="52"/>
    </row>
    <row r="316" spans="1:10" ht="12" customHeight="1">
      <c r="A316" s="830"/>
      <c r="B316" s="65" t="s">
        <v>63</v>
      </c>
      <c r="C316" s="59"/>
      <c r="D316" s="60">
        <v>2</v>
      </c>
      <c r="E316" s="59" t="s">
        <v>78</v>
      </c>
      <c r="F316" s="60">
        <v>5.67</v>
      </c>
      <c r="G316" s="59"/>
      <c r="H316" s="58">
        <f>PRODUCT(D316:G316)</f>
        <v>11.34</v>
      </c>
      <c r="I316" s="57"/>
      <c r="J316" s="52"/>
    </row>
    <row r="317" spans="1:10" ht="12" customHeight="1">
      <c r="A317" s="830"/>
      <c r="B317" s="65" t="s">
        <v>62</v>
      </c>
      <c r="C317" s="59"/>
      <c r="D317" s="60">
        <v>1</v>
      </c>
      <c r="E317" s="59" t="s">
        <v>78</v>
      </c>
      <c r="F317" s="60">
        <v>5.68</v>
      </c>
      <c r="G317" s="59"/>
      <c r="H317" s="58">
        <f>PRODUCT(D317:G317)</f>
        <v>5.68</v>
      </c>
      <c r="I317" s="57"/>
      <c r="J317" s="52"/>
    </row>
    <row r="318" spans="1:10" ht="12" customHeight="1">
      <c r="A318" s="830"/>
      <c r="B318" s="66"/>
      <c r="C318" s="59"/>
      <c r="D318" s="60">
        <v>1</v>
      </c>
      <c r="E318" s="59" t="s">
        <v>78</v>
      </c>
      <c r="F318" s="60">
        <v>5.67</v>
      </c>
      <c r="G318" s="59"/>
      <c r="H318" s="58">
        <f>PRODUCT(D318:G318)</f>
        <v>5.67</v>
      </c>
      <c r="I318" s="57"/>
      <c r="J318" s="52"/>
    </row>
    <row r="319" spans="1:10" ht="12" customHeight="1">
      <c r="A319" s="825" t="str">
        <f>A$265 &amp; ".06"</f>
        <v>01.02.03.06</v>
      </c>
      <c r="B319" s="63" t="s">
        <v>1040</v>
      </c>
      <c r="C319" s="59"/>
      <c r="D319" s="60"/>
      <c r="E319" s="59"/>
      <c r="F319" s="60"/>
      <c r="G319" s="59"/>
      <c r="H319" s="60"/>
      <c r="I319" s="57"/>
      <c r="J319" s="52"/>
    </row>
    <row r="320" spans="1:10" ht="12" customHeight="1">
      <c r="A320" s="832" t="str">
        <f>A$319 &amp; ".01"</f>
        <v>01.02.03.06.01</v>
      </c>
      <c r="B320" s="62" t="s">
        <v>77</v>
      </c>
      <c r="C320" s="59" t="s">
        <v>55</v>
      </c>
      <c r="D320" s="60"/>
      <c r="E320" s="59"/>
      <c r="F320" s="60"/>
      <c r="G320" s="59"/>
      <c r="H320" s="60"/>
      <c r="I320" s="57">
        <f>SUM(H322:H338)</f>
        <v>42.5</v>
      </c>
      <c r="J320" s="52"/>
    </row>
    <row r="321" spans="1:10" ht="12" customHeight="1">
      <c r="A321" s="830"/>
      <c r="B321" s="65" t="s">
        <v>76</v>
      </c>
      <c r="C321" s="59"/>
      <c r="D321" s="60"/>
      <c r="E321" s="59"/>
      <c r="F321" s="60"/>
      <c r="G321" s="59"/>
      <c r="H321" s="60"/>
      <c r="I321" s="67"/>
      <c r="J321" s="52"/>
    </row>
    <row r="322" spans="1:10" ht="12" customHeight="1">
      <c r="A322" s="830"/>
      <c r="B322" s="65" t="s">
        <v>75</v>
      </c>
      <c r="C322" s="59"/>
      <c r="D322" s="60">
        <v>2</v>
      </c>
      <c r="E322" s="59" t="s">
        <v>61</v>
      </c>
      <c r="F322" s="60">
        <v>1.95</v>
      </c>
      <c r="G322" s="59"/>
      <c r="H322" s="58">
        <f>PRODUCT(D322:G322)</f>
        <v>3.9</v>
      </c>
      <c r="I322" s="57"/>
      <c r="J322" s="52"/>
    </row>
    <row r="323" spans="1:10" ht="12" customHeight="1">
      <c r="A323" s="830"/>
      <c r="B323" s="65" t="s">
        <v>74</v>
      </c>
      <c r="C323" s="59"/>
      <c r="D323" s="60">
        <v>1</v>
      </c>
      <c r="E323" s="59" t="s">
        <v>61</v>
      </c>
      <c r="F323" s="60">
        <v>1.95</v>
      </c>
      <c r="G323" s="59"/>
      <c r="H323" s="58">
        <f>PRODUCT(D323:G323)</f>
        <v>1.95</v>
      </c>
      <c r="I323" s="57"/>
      <c r="J323" s="52"/>
    </row>
    <row r="324" spans="1:10" ht="12" customHeight="1">
      <c r="A324" s="830"/>
      <c r="B324" s="65"/>
      <c r="C324" s="59"/>
      <c r="D324" s="60">
        <v>1</v>
      </c>
      <c r="E324" s="59" t="s">
        <v>61</v>
      </c>
      <c r="F324" s="60">
        <v>1.95</v>
      </c>
      <c r="G324" s="59"/>
      <c r="H324" s="58">
        <f>PRODUCT(D324:G324)</f>
        <v>1.95</v>
      </c>
      <c r="I324" s="57"/>
      <c r="J324" s="52"/>
    </row>
    <row r="325" spans="1:10" ht="12" customHeight="1">
      <c r="A325" s="830"/>
      <c r="B325" s="65" t="s">
        <v>73</v>
      </c>
      <c r="C325" s="59"/>
      <c r="D325" s="60">
        <v>2</v>
      </c>
      <c r="E325" s="59" t="s">
        <v>61</v>
      </c>
      <c r="F325" s="60">
        <v>1.95</v>
      </c>
      <c r="G325" s="59"/>
      <c r="H325" s="58">
        <f>PRODUCT(D325:G325)</f>
        <v>3.9</v>
      </c>
      <c r="I325" s="57"/>
      <c r="J325" s="52"/>
    </row>
    <row r="326" spans="1:10" ht="12" customHeight="1">
      <c r="A326" s="830"/>
      <c r="B326" s="65" t="s">
        <v>72</v>
      </c>
      <c r="C326" s="59"/>
      <c r="D326" s="60"/>
      <c r="E326" s="59"/>
      <c r="F326" s="60"/>
      <c r="G326" s="59"/>
      <c r="H326" s="58"/>
      <c r="I326" s="57"/>
      <c r="J326" s="52"/>
    </row>
    <row r="327" spans="1:10" ht="12" customHeight="1">
      <c r="A327" s="830"/>
      <c r="B327" s="65" t="s">
        <v>71</v>
      </c>
      <c r="C327" s="59"/>
      <c r="D327" s="60">
        <v>2</v>
      </c>
      <c r="E327" s="59" t="s">
        <v>61</v>
      </c>
      <c r="F327" s="60">
        <v>2.15</v>
      </c>
      <c r="G327" s="59"/>
      <c r="H327" s="58">
        <f>PRODUCT(D327:G327)</f>
        <v>4.3</v>
      </c>
      <c r="I327" s="57"/>
      <c r="J327" s="52"/>
    </row>
    <row r="328" spans="1:10" ht="12" customHeight="1">
      <c r="A328" s="830"/>
      <c r="B328" s="65" t="s">
        <v>70</v>
      </c>
      <c r="C328" s="59"/>
      <c r="D328" s="60">
        <v>2</v>
      </c>
      <c r="E328" s="59" t="s">
        <v>61</v>
      </c>
      <c r="F328" s="60">
        <v>2.15</v>
      </c>
      <c r="G328" s="59"/>
      <c r="H328" s="58">
        <f>PRODUCT(D328:G328)</f>
        <v>4.3</v>
      </c>
      <c r="I328" s="57"/>
      <c r="J328" s="52"/>
    </row>
    <row r="329" spans="1:10" ht="12" customHeight="1">
      <c r="A329" s="830"/>
      <c r="B329" s="65" t="s">
        <v>69</v>
      </c>
      <c r="C329" s="59"/>
      <c r="D329" s="60"/>
      <c r="E329" s="59"/>
      <c r="F329" s="60"/>
      <c r="G329" s="59"/>
      <c r="H329" s="58"/>
      <c r="I329" s="57"/>
      <c r="J329" s="52"/>
    </row>
    <row r="330" spans="1:10" ht="12" customHeight="1">
      <c r="A330" s="830"/>
      <c r="B330" s="65" t="s">
        <v>68</v>
      </c>
      <c r="C330" s="59"/>
      <c r="D330" s="60">
        <v>2</v>
      </c>
      <c r="E330" s="59" t="s">
        <v>61</v>
      </c>
      <c r="F330" s="60">
        <v>1.95</v>
      </c>
      <c r="G330" s="59"/>
      <c r="H330" s="58">
        <f>PRODUCT(D330:G330)</f>
        <v>3.9</v>
      </c>
      <c r="I330" s="57"/>
      <c r="J330" s="52"/>
    </row>
    <row r="331" spans="1:10" ht="12" customHeight="1">
      <c r="A331" s="830"/>
      <c r="B331" s="65" t="s">
        <v>67</v>
      </c>
      <c r="C331" s="59"/>
      <c r="D331" s="60">
        <v>1</v>
      </c>
      <c r="E331" s="59" t="s">
        <v>61</v>
      </c>
      <c r="F331" s="60">
        <v>1.95</v>
      </c>
      <c r="G331" s="59"/>
      <c r="H331" s="58">
        <f>PRODUCT(D331:G331)</f>
        <v>1.95</v>
      </c>
      <c r="I331" s="57"/>
      <c r="J331" s="52"/>
    </row>
    <row r="332" spans="1:10" ht="12" customHeight="1">
      <c r="A332" s="830"/>
      <c r="B332" s="66"/>
      <c r="C332" s="59"/>
      <c r="D332" s="60">
        <v>1</v>
      </c>
      <c r="E332" s="59" t="s">
        <v>61</v>
      </c>
      <c r="F332" s="60">
        <v>1.95</v>
      </c>
      <c r="G332" s="59"/>
      <c r="H332" s="58">
        <f>PRODUCT(D332:G332)</f>
        <v>1.95</v>
      </c>
      <c r="I332" s="57"/>
      <c r="J332" s="52"/>
    </row>
    <row r="333" spans="1:10" ht="12" customHeight="1">
      <c r="A333" s="830"/>
      <c r="B333" s="65" t="s">
        <v>66</v>
      </c>
      <c r="C333" s="59"/>
      <c r="D333" s="60">
        <v>1</v>
      </c>
      <c r="E333" s="59" t="s">
        <v>61</v>
      </c>
      <c r="F333" s="60">
        <v>1.95</v>
      </c>
      <c r="G333" s="59"/>
      <c r="H333" s="58">
        <f>PRODUCT(D333:G333)</f>
        <v>1.95</v>
      </c>
      <c r="I333" s="57"/>
      <c r="J333" s="52"/>
    </row>
    <row r="334" spans="1:10" ht="12" customHeight="1">
      <c r="A334" s="830"/>
      <c r="B334" s="66"/>
      <c r="C334" s="59"/>
      <c r="D334" s="60">
        <v>1</v>
      </c>
      <c r="E334" s="59" t="s">
        <v>61</v>
      </c>
      <c r="F334" s="60">
        <v>1.95</v>
      </c>
      <c r="G334" s="59"/>
      <c r="H334" s="58">
        <f>PRODUCT(D334:G334)</f>
        <v>1.95</v>
      </c>
      <c r="I334" s="57"/>
      <c r="J334" s="52"/>
    </row>
    <row r="335" spans="1:10" ht="12" customHeight="1">
      <c r="A335" s="830"/>
      <c r="B335" s="65" t="s">
        <v>65</v>
      </c>
      <c r="C335" s="59"/>
      <c r="D335" s="60"/>
      <c r="E335" s="59"/>
      <c r="F335" s="60"/>
      <c r="G335" s="59"/>
      <c r="H335" s="58"/>
      <c r="I335" s="57"/>
      <c r="J335" s="52"/>
    </row>
    <row r="336" spans="1:10" ht="12" customHeight="1">
      <c r="A336" s="830"/>
      <c r="B336" s="65" t="s">
        <v>64</v>
      </c>
      <c r="C336" s="59"/>
      <c r="D336" s="60">
        <v>2</v>
      </c>
      <c r="E336" s="59" t="s">
        <v>61</v>
      </c>
      <c r="F336" s="60">
        <v>1.75</v>
      </c>
      <c r="G336" s="59"/>
      <c r="H336" s="58">
        <f>PRODUCT(D336:G336)</f>
        <v>3.5</v>
      </c>
      <c r="I336" s="57"/>
      <c r="J336" s="52"/>
    </row>
    <row r="337" spans="1:10" ht="12" customHeight="1">
      <c r="A337" s="830"/>
      <c r="B337" s="65" t="s">
        <v>63</v>
      </c>
      <c r="C337" s="59"/>
      <c r="D337" s="60">
        <v>2</v>
      </c>
      <c r="E337" s="59" t="s">
        <v>61</v>
      </c>
      <c r="F337" s="60">
        <v>1.75</v>
      </c>
      <c r="G337" s="59"/>
      <c r="H337" s="58">
        <f>PRODUCT(D337:G337)</f>
        <v>3.5</v>
      </c>
      <c r="I337" s="57"/>
      <c r="J337" s="52"/>
    </row>
    <row r="338" spans="1:10" ht="12" customHeight="1">
      <c r="A338" s="830"/>
      <c r="B338" s="65" t="s">
        <v>62</v>
      </c>
      <c r="C338" s="59"/>
      <c r="D338" s="60">
        <v>2</v>
      </c>
      <c r="E338" s="59" t="s">
        <v>61</v>
      </c>
      <c r="F338" s="60">
        <v>1.75</v>
      </c>
      <c r="G338" s="59"/>
      <c r="H338" s="58">
        <f>PRODUCT(D338:G338)</f>
        <v>3.5</v>
      </c>
      <c r="I338" s="57"/>
      <c r="J338" s="52"/>
    </row>
    <row r="339" spans="1:10" ht="12" customHeight="1">
      <c r="A339" s="830"/>
      <c r="B339" s="52"/>
      <c r="C339" s="59"/>
      <c r="D339" s="60"/>
      <c r="E339" s="59"/>
      <c r="F339" s="60"/>
      <c r="G339" s="59"/>
      <c r="H339" s="58"/>
      <c r="I339" s="57"/>
      <c r="J339" s="52"/>
    </row>
    <row r="340" spans="1:10" ht="12" customHeight="1">
      <c r="A340" s="825" t="str">
        <f>A$265 &amp; ".07"</f>
        <v>01.02.03.07</v>
      </c>
      <c r="B340" s="63" t="s">
        <v>60</v>
      </c>
      <c r="C340" s="59"/>
      <c r="D340" s="60"/>
      <c r="E340" s="59"/>
      <c r="F340" s="60"/>
      <c r="G340" s="59"/>
      <c r="H340" s="58"/>
      <c r="I340" s="57"/>
      <c r="J340" s="52"/>
    </row>
    <row r="341" spans="1:10" ht="12" customHeight="1">
      <c r="A341" s="832" t="str">
        <f>A$340 &amp; ".01"</f>
        <v>01.02.03.07.01</v>
      </c>
      <c r="B341" s="62" t="s">
        <v>59</v>
      </c>
      <c r="C341" s="59" t="s">
        <v>58</v>
      </c>
      <c r="D341" s="60">
        <v>1</v>
      </c>
      <c r="E341" s="59">
        <v>1</v>
      </c>
      <c r="F341" s="60"/>
      <c r="G341" s="59"/>
      <c r="H341" s="58">
        <v>1</v>
      </c>
      <c r="I341" s="57">
        <f>H341</f>
        <v>1</v>
      </c>
      <c r="J341" s="52"/>
    </row>
    <row r="342" spans="1:10" ht="12" customHeight="1">
      <c r="A342" s="830"/>
      <c r="B342" s="52"/>
      <c r="C342" s="59"/>
      <c r="D342" s="60"/>
      <c r="E342" s="59"/>
      <c r="F342" s="60"/>
      <c r="G342" s="59"/>
      <c r="H342" s="58"/>
      <c r="I342" s="57"/>
      <c r="J342" s="52"/>
    </row>
    <row r="343" spans="1:10" ht="12" customHeight="1">
      <c r="A343" s="825" t="str">
        <f>A$265 &amp; ".08"</f>
        <v>01.02.03.08</v>
      </c>
      <c r="B343" s="63" t="s">
        <v>57</v>
      </c>
      <c r="C343" s="59"/>
      <c r="D343" s="60"/>
      <c r="E343" s="59"/>
      <c r="F343" s="60"/>
      <c r="G343" s="59"/>
      <c r="H343" s="58"/>
      <c r="I343" s="57"/>
      <c r="J343" s="52"/>
    </row>
    <row r="344" spans="1:10" ht="12" customHeight="1">
      <c r="A344" s="832" t="str">
        <f>A$343 &amp; ".01"</f>
        <v>01.02.03.08.01</v>
      </c>
      <c r="B344" s="62" t="s">
        <v>56</v>
      </c>
      <c r="C344" s="59" t="s">
        <v>55</v>
      </c>
      <c r="D344" s="60"/>
      <c r="E344" s="59"/>
      <c r="F344" s="60"/>
      <c r="G344" s="59"/>
      <c r="H344" s="58"/>
      <c r="I344" s="57">
        <f>SUM(H345:H351)</f>
        <v>111.98050000000001</v>
      </c>
      <c r="J344" s="52"/>
    </row>
    <row r="345" spans="1:10" ht="12" customHeight="1">
      <c r="A345" s="830"/>
      <c r="B345" s="61" t="s">
        <v>54</v>
      </c>
      <c r="C345" s="59"/>
      <c r="D345" s="60">
        <f>I288</f>
        <v>12</v>
      </c>
      <c r="E345" s="59">
        <v>0.24</v>
      </c>
      <c r="F345" s="60"/>
      <c r="G345" s="59">
        <v>2.2999999999999998</v>
      </c>
      <c r="H345" s="58">
        <f t="shared" ref="H345:H351" si="5">PRODUCT(D345:G345)</f>
        <v>6.6239999999999997</v>
      </c>
      <c r="I345" s="57"/>
      <c r="J345" s="52"/>
    </row>
    <row r="346" spans="1:10" ht="12" customHeight="1">
      <c r="A346" s="830"/>
      <c r="B346" s="61" t="s">
        <v>53</v>
      </c>
      <c r="C346" s="59"/>
      <c r="D346" s="60">
        <f>I291</f>
        <v>66</v>
      </c>
      <c r="E346" s="59">
        <v>0.24</v>
      </c>
      <c r="F346" s="60"/>
      <c r="G346" s="59">
        <v>0.05</v>
      </c>
      <c r="H346" s="58">
        <f t="shared" si="5"/>
        <v>0.79200000000000004</v>
      </c>
      <c r="I346" s="57"/>
      <c r="J346" s="52"/>
    </row>
    <row r="347" spans="1:10" ht="12" customHeight="1">
      <c r="A347" s="830"/>
      <c r="B347" s="61" t="s">
        <v>52</v>
      </c>
      <c r="C347" s="59"/>
      <c r="D347" s="60">
        <v>1</v>
      </c>
      <c r="E347" s="59">
        <v>0.15</v>
      </c>
      <c r="F347" s="60"/>
      <c r="G347" s="59">
        <f>SUM(H300:H303)</f>
        <v>35.700000000000003</v>
      </c>
      <c r="H347" s="58">
        <f t="shared" si="5"/>
        <v>5.3550000000000004</v>
      </c>
      <c r="I347" s="57"/>
      <c r="J347" s="52"/>
    </row>
    <row r="348" spans="1:10" ht="12" customHeight="1">
      <c r="A348" s="830"/>
      <c r="B348" s="61" t="s">
        <v>51</v>
      </c>
      <c r="C348" s="59"/>
      <c r="D348" s="60">
        <v>1</v>
      </c>
      <c r="E348" s="59">
        <v>0.15</v>
      </c>
      <c r="F348" s="60"/>
      <c r="G348" s="59">
        <f>SUM(H305:H307)</f>
        <v>25.299999999999997</v>
      </c>
      <c r="H348" s="58">
        <f t="shared" si="5"/>
        <v>3.7949999999999995</v>
      </c>
      <c r="I348" s="57"/>
      <c r="J348" s="52"/>
    </row>
    <row r="349" spans="1:10" ht="12" customHeight="1">
      <c r="A349" s="830"/>
      <c r="B349" s="61" t="s">
        <v>50</v>
      </c>
      <c r="C349" s="59"/>
      <c r="D349" s="60">
        <v>1</v>
      </c>
      <c r="E349" s="59">
        <v>0.15</v>
      </c>
      <c r="F349" s="60"/>
      <c r="G349" s="59">
        <f>SUM(H309:H313)</f>
        <v>35.4</v>
      </c>
      <c r="H349" s="58">
        <f t="shared" si="5"/>
        <v>5.31</v>
      </c>
      <c r="I349" s="57"/>
      <c r="J349" s="52"/>
    </row>
    <row r="350" spans="1:10" ht="12" customHeight="1">
      <c r="A350" s="830"/>
      <c r="B350" s="61" t="s">
        <v>49</v>
      </c>
      <c r="C350" s="59"/>
      <c r="D350" s="60">
        <v>1</v>
      </c>
      <c r="E350" s="59">
        <v>0.15</v>
      </c>
      <c r="F350" s="60"/>
      <c r="G350" s="59">
        <f>SUM(H315:H318)</f>
        <v>34.03</v>
      </c>
      <c r="H350" s="58">
        <f t="shared" si="5"/>
        <v>5.1044999999999998</v>
      </c>
      <c r="I350" s="57"/>
      <c r="J350" s="52"/>
    </row>
    <row r="351" spans="1:10" ht="12" customHeight="1">
      <c r="A351" s="836"/>
      <c r="B351" s="61" t="s">
        <v>48</v>
      </c>
      <c r="C351" s="59"/>
      <c r="D351" s="60">
        <v>2</v>
      </c>
      <c r="E351" s="59"/>
      <c r="F351" s="60" t="s">
        <v>47</v>
      </c>
      <c r="G351" s="59">
        <f>I320</f>
        <v>42.5</v>
      </c>
      <c r="H351" s="58">
        <f t="shared" si="5"/>
        <v>85</v>
      </c>
      <c r="I351" s="57"/>
      <c r="J351" s="52"/>
    </row>
    <row r="352" spans="1:10" ht="12" customHeight="1">
      <c r="A352" s="837"/>
      <c r="B352" s="56"/>
      <c r="C352" s="55"/>
      <c r="D352" s="54"/>
      <c r="E352" s="55"/>
      <c r="F352" s="54"/>
      <c r="G352" s="55"/>
      <c r="H352" s="54"/>
      <c r="I352" s="53"/>
      <c r="J352" s="52"/>
    </row>
    <row r="353" spans="1:10" ht="12" customHeight="1">
      <c r="A353" s="125"/>
      <c r="B353" s="52"/>
      <c r="C353" s="52"/>
      <c r="D353" s="52"/>
      <c r="E353" s="52"/>
      <c r="F353" s="52"/>
      <c r="G353" s="52"/>
      <c r="H353" s="52"/>
      <c r="I353" s="52"/>
      <c r="J353" s="52"/>
    </row>
    <row r="354" spans="1:10" ht="12" customHeight="1">
      <c r="A354" s="125"/>
      <c r="B354" s="52"/>
      <c r="C354" s="52"/>
      <c r="D354" s="52"/>
      <c r="E354" s="52"/>
      <c r="F354" s="52"/>
      <c r="G354" s="52"/>
      <c r="H354" s="52"/>
      <c r="I354" s="52"/>
      <c r="J354" s="52"/>
    </row>
    <row r="355" spans="1:10" ht="12" customHeight="1">
      <c r="A355" s="125"/>
      <c r="B355" s="52"/>
      <c r="C355" s="52"/>
      <c r="D355" s="52"/>
      <c r="E355" s="52"/>
      <c r="F355" s="52"/>
      <c r="G355" s="52"/>
      <c r="H355" s="52"/>
      <c r="I355" s="52"/>
      <c r="J355" s="52"/>
    </row>
    <row r="356" spans="1:10" ht="12" customHeight="1">
      <c r="A356" s="125"/>
      <c r="B356" s="52"/>
      <c r="C356" s="52"/>
      <c r="D356" s="52"/>
      <c r="E356" s="52"/>
      <c r="F356" s="52"/>
      <c r="G356" s="52"/>
      <c r="H356" s="52"/>
      <c r="I356" s="52"/>
      <c r="J356" s="52"/>
    </row>
    <row r="357" spans="1:10" ht="12" customHeight="1">
      <c r="A357" s="125"/>
      <c r="B357" s="52"/>
      <c r="C357" s="52"/>
      <c r="D357" s="52"/>
      <c r="E357" s="52"/>
      <c r="F357" s="52"/>
      <c r="G357" s="52"/>
      <c r="H357" s="52"/>
      <c r="I357" s="52"/>
      <c r="J357" s="52"/>
    </row>
    <row r="358" spans="1:10" ht="12" customHeight="1">
      <c r="A358" s="125"/>
      <c r="B358" s="52"/>
      <c r="C358" s="52"/>
      <c r="D358" s="52"/>
      <c r="E358" s="52"/>
      <c r="F358" s="52"/>
      <c r="G358" s="52"/>
      <c r="H358" s="52"/>
      <c r="I358" s="52"/>
      <c r="J358" s="52"/>
    </row>
    <row r="359" spans="1:10" ht="12" customHeight="1">
      <c r="A359" s="125"/>
      <c r="B359" s="52"/>
      <c r="C359" s="52"/>
      <c r="D359" s="52"/>
      <c r="E359" s="52"/>
      <c r="F359" s="52"/>
      <c r="G359" s="52"/>
      <c r="H359" s="52"/>
      <c r="I359" s="52"/>
      <c r="J359" s="52"/>
    </row>
    <row r="360" spans="1:10" ht="12" customHeight="1">
      <c r="A360" s="125"/>
      <c r="B360" s="52"/>
      <c r="C360" s="52"/>
      <c r="D360" s="52"/>
      <c r="E360" s="52"/>
      <c r="F360" s="52"/>
      <c r="G360" s="52"/>
      <c r="H360" s="52"/>
      <c r="I360" s="52"/>
      <c r="J360" s="52"/>
    </row>
    <row r="361" spans="1:10" ht="12" customHeight="1">
      <c r="A361" s="125"/>
      <c r="B361" s="52"/>
      <c r="C361" s="52"/>
      <c r="D361" s="52"/>
      <c r="E361" s="52"/>
      <c r="F361" s="52"/>
      <c r="G361" s="52"/>
      <c r="H361" s="52"/>
      <c r="I361" s="52"/>
      <c r="J361" s="52"/>
    </row>
    <row r="362" spans="1:10" ht="12" customHeight="1">
      <c r="A362" s="125"/>
      <c r="B362" s="52"/>
      <c r="C362" s="52"/>
      <c r="D362" s="52"/>
      <c r="E362" s="52"/>
      <c r="F362" s="52"/>
      <c r="G362" s="52"/>
      <c r="H362" s="52"/>
      <c r="I362" s="52"/>
      <c r="J362" s="52"/>
    </row>
    <row r="363" spans="1:10" ht="12" customHeight="1">
      <c r="A363" s="125"/>
      <c r="B363" s="52"/>
      <c r="C363" s="52"/>
      <c r="D363" s="52"/>
      <c r="E363" s="52"/>
      <c r="F363" s="52"/>
      <c r="G363" s="52"/>
      <c r="H363" s="52"/>
      <c r="I363" s="52"/>
      <c r="J363" s="52"/>
    </row>
    <row r="364" spans="1:10" ht="12" customHeight="1">
      <c r="A364" s="125"/>
      <c r="B364" s="52"/>
      <c r="C364" s="52"/>
      <c r="D364" s="52"/>
      <c r="E364" s="52"/>
      <c r="F364" s="52"/>
      <c r="G364" s="52"/>
      <c r="H364" s="52"/>
      <c r="I364" s="52"/>
      <c r="J364" s="52"/>
    </row>
    <row r="365" spans="1:10" ht="12" customHeight="1">
      <c r="A365" s="125"/>
      <c r="B365" s="52"/>
      <c r="C365" s="52"/>
      <c r="D365" s="52"/>
      <c r="E365" s="52"/>
      <c r="F365" s="52"/>
      <c r="G365" s="52"/>
      <c r="H365" s="52"/>
      <c r="I365" s="52"/>
      <c r="J365" s="52"/>
    </row>
    <row r="366" spans="1:10" ht="12" customHeight="1">
      <c r="A366" s="125"/>
      <c r="B366" s="52"/>
      <c r="C366" s="52"/>
      <c r="D366" s="52"/>
      <c r="E366" s="52"/>
      <c r="F366" s="52"/>
      <c r="G366" s="52"/>
      <c r="H366" s="52"/>
      <c r="I366" s="52"/>
      <c r="J366" s="52"/>
    </row>
    <row r="367" spans="1:10" ht="12" customHeight="1">
      <c r="A367" s="125"/>
      <c r="B367" s="52"/>
      <c r="C367" s="52"/>
      <c r="D367" s="52"/>
      <c r="E367" s="52"/>
      <c r="F367" s="52"/>
      <c r="G367" s="52"/>
      <c r="H367" s="52"/>
      <c r="I367" s="52"/>
      <c r="J367" s="52"/>
    </row>
    <row r="368" spans="1:10" ht="12" customHeight="1">
      <c r="A368" s="125"/>
      <c r="B368" s="52"/>
      <c r="C368" s="52"/>
      <c r="D368" s="52"/>
      <c r="E368" s="52"/>
      <c r="F368" s="52"/>
      <c r="G368" s="52"/>
      <c r="H368" s="52"/>
      <c r="I368" s="52"/>
      <c r="J368" s="52"/>
    </row>
    <row r="369" spans="1:10" ht="12" customHeight="1">
      <c r="A369" s="125"/>
      <c r="B369" s="52"/>
      <c r="C369" s="52"/>
      <c r="D369" s="52"/>
      <c r="E369" s="52"/>
      <c r="F369" s="52"/>
      <c r="G369" s="52"/>
      <c r="H369" s="52"/>
      <c r="I369" s="52"/>
      <c r="J369" s="52"/>
    </row>
    <row r="370" spans="1:10" ht="12" customHeight="1">
      <c r="A370" s="125"/>
      <c r="B370" s="52"/>
      <c r="C370" s="52"/>
      <c r="D370" s="52"/>
      <c r="E370" s="52"/>
      <c r="F370" s="52"/>
      <c r="G370" s="52"/>
      <c r="H370" s="52"/>
      <c r="I370" s="52"/>
      <c r="J370" s="52"/>
    </row>
    <row r="371" spans="1:10" ht="12" customHeight="1">
      <c r="A371" s="125"/>
      <c r="B371" s="52"/>
      <c r="C371" s="52"/>
      <c r="D371" s="52"/>
      <c r="E371" s="52"/>
      <c r="F371" s="52"/>
      <c r="G371" s="52"/>
      <c r="H371" s="52"/>
      <c r="I371" s="52"/>
      <c r="J371" s="52"/>
    </row>
    <row r="372" spans="1:10" ht="12" customHeight="1">
      <c r="A372" s="125"/>
      <c r="B372" s="52"/>
      <c r="C372" s="52"/>
      <c r="D372" s="52"/>
      <c r="E372" s="52"/>
      <c r="F372" s="52"/>
      <c r="G372" s="52"/>
      <c r="H372" s="52"/>
      <c r="I372" s="52"/>
      <c r="J372" s="52"/>
    </row>
    <row r="373" spans="1:10" ht="12" customHeight="1">
      <c r="A373" s="125"/>
      <c r="B373" s="52"/>
      <c r="C373" s="52"/>
      <c r="D373" s="52"/>
      <c r="E373" s="52"/>
      <c r="F373" s="52"/>
      <c r="G373" s="52"/>
      <c r="H373" s="52"/>
      <c r="I373" s="52"/>
      <c r="J373" s="52"/>
    </row>
    <row r="374" spans="1:10" ht="12" customHeight="1">
      <c r="A374" s="125"/>
      <c r="B374" s="52"/>
      <c r="C374" s="52"/>
      <c r="D374" s="52"/>
      <c r="E374" s="52"/>
      <c r="F374" s="52"/>
      <c r="G374" s="52"/>
      <c r="H374" s="52"/>
      <c r="I374" s="52"/>
      <c r="J374" s="52"/>
    </row>
    <row r="375" spans="1:10" ht="12" customHeight="1">
      <c r="A375" s="125"/>
      <c r="B375" s="52"/>
      <c r="C375" s="52"/>
      <c r="D375" s="52"/>
      <c r="E375" s="52"/>
      <c r="F375" s="52"/>
      <c r="G375" s="52"/>
      <c r="H375" s="52"/>
      <c r="I375" s="52"/>
      <c r="J375" s="52"/>
    </row>
    <row r="376" spans="1:10" ht="12" customHeight="1">
      <c r="A376" s="125"/>
      <c r="B376" s="52"/>
      <c r="C376" s="52"/>
      <c r="D376" s="52"/>
      <c r="E376" s="52"/>
      <c r="F376" s="52"/>
      <c r="G376" s="52"/>
      <c r="H376" s="52"/>
      <c r="I376" s="52"/>
      <c r="J376" s="52"/>
    </row>
    <row r="377" spans="1:10" ht="12" customHeight="1">
      <c r="A377" s="125"/>
      <c r="B377" s="52"/>
      <c r="C377" s="52"/>
      <c r="D377" s="52"/>
      <c r="E377" s="52"/>
      <c r="F377" s="52"/>
      <c r="G377" s="52"/>
      <c r="H377" s="52"/>
      <c r="I377" s="52"/>
      <c r="J377" s="52"/>
    </row>
    <row r="378" spans="1:10" ht="12" customHeight="1">
      <c r="A378" s="125"/>
      <c r="B378" s="52"/>
      <c r="C378" s="52"/>
      <c r="D378" s="52"/>
      <c r="E378" s="52"/>
      <c r="F378" s="52"/>
      <c r="G378" s="52"/>
      <c r="H378" s="52"/>
      <c r="I378" s="52"/>
      <c r="J378" s="52"/>
    </row>
    <row r="379" spans="1:10" ht="12" customHeight="1">
      <c r="A379" s="125"/>
      <c r="B379" s="52"/>
      <c r="C379" s="52"/>
      <c r="D379" s="52"/>
      <c r="E379" s="52"/>
      <c r="F379" s="52"/>
      <c r="G379" s="52"/>
      <c r="H379" s="52"/>
      <c r="I379" s="52"/>
      <c r="J379" s="52"/>
    </row>
    <row r="380" spans="1:10" ht="12" customHeight="1">
      <c r="A380" s="125"/>
      <c r="B380" s="52"/>
      <c r="C380" s="52"/>
      <c r="D380" s="52"/>
      <c r="E380" s="52"/>
      <c r="F380" s="52"/>
      <c r="G380" s="52"/>
      <c r="H380" s="52"/>
      <c r="I380" s="52"/>
      <c r="J380" s="52"/>
    </row>
    <row r="381" spans="1:10" ht="12" customHeight="1">
      <c r="A381" s="125"/>
      <c r="B381" s="52"/>
      <c r="C381" s="52"/>
      <c r="D381" s="52"/>
      <c r="E381" s="52"/>
      <c r="F381" s="52"/>
      <c r="G381" s="52"/>
      <c r="H381" s="52"/>
      <c r="I381" s="52"/>
      <c r="J381" s="52"/>
    </row>
    <row r="382" spans="1:10" ht="12" customHeight="1">
      <c r="A382" s="125"/>
      <c r="B382" s="52"/>
      <c r="C382" s="52"/>
      <c r="D382" s="52"/>
      <c r="E382" s="52"/>
      <c r="F382" s="52"/>
      <c r="G382" s="52"/>
      <c r="H382" s="52"/>
      <c r="I382" s="52"/>
      <c r="J382" s="52"/>
    </row>
    <row r="383" spans="1:10" ht="12" customHeight="1">
      <c r="A383" s="125"/>
      <c r="B383" s="52"/>
      <c r="C383" s="52"/>
      <c r="D383" s="52"/>
      <c r="E383" s="52"/>
      <c r="F383" s="52"/>
      <c r="G383" s="52"/>
      <c r="H383" s="52"/>
      <c r="I383" s="52"/>
      <c r="J383" s="52"/>
    </row>
    <row r="384" spans="1:10" ht="12" customHeight="1">
      <c r="A384" s="125"/>
      <c r="B384" s="52"/>
      <c r="C384" s="52"/>
      <c r="D384" s="52"/>
      <c r="E384" s="52"/>
      <c r="F384" s="52"/>
      <c r="G384" s="52"/>
      <c r="H384" s="52"/>
      <c r="I384" s="52"/>
      <c r="J384" s="52"/>
    </row>
    <row r="385" spans="1:10" ht="12" customHeight="1">
      <c r="A385" s="125"/>
      <c r="B385" s="52"/>
      <c r="C385" s="52"/>
      <c r="D385" s="52"/>
      <c r="E385" s="52"/>
      <c r="F385" s="52"/>
      <c r="G385" s="52"/>
      <c r="H385" s="52"/>
      <c r="I385" s="52"/>
      <c r="J385" s="52"/>
    </row>
    <row r="386" spans="1:10" ht="12" customHeight="1">
      <c r="A386" s="125"/>
      <c r="B386" s="52"/>
      <c r="C386" s="52"/>
      <c r="D386" s="52"/>
      <c r="E386" s="52"/>
      <c r="F386" s="52"/>
      <c r="G386" s="52"/>
      <c r="H386" s="52"/>
      <c r="I386" s="52"/>
      <c r="J386" s="52"/>
    </row>
    <row r="387" spans="1:10" ht="12" customHeight="1">
      <c r="A387" s="125"/>
      <c r="B387" s="52"/>
      <c r="C387" s="52"/>
      <c r="D387" s="52"/>
      <c r="E387" s="52"/>
      <c r="F387" s="52"/>
      <c r="G387" s="52"/>
      <c r="H387" s="52"/>
      <c r="I387" s="52"/>
      <c r="J387" s="52"/>
    </row>
    <row r="388" spans="1:10" ht="12" customHeight="1">
      <c r="A388" s="125"/>
      <c r="B388" s="52"/>
      <c r="C388" s="52"/>
      <c r="D388" s="52"/>
      <c r="E388" s="52"/>
      <c r="F388" s="52"/>
      <c r="G388" s="52"/>
      <c r="H388" s="52"/>
      <c r="I388" s="52"/>
      <c r="J388" s="52"/>
    </row>
    <row r="389" spans="1:10" ht="12" customHeight="1">
      <c r="A389" s="125"/>
      <c r="B389" s="52"/>
      <c r="C389" s="52"/>
      <c r="D389" s="52"/>
      <c r="E389" s="52"/>
      <c r="F389" s="52"/>
      <c r="G389" s="52"/>
      <c r="H389" s="52"/>
      <c r="I389" s="52"/>
      <c r="J389" s="52"/>
    </row>
    <row r="390" spans="1:10" ht="12" customHeight="1">
      <c r="A390" s="125"/>
      <c r="B390" s="52"/>
      <c r="C390" s="52"/>
      <c r="D390" s="52"/>
      <c r="E390" s="52"/>
      <c r="F390" s="52"/>
      <c r="G390" s="52"/>
      <c r="H390" s="52"/>
      <c r="I390" s="52"/>
      <c r="J390" s="52"/>
    </row>
    <row r="391" spans="1:10" ht="12" customHeight="1">
      <c r="A391" s="125"/>
      <c r="B391" s="52"/>
      <c r="C391" s="52"/>
      <c r="D391" s="52"/>
      <c r="E391" s="52"/>
      <c r="F391" s="52"/>
      <c r="G391" s="52"/>
      <c r="H391" s="52"/>
      <c r="I391" s="52"/>
      <c r="J391" s="52"/>
    </row>
    <row r="392" spans="1:10" ht="12" customHeight="1">
      <c r="A392" s="125"/>
      <c r="B392" s="52"/>
      <c r="C392" s="52"/>
      <c r="D392" s="52"/>
      <c r="E392" s="52"/>
      <c r="F392" s="52"/>
      <c r="G392" s="52"/>
      <c r="H392" s="52"/>
      <c r="I392" s="52"/>
      <c r="J392" s="52"/>
    </row>
    <row r="393" spans="1:10" ht="12" customHeight="1">
      <c r="A393" s="125"/>
      <c r="B393" s="52"/>
      <c r="C393" s="52"/>
      <c r="D393" s="52"/>
      <c r="E393" s="52"/>
      <c r="F393" s="52"/>
      <c r="G393" s="52"/>
      <c r="H393" s="52"/>
      <c r="I393" s="52"/>
      <c r="J393" s="52"/>
    </row>
    <row r="394" spans="1:10" ht="12" customHeight="1">
      <c r="A394" s="125"/>
      <c r="B394" s="52"/>
      <c r="C394" s="52"/>
      <c r="D394" s="52"/>
      <c r="E394" s="52"/>
      <c r="F394" s="52"/>
      <c r="G394" s="52"/>
      <c r="H394" s="52"/>
      <c r="I394" s="52"/>
      <c r="J394" s="52"/>
    </row>
    <row r="395" spans="1:10" ht="12" customHeight="1">
      <c r="A395" s="125"/>
      <c r="B395" s="52"/>
      <c r="C395" s="52"/>
      <c r="D395" s="52"/>
      <c r="E395" s="52"/>
      <c r="F395" s="52"/>
      <c r="G395" s="52"/>
      <c r="H395" s="52"/>
      <c r="I395" s="52"/>
      <c r="J395" s="52"/>
    </row>
    <row r="396" spans="1:10" ht="12" customHeight="1">
      <c r="A396" s="125"/>
      <c r="B396" s="52"/>
      <c r="C396" s="52"/>
      <c r="D396" s="52"/>
      <c r="E396" s="52"/>
      <c r="F396" s="52"/>
      <c r="G396" s="52"/>
      <c r="H396" s="52"/>
      <c r="I396" s="52"/>
      <c r="J396" s="52"/>
    </row>
    <row r="397" spans="1:10" ht="12" customHeight="1">
      <c r="A397" s="125"/>
      <c r="B397" s="52"/>
      <c r="C397" s="52"/>
      <c r="D397" s="52"/>
      <c r="E397" s="52"/>
      <c r="F397" s="52"/>
      <c r="G397" s="52"/>
      <c r="H397" s="52"/>
      <c r="I397" s="52"/>
      <c r="J397" s="52"/>
    </row>
    <row r="398" spans="1:10" ht="12" customHeight="1">
      <c r="A398" s="125"/>
      <c r="B398" s="52"/>
      <c r="C398" s="52"/>
      <c r="D398" s="52"/>
      <c r="E398" s="52"/>
      <c r="F398" s="52"/>
      <c r="G398" s="52"/>
      <c r="H398" s="52"/>
      <c r="I398" s="52"/>
      <c r="J398" s="52"/>
    </row>
    <row r="399" spans="1:10" ht="12" customHeight="1">
      <c r="A399" s="125"/>
      <c r="B399" s="52"/>
      <c r="C399" s="52"/>
      <c r="D399" s="52"/>
      <c r="E399" s="52"/>
      <c r="F399" s="52"/>
      <c r="G399" s="52"/>
      <c r="H399" s="52"/>
      <c r="I399" s="52"/>
      <c r="J399" s="52"/>
    </row>
    <row r="400" spans="1:10" ht="12" customHeight="1">
      <c r="A400" s="125"/>
      <c r="B400" s="52"/>
      <c r="C400" s="52"/>
      <c r="D400" s="52"/>
      <c r="E400" s="52"/>
      <c r="F400" s="52"/>
      <c r="G400" s="52"/>
      <c r="H400" s="52"/>
      <c r="I400" s="52"/>
      <c r="J400" s="52"/>
    </row>
    <row r="401" spans="1:10" ht="12" customHeight="1">
      <c r="A401" s="125"/>
      <c r="B401" s="52"/>
      <c r="C401" s="52"/>
      <c r="D401" s="52"/>
      <c r="E401" s="52"/>
      <c r="F401" s="52"/>
      <c r="G401" s="52"/>
      <c r="H401" s="52"/>
      <c r="I401" s="52"/>
      <c r="J401" s="52"/>
    </row>
    <row r="402" spans="1:10" ht="12" customHeight="1">
      <c r="A402" s="125"/>
      <c r="B402" s="52"/>
      <c r="C402" s="52"/>
      <c r="D402" s="52"/>
      <c r="E402" s="52"/>
      <c r="F402" s="52"/>
      <c r="G402" s="52"/>
      <c r="H402" s="52"/>
      <c r="I402" s="52"/>
      <c r="J402" s="52"/>
    </row>
    <row r="403" spans="1:10" ht="12" customHeight="1">
      <c r="A403" s="125"/>
      <c r="B403" s="52"/>
      <c r="C403" s="52"/>
      <c r="D403" s="52"/>
      <c r="E403" s="52"/>
      <c r="F403" s="52"/>
      <c r="G403" s="52"/>
      <c r="H403" s="52"/>
      <c r="I403" s="52"/>
      <c r="J403" s="52"/>
    </row>
    <row r="404" spans="1:10" ht="12" customHeight="1">
      <c r="A404" s="125"/>
      <c r="B404" s="52"/>
      <c r="C404" s="52"/>
      <c r="D404" s="52"/>
      <c r="E404" s="52"/>
      <c r="F404" s="52"/>
      <c r="G404" s="52"/>
      <c r="H404" s="52"/>
      <c r="I404" s="52"/>
      <c r="J404" s="52"/>
    </row>
    <row r="405" spans="1:10" ht="12" customHeight="1">
      <c r="A405" s="125"/>
      <c r="B405" s="52"/>
      <c r="C405" s="52"/>
      <c r="D405" s="52"/>
      <c r="E405" s="52"/>
      <c r="F405" s="52"/>
      <c r="G405" s="52"/>
      <c r="H405" s="52"/>
      <c r="I405" s="52"/>
      <c r="J405" s="52"/>
    </row>
    <row r="406" spans="1:10" ht="12" customHeight="1">
      <c r="A406" s="125"/>
      <c r="B406" s="52"/>
      <c r="C406" s="52"/>
      <c r="D406" s="52"/>
      <c r="E406" s="52"/>
      <c r="F406" s="52"/>
      <c r="G406" s="52"/>
      <c r="H406" s="52"/>
      <c r="I406" s="52"/>
      <c r="J406" s="52"/>
    </row>
    <row r="407" spans="1:10" ht="12" customHeight="1">
      <c r="A407" s="125"/>
      <c r="B407" s="52"/>
      <c r="C407" s="52"/>
      <c r="D407" s="52"/>
      <c r="E407" s="52"/>
      <c r="F407" s="52"/>
      <c r="G407" s="52"/>
      <c r="H407" s="52"/>
      <c r="I407" s="52"/>
      <c r="J407" s="52"/>
    </row>
    <row r="408" spans="1:10" ht="12" customHeight="1">
      <c r="A408" s="125"/>
      <c r="B408" s="52"/>
      <c r="C408" s="52"/>
      <c r="D408" s="52"/>
      <c r="E408" s="52"/>
      <c r="F408" s="52"/>
      <c r="G408" s="52"/>
      <c r="H408" s="52"/>
      <c r="I408" s="52"/>
      <c r="J408" s="52"/>
    </row>
    <row r="409" spans="1:10" ht="12" customHeight="1">
      <c r="A409" s="125"/>
      <c r="B409" s="52"/>
      <c r="C409" s="52"/>
      <c r="D409" s="52"/>
      <c r="E409" s="52"/>
      <c r="F409" s="52"/>
      <c r="G409" s="52"/>
      <c r="H409" s="52"/>
      <c r="I409" s="52"/>
      <c r="J409" s="52"/>
    </row>
    <row r="410" spans="1:10" ht="12" customHeight="1">
      <c r="A410" s="125"/>
      <c r="B410" s="52"/>
      <c r="C410" s="52"/>
      <c r="D410" s="52"/>
      <c r="E410" s="52"/>
      <c r="F410" s="52"/>
      <c r="G410" s="52"/>
      <c r="H410" s="52"/>
      <c r="I410" s="52"/>
      <c r="J410" s="52"/>
    </row>
    <row r="411" spans="1:10" ht="12" customHeight="1">
      <c r="A411" s="125"/>
      <c r="B411" s="52"/>
      <c r="C411" s="52"/>
      <c r="D411" s="52"/>
      <c r="E411" s="52"/>
      <c r="F411" s="52"/>
      <c r="G411" s="52"/>
      <c r="H411" s="52"/>
      <c r="I411" s="52"/>
      <c r="J411" s="52"/>
    </row>
    <row r="412" spans="1:10" ht="12" customHeight="1">
      <c r="A412" s="125"/>
      <c r="B412" s="52"/>
      <c r="C412" s="52"/>
      <c r="D412" s="52"/>
      <c r="E412" s="52"/>
      <c r="F412" s="52"/>
      <c r="G412" s="52"/>
      <c r="H412" s="52"/>
      <c r="I412" s="52"/>
      <c r="J412" s="52"/>
    </row>
    <row r="413" spans="1:10" ht="12" customHeight="1">
      <c r="A413" s="125"/>
      <c r="B413" s="52"/>
      <c r="C413" s="52"/>
      <c r="D413" s="52"/>
      <c r="E413" s="52"/>
      <c r="F413" s="52"/>
      <c r="G413" s="52"/>
      <c r="H413" s="52"/>
      <c r="I413" s="52"/>
      <c r="J413" s="52"/>
    </row>
    <row r="414" spans="1:10" ht="12" customHeight="1">
      <c r="A414" s="125"/>
      <c r="B414" s="52"/>
      <c r="C414" s="52"/>
      <c r="D414" s="52"/>
      <c r="E414" s="52"/>
      <c r="F414" s="52"/>
      <c r="G414" s="52"/>
      <c r="H414" s="52"/>
      <c r="I414" s="52"/>
      <c r="J414" s="52"/>
    </row>
    <row r="415" spans="1:10" ht="12" customHeight="1">
      <c r="A415" s="125"/>
      <c r="B415" s="52"/>
      <c r="C415" s="52"/>
      <c r="D415" s="52"/>
      <c r="E415" s="52"/>
      <c r="F415" s="52"/>
      <c r="G415" s="52"/>
      <c r="H415" s="52"/>
      <c r="I415" s="52"/>
      <c r="J415" s="52"/>
    </row>
    <row r="416" spans="1:10" ht="12" customHeight="1">
      <c r="A416" s="125"/>
      <c r="B416" s="52"/>
      <c r="C416" s="52"/>
      <c r="D416" s="52"/>
      <c r="E416" s="52"/>
      <c r="F416" s="52"/>
      <c r="G416" s="52"/>
      <c r="H416" s="52"/>
      <c r="I416" s="52"/>
      <c r="J416" s="52"/>
    </row>
    <row r="417" spans="1:10" ht="12" customHeight="1">
      <c r="A417" s="125"/>
      <c r="B417" s="52"/>
      <c r="C417" s="52"/>
      <c r="D417" s="52"/>
      <c r="E417" s="52"/>
      <c r="F417" s="52"/>
      <c r="G417" s="52"/>
      <c r="H417" s="52"/>
      <c r="I417" s="52"/>
      <c r="J417" s="52"/>
    </row>
    <row r="418" spans="1:10" ht="12" customHeight="1">
      <c r="A418" s="125"/>
      <c r="B418" s="52"/>
      <c r="C418" s="52"/>
      <c r="D418" s="52"/>
      <c r="E418" s="52"/>
      <c r="F418" s="52"/>
      <c r="G418" s="52"/>
      <c r="H418" s="52"/>
      <c r="I418" s="52"/>
      <c r="J418" s="52"/>
    </row>
    <row r="419" spans="1:10" ht="12" customHeight="1">
      <c r="A419" s="125"/>
      <c r="B419" s="52"/>
      <c r="C419" s="52"/>
      <c r="D419" s="52"/>
      <c r="E419" s="52"/>
      <c r="F419" s="52"/>
      <c r="G419" s="52"/>
      <c r="H419" s="52"/>
      <c r="I419" s="52"/>
      <c r="J419" s="52"/>
    </row>
    <row r="420" spans="1:10" ht="12" customHeight="1">
      <c r="A420" s="125"/>
      <c r="B420" s="52"/>
      <c r="C420" s="52"/>
      <c r="D420" s="52"/>
      <c r="E420" s="52"/>
      <c r="F420" s="52"/>
      <c r="G420" s="52"/>
      <c r="H420" s="52"/>
      <c r="I420" s="52"/>
      <c r="J420" s="52"/>
    </row>
    <row r="421" spans="1:10" ht="12" customHeight="1">
      <c r="A421" s="125"/>
      <c r="B421" s="52"/>
      <c r="C421" s="52"/>
      <c r="D421" s="52"/>
      <c r="E421" s="52"/>
      <c r="F421" s="52"/>
      <c r="G421" s="52"/>
      <c r="H421" s="52"/>
      <c r="I421" s="52"/>
      <c r="J421" s="52"/>
    </row>
    <row r="422" spans="1:10" ht="12" customHeight="1">
      <c r="A422" s="125"/>
      <c r="B422" s="52"/>
      <c r="C422" s="52"/>
      <c r="D422" s="52"/>
      <c r="E422" s="52"/>
      <c r="F422" s="52"/>
      <c r="G422" s="52"/>
      <c r="H422" s="52"/>
      <c r="I422" s="52"/>
      <c r="J422" s="52"/>
    </row>
    <row r="423" spans="1:10" ht="12" customHeight="1">
      <c r="A423" s="125"/>
      <c r="B423" s="52"/>
      <c r="C423" s="52"/>
      <c r="D423" s="52"/>
      <c r="E423" s="52"/>
      <c r="F423" s="52"/>
      <c r="G423" s="52"/>
      <c r="H423" s="52"/>
      <c r="I423" s="52"/>
      <c r="J423" s="52"/>
    </row>
    <row r="424" spans="1:10" ht="12" customHeight="1">
      <c r="A424" s="125"/>
      <c r="B424" s="52"/>
      <c r="C424" s="52"/>
      <c r="D424" s="52"/>
      <c r="E424" s="52"/>
      <c r="F424" s="52"/>
      <c r="G424" s="52"/>
      <c r="H424" s="52"/>
      <c r="I424" s="52"/>
      <c r="J424" s="52"/>
    </row>
    <row r="425" spans="1:10" ht="12" customHeight="1">
      <c r="A425" s="125"/>
      <c r="B425" s="52"/>
      <c r="C425" s="52"/>
      <c r="D425" s="52"/>
      <c r="E425" s="52"/>
      <c r="F425" s="52"/>
      <c r="G425" s="52"/>
      <c r="H425" s="52"/>
      <c r="I425" s="52"/>
      <c r="J425" s="52"/>
    </row>
    <row r="426" spans="1:10" ht="12" customHeight="1">
      <c r="A426" s="125"/>
      <c r="B426" s="52"/>
      <c r="C426" s="52"/>
      <c r="D426" s="52"/>
      <c r="E426" s="52"/>
      <c r="F426" s="52"/>
      <c r="G426" s="52"/>
      <c r="H426" s="52"/>
      <c r="I426" s="52"/>
      <c r="J426" s="52"/>
    </row>
    <row r="427" spans="1:10" ht="12" customHeight="1">
      <c r="A427" s="125"/>
      <c r="B427" s="52"/>
      <c r="C427" s="52"/>
      <c r="D427" s="52"/>
      <c r="E427" s="52"/>
      <c r="F427" s="52"/>
      <c r="G427" s="52"/>
      <c r="H427" s="52"/>
      <c r="I427" s="52"/>
      <c r="J427" s="52"/>
    </row>
    <row r="428" spans="1:10" ht="12" customHeight="1">
      <c r="A428" s="125"/>
      <c r="B428" s="52"/>
      <c r="C428" s="52"/>
      <c r="D428" s="52"/>
      <c r="E428" s="52"/>
      <c r="F428" s="52"/>
      <c r="G428" s="52"/>
      <c r="H428" s="52"/>
      <c r="I428" s="52"/>
      <c r="J428" s="52"/>
    </row>
    <row r="429" spans="1:10" ht="12" customHeight="1">
      <c r="A429" s="125"/>
      <c r="B429" s="52"/>
      <c r="C429" s="52"/>
      <c r="D429" s="52"/>
      <c r="E429" s="52"/>
      <c r="F429" s="52"/>
      <c r="G429" s="52"/>
      <c r="H429" s="52"/>
      <c r="I429" s="52"/>
      <c r="J429" s="52"/>
    </row>
    <row r="430" spans="1:10" ht="12" customHeight="1">
      <c r="A430" s="125"/>
      <c r="B430" s="52"/>
      <c r="C430" s="52"/>
      <c r="D430" s="52"/>
      <c r="E430" s="52"/>
      <c r="F430" s="52"/>
      <c r="G430" s="52"/>
      <c r="H430" s="52"/>
      <c r="I430" s="52"/>
      <c r="J430" s="52"/>
    </row>
    <row r="431" spans="1:10" ht="12" customHeight="1">
      <c r="A431" s="125"/>
      <c r="B431" s="52"/>
      <c r="C431" s="52"/>
      <c r="D431" s="52"/>
      <c r="E431" s="52"/>
      <c r="F431" s="52"/>
      <c r="G431" s="52"/>
      <c r="H431" s="52"/>
      <c r="I431" s="52"/>
      <c r="J431" s="52"/>
    </row>
    <row r="432" spans="1:10" ht="12" customHeight="1">
      <c r="A432" s="125"/>
      <c r="B432" s="52"/>
      <c r="C432" s="52"/>
      <c r="D432" s="52"/>
      <c r="E432" s="52"/>
      <c r="F432" s="52"/>
      <c r="G432" s="52"/>
      <c r="H432" s="52"/>
      <c r="I432" s="52"/>
      <c r="J432" s="52"/>
    </row>
    <row r="433" spans="1:10" ht="12" customHeight="1">
      <c r="A433" s="125"/>
      <c r="B433" s="52"/>
      <c r="C433" s="52"/>
      <c r="D433" s="52"/>
      <c r="E433" s="52"/>
      <c r="F433" s="52"/>
      <c r="G433" s="52"/>
      <c r="H433" s="52"/>
      <c r="I433" s="52"/>
      <c r="J433" s="52"/>
    </row>
    <row r="434" spans="1:10" ht="12" customHeight="1">
      <c r="A434" s="125"/>
      <c r="B434" s="52"/>
      <c r="C434" s="52"/>
      <c r="D434" s="52"/>
      <c r="E434" s="52"/>
      <c r="F434" s="52"/>
      <c r="G434" s="52"/>
      <c r="H434" s="52"/>
      <c r="I434" s="52"/>
      <c r="J434" s="52"/>
    </row>
    <row r="435" spans="1:10" ht="12" customHeight="1">
      <c r="A435" s="125"/>
      <c r="B435" s="52"/>
      <c r="C435" s="52"/>
      <c r="D435" s="52"/>
      <c r="E435" s="52"/>
      <c r="F435" s="52"/>
      <c r="G435" s="52"/>
      <c r="H435" s="52"/>
      <c r="I435" s="52"/>
      <c r="J435" s="52"/>
    </row>
    <row r="436" spans="1:10" ht="12" customHeight="1">
      <c r="A436" s="125"/>
      <c r="B436" s="52"/>
      <c r="C436" s="52"/>
      <c r="D436" s="52"/>
      <c r="E436" s="52"/>
      <c r="F436" s="52"/>
      <c r="G436" s="52"/>
      <c r="H436" s="52"/>
      <c r="I436" s="52"/>
      <c r="J436" s="52"/>
    </row>
    <row r="437" spans="1:10" ht="12" customHeight="1">
      <c r="A437" s="125"/>
      <c r="B437" s="52"/>
      <c r="C437" s="52"/>
      <c r="D437" s="52"/>
      <c r="E437" s="52"/>
      <c r="F437" s="52"/>
      <c r="G437" s="52"/>
      <c r="H437" s="52"/>
      <c r="I437" s="52"/>
      <c r="J437" s="52"/>
    </row>
    <row r="438" spans="1:10" ht="12" customHeight="1">
      <c r="A438" s="125"/>
      <c r="B438" s="52"/>
      <c r="C438" s="52"/>
      <c r="D438" s="52"/>
      <c r="E438" s="52"/>
      <c r="F438" s="52"/>
      <c r="G438" s="52"/>
      <c r="H438" s="52"/>
      <c r="I438" s="52"/>
      <c r="J438" s="52"/>
    </row>
    <row r="439" spans="1:10" ht="12" customHeight="1">
      <c r="A439" s="125"/>
      <c r="B439" s="52"/>
      <c r="C439" s="52"/>
      <c r="D439" s="52"/>
      <c r="E439" s="52"/>
      <c r="F439" s="52"/>
      <c r="G439" s="52"/>
      <c r="H439" s="52"/>
      <c r="I439" s="52"/>
      <c r="J439" s="52"/>
    </row>
    <row r="440" spans="1:10" ht="12" customHeight="1">
      <c r="A440" s="125"/>
      <c r="B440" s="52"/>
      <c r="C440" s="52"/>
      <c r="D440" s="52"/>
      <c r="E440" s="52"/>
      <c r="F440" s="52"/>
      <c r="G440" s="52"/>
      <c r="H440" s="52"/>
      <c r="I440" s="52"/>
      <c r="J440" s="52"/>
    </row>
    <row r="441" spans="1:10" ht="12" customHeight="1">
      <c r="A441" s="125"/>
      <c r="B441" s="52"/>
      <c r="C441" s="52"/>
      <c r="D441" s="52"/>
      <c r="E441" s="52"/>
      <c r="F441" s="52"/>
      <c r="G441" s="52"/>
      <c r="H441" s="52"/>
      <c r="I441" s="52"/>
      <c r="J441" s="52"/>
    </row>
    <row r="442" spans="1:10" ht="12" customHeight="1">
      <c r="A442" s="125"/>
      <c r="B442" s="52"/>
      <c r="C442" s="52"/>
      <c r="D442" s="52"/>
      <c r="E442" s="52"/>
      <c r="F442" s="52"/>
      <c r="G442" s="52"/>
      <c r="H442" s="52"/>
      <c r="I442" s="52"/>
      <c r="J442" s="52"/>
    </row>
    <row r="443" spans="1:10" ht="12" customHeight="1">
      <c r="A443" s="125"/>
      <c r="B443" s="52"/>
      <c r="C443" s="52"/>
      <c r="D443" s="52"/>
      <c r="E443" s="52"/>
      <c r="F443" s="52"/>
      <c r="G443" s="52"/>
      <c r="H443" s="52"/>
      <c r="I443" s="52"/>
      <c r="J443" s="52"/>
    </row>
    <row r="444" spans="1:10" ht="12" customHeight="1">
      <c r="A444" s="125"/>
      <c r="B444" s="52"/>
      <c r="C444" s="52"/>
      <c r="D444" s="52"/>
      <c r="E444" s="52"/>
      <c r="F444" s="52"/>
      <c r="G444" s="52"/>
      <c r="H444" s="52"/>
      <c r="I444" s="52"/>
      <c r="J444" s="52"/>
    </row>
    <row r="445" spans="1:10" ht="12" customHeight="1">
      <c r="A445" s="125"/>
      <c r="B445" s="52"/>
      <c r="C445" s="52"/>
      <c r="D445" s="52"/>
      <c r="E445" s="52"/>
      <c r="F445" s="52"/>
      <c r="G445" s="52"/>
      <c r="H445" s="52"/>
      <c r="I445" s="52"/>
      <c r="J445" s="52"/>
    </row>
    <row r="446" spans="1:10" ht="12" customHeight="1">
      <c r="A446" s="125"/>
      <c r="B446" s="52"/>
      <c r="C446" s="52"/>
      <c r="D446" s="52"/>
      <c r="E446" s="52"/>
      <c r="F446" s="52"/>
      <c r="G446" s="52"/>
      <c r="H446" s="52"/>
      <c r="I446" s="52"/>
      <c r="J446" s="52"/>
    </row>
    <row r="447" spans="1:10" ht="12" customHeight="1">
      <c r="A447" s="125"/>
      <c r="B447" s="52"/>
      <c r="C447" s="52"/>
      <c r="D447" s="52"/>
      <c r="E447" s="52"/>
      <c r="F447" s="52"/>
      <c r="G447" s="52"/>
      <c r="H447" s="52"/>
      <c r="I447" s="52"/>
      <c r="J447" s="52"/>
    </row>
    <row r="448" spans="1:10" ht="12" customHeight="1">
      <c r="A448" s="125"/>
      <c r="B448" s="52"/>
      <c r="C448" s="52"/>
      <c r="D448" s="52"/>
      <c r="E448" s="52"/>
      <c r="F448" s="52"/>
      <c r="G448" s="52"/>
      <c r="H448" s="52"/>
      <c r="I448" s="52"/>
      <c r="J448" s="52"/>
    </row>
    <row r="449" spans="1:10" ht="12" customHeight="1">
      <c r="A449" s="125"/>
      <c r="B449" s="52"/>
      <c r="C449" s="52"/>
      <c r="D449" s="52"/>
      <c r="E449" s="52"/>
      <c r="F449" s="52"/>
      <c r="G449" s="52"/>
      <c r="H449" s="52"/>
      <c r="I449" s="52"/>
      <c r="J449" s="52"/>
    </row>
    <row r="450" spans="1:10" ht="12" customHeight="1">
      <c r="A450" s="125"/>
      <c r="B450" s="52"/>
      <c r="C450" s="52"/>
      <c r="D450" s="52"/>
      <c r="E450" s="52"/>
      <c r="F450" s="52"/>
      <c r="G450" s="52"/>
      <c r="H450" s="52"/>
      <c r="I450" s="52"/>
      <c r="J450" s="52"/>
    </row>
    <row r="451" spans="1:10" ht="12" customHeight="1">
      <c r="A451" s="125"/>
      <c r="B451" s="52"/>
      <c r="C451" s="52"/>
      <c r="D451" s="52"/>
      <c r="E451" s="52"/>
      <c r="F451" s="52"/>
      <c r="G451" s="52"/>
      <c r="H451" s="52"/>
      <c r="I451" s="52"/>
      <c r="J451" s="52"/>
    </row>
    <row r="452" spans="1:10" ht="12" customHeight="1">
      <c r="A452" s="125"/>
      <c r="B452" s="52"/>
      <c r="C452" s="52"/>
      <c r="D452" s="52"/>
      <c r="E452" s="52"/>
      <c r="F452" s="52"/>
      <c r="G452" s="52"/>
      <c r="H452" s="52"/>
      <c r="I452" s="52"/>
      <c r="J452" s="52"/>
    </row>
    <row r="453" spans="1:10" ht="12" customHeight="1">
      <c r="A453" s="125"/>
      <c r="B453" s="52"/>
      <c r="C453" s="52"/>
      <c r="D453" s="52"/>
      <c r="E453" s="52"/>
      <c r="F453" s="52"/>
      <c r="G453" s="52"/>
      <c r="H453" s="52"/>
      <c r="I453" s="52"/>
      <c r="J453" s="52"/>
    </row>
    <row r="454" spans="1:10" ht="12" customHeight="1">
      <c r="A454" s="125"/>
      <c r="B454" s="52"/>
      <c r="C454" s="52"/>
      <c r="D454" s="52"/>
      <c r="E454" s="52"/>
      <c r="F454" s="52"/>
      <c r="G454" s="52"/>
      <c r="H454" s="52"/>
      <c r="I454" s="52"/>
      <c r="J454" s="52"/>
    </row>
    <row r="455" spans="1:10" ht="12" customHeight="1">
      <c r="A455" s="125"/>
      <c r="B455" s="52"/>
      <c r="C455" s="52"/>
      <c r="D455" s="52"/>
      <c r="E455" s="52"/>
      <c r="F455" s="52"/>
      <c r="G455" s="52"/>
      <c r="H455" s="52"/>
      <c r="I455" s="52"/>
      <c r="J455" s="52"/>
    </row>
    <row r="456" spans="1:10" ht="12" customHeight="1">
      <c r="A456" s="125"/>
      <c r="B456" s="52"/>
      <c r="C456" s="52"/>
      <c r="D456" s="52"/>
      <c r="E456" s="52"/>
      <c r="F456" s="52"/>
      <c r="G456" s="52"/>
      <c r="H456" s="52"/>
      <c r="I456" s="52"/>
      <c r="J456" s="52"/>
    </row>
    <row r="457" spans="1:10" ht="12" customHeight="1">
      <c r="A457" s="125"/>
      <c r="B457" s="52"/>
      <c r="C457" s="52"/>
      <c r="D457" s="52"/>
      <c r="E457" s="52"/>
      <c r="F457" s="52"/>
      <c r="G457" s="52"/>
      <c r="H457" s="52"/>
      <c r="I457" s="52"/>
      <c r="J457" s="52"/>
    </row>
    <row r="458" spans="1:10" ht="12" customHeight="1">
      <c r="A458" s="125"/>
      <c r="B458" s="52"/>
      <c r="C458" s="52"/>
      <c r="D458" s="52"/>
      <c r="E458" s="52"/>
      <c r="F458" s="52"/>
      <c r="G458" s="52"/>
      <c r="H458" s="52"/>
      <c r="I458" s="52"/>
      <c r="J458" s="52"/>
    </row>
    <row r="459" spans="1:10" ht="12" customHeight="1">
      <c r="A459" s="125"/>
      <c r="B459" s="52"/>
      <c r="C459" s="52"/>
      <c r="D459" s="52"/>
      <c r="E459" s="52"/>
      <c r="F459" s="52"/>
      <c r="G459" s="52"/>
      <c r="H459" s="52"/>
      <c r="I459" s="52"/>
      <c r="J459" s="52"/>
    </row>
    <row r="460" spans="1:10" ht="12" customHeight="1">
      <c r="A460" s="125"/>
      <c r="B460" s="52"/>
      <c r="C460" s="52"/>
      <c r="D460" s="52"/>
      <c r="E460" s="52"/>
      <c r="F460" s="52"/>
      <c r="G460" s="52"/>
      <c r="H460" s="52"/>
      <c r="I460" s="52"/>
      <c r="J460" s="52"/>
    </row>
    <row r="461" spans="1:10" ht="12" customHeight="1">
      <c r="A461" s="125"/>
      <c r="B461" s="52"/>
      <c r="C461" s="52"/>
      <c r="D461" s="52"/>
      <c r="E461" s="52"/>
      <c r="F461" s="52"/>
      <c r="G461" s="52"/>
      <c r="H461" s="52"/>
      <c r="I461" s="52"/>
      <c r="J461" s="52"/>
    </row>
    <row r="462" spans="1:10" ht="12" customHeight="1">
      <c r="A462" s="125"/>
      <c r="B462" s="52"/>
      <c r="C462" s="52"/>
      <c r="D462" s="52"/>
      <c r="E462" s="52"/>
      <c r="F462" s="52"/>
      <c r="G462" s="52"/>
      <c r="H462" s="52"/>
      <c r="I462" s="52"/>
      <c r="J462" s="52"/>
    </row>
    <row r="463" spans="1:10" ht="12" customHeight="1">
      <c r="A463" s="125"/>
      <c r="B463" s="52"/>
      <c r="C463" s="52"/>
      <c r="D463" s="52"/>
      <c r="E463" s="52"/>
      <c r="F463" s="52"/>
      <c r="G463" s="52"/>
      <c r="H463" s="52"/>
      <c r="I463" s="52"/>
      <c r="J463" s="52"/>
    </row>
    <row r="464" spans="1:10" ht="12" customHeight="1">
      <c r="A464" s="125"/>
      <c r="B464" s="52"/>
      <c r="C464" s="52"/>
      <c r="D464" s="52"/>
      <c r="E464" s="52"/>
      <c r="F464" s="52"/>
      <c r="G464" s="52"/>
      <c r="H464" s="52"/>
      <c r="I464" s="52"/>
      <c r="J464" s="52"/>
    </row>
    <row r="465" spans="1:10" ht="12" customHeight="1">
      <c r="A465" s="125"/>
      <c r="B465" s="52"/>
      <c r="C465" s="52"/>
      <c r="D465" s="52"/>
      <c r="E465" s="52"/>
      <c r="F465" s="52"/>
      <c r="G465" s="52"/>
      <c r="H465" s="52"/>
      <c r="I465" s="52"/>
      <c r="J465" s="52"/>
    </row>
    <row r="466" spans="1:10" ht="12" customHeight="1">
      <c r="A466" s="125"/>
      <c r="B466" s="52"/>
      <c r="C466" s="52"/>
      <c r="D466" s="52"/>
      <c r="E466" s="52"/>
      <c r="F466" s="52"/>
      <c r="G466" s="52"/>
      <c r="H466" s="52"/>
      <c r="I466" s="52"/>
      <c r="J466" s="52"/>
    </row>
    <row r="467" spans="1:10" ht="12" customHeight="1">
      <c r="A467" s="125"/>
      <c r="B467" s="52"/>
      <c r="C467" s="52"/>
      <c r="D467" s="52"/>
      <c r="E467" s="52"/>
      <c r="F467" s="52"/>
      <c r="G467" s="52"/>
      <c r="H467" s="52"/>
      <c r="I467" s="52"/>
      <c r="J467" s="52"/>
    </row>
    <row r="468" spans="1:10" ht="12" customHeight="1">
      <c r="A468" s="125"/>
      <c r="B468" s="52"/>
      <c r="C468" s="52"/>
      <c r="D468" s="52"/>
      <c r="E468" s="52"/>
      <c r="F468" s="52"/>
      <c r="G468" s="52"/>
      <c r="H468" s="52"/>
      <c r="I468" s="52"/>
      <c r="J468" s="52"/>
    </row>
    <row r="469" spans="1:10" ht="12" customHeight="1">
      <c r="A469" s="125"/>
      <c r="B469" s="52"/>
      <c r="C469" s="52"/>
      <c r="D469" s="52"/>
      <c r="E469" s="52"/>
      <c r="F469" s="52"/>
      <c r="G469" s="52"/>
      <c r="H469" s="52"/>
      <c r="I469" s="52"/>
      <c r="J469" s="52"/>
    </row>
    <row r="470" spans="1:10" ht="12" customHeight="1">
      <c r="A470" s="125"/>
      <c r="B470" s="52"/>
      <c r="C470" s="52"/>
      <c r="D470" s="52"/>
      <c r="E470" s="52"/>
      <c r="F470" s="52"/>
      <c r="G470" s="52"/>
      <c r="H470" s="52"/>
      <c r="I470" s="52"/>
      <c r="J470" s="52"/>
    </row>
    <row r="471" spans="1:10" ht="12" customHeight="1">
      <c r="A471" s="125"/>
      <c r="B471" s="52"/>
      <c r="C471" s="52"/>
      <c r="D471" s="52"/>
      <c r="E471" s="52"/>
      <c r="F471" s="52"/>
      <c r="G471" s="52"/>
      <c r="H471" s="52"/>
      <c r="I471" s="52"/>
      <c r="J471" s="52"/>
    </row>
    <row r="472" spans="1:10" ht="12" customHeight="1">
      <c r="A472" s="125"/>
      <c r="B472" s="52"/>
      <c r="C472" s="52"/>
      <c r="D472" s="52"/>
      <c r="E472" s="52"/>
      <c r="F472" s="52"/>
      <c r="G472" s="52"/>
      <c r="H472" s="52"/>
      <c r="I472" s="52"/>
      <c r="J472" s="52"/>
    </row>
    <row r="473" spans="1:10" ht="12" customHeight="1">
      <c r="A473" s="125"/>
      <c r="B473" s="52"/>
      <c r="C473" s="52"/>
      <c r="D473" s="52"/>
      <c r="E473" s="52"/>
      <c r="F473" s="52"/>
      <c r="G473" s="52"/>
      <c r="H473" s="52"/>
      <c r="I473" s="52"/>
      <c r="J473" s="52"/>
    </row>
    <row r="474" spans="1:10" ht="12" customHeight="1">
      <c r="A474" s="125"/>
      <c r="B474" s="52"/>
      <c r="C474" s="52"/>
      <c r="D474" s="52"/>
      <c r="E474" s="52"/>
      <c r="F474" s="52"/>
      <c r="G474" s="52"/>
      <c r="H474" s="52"/>
      <c r="I474" s="52"/>
      <c r="J474" s="52"/>
    </row>
    <row r="475" spans="1:10" ht="12" customHeight="1">
      <c r="A475" s="125"/>
      <c r="B475" s="52"/>
      <c r="C475" s="52"/>
      <c r="D475" s="52"/>
      <c r="E475" s="52"/>
      <c r="F475" s="52"/>
      <c r="G475" s="52"/>
      <c r="H475" s="52"/>
      <c r="I475" s="52"/>
      <c r="J475" s="52"/>
    </row>
    <row r="476" spans="1:10" ht="12" customHeight="1">
      <c r="A476" s="125"/>
      <c r="B476" s="52"/>
      <c r="C476" s="52"/>
      <c r="D476" s="52"/>
      <c r="E476" s="52"/>
      <c r="F476" s="52"/>
      <c r="G476" s="52"/>
      <c r="H476" s="52"/>
      <c r="I476" s="52"/>
      <c r="J476" s="52"/>
    </row>
    <row r="477" spans="1:10" ht="12" customHeight="1">
      <c r="A477" s="125"/>
      <c r="B477" s="52"/>
      <c r="C477" s="52"/>
      <c r="D477" s="52"/>
      <c r="E477" s="52"/>
      <c r="F477" s="52"/>
      <c r="G477" s="52"/>
      <c r="H477" s="52"/>
      <c r="I477" s="52"/>
      <c r="J477" s="52"/>
    </row>
    <row r="478" spans="1:10" ht="12" customHeight="1">
      <c r="A478" s="125"/>
      <c r="B478" s="52"/>
      <c r="C478" s="52"/>
      <c r="D478" s="52"/>
      <c r="E478" s="52"/>
      <c r="F478" s="52"/>
      <c r="G478" s="52"/>
      <c r="H478" s="52"/>
      <c r="I478" s="52"/>
      <c r="J478" s="52"/>
    </row>
    <row r="479" spans="1:10" ht="12" customHeight="1">
      <c r="A479" s="125"/>
      <c r="B479" s="52"/>
      <c r="C479" s="52"/>
      <c r="D479" s="52"/>
      <c r="E479" s="52"/>
      <c r="F479" s="52"/>
      <c r="G479" s="52"/>
      <c r="H479" s="52"/>
      <c r="I479" s="52"/>
      <c r="J479" s="52"/>
    </row>
    <row r="480" spans="1:10" ht="12" customHeight="1">
      <c r="A480" s="125"/>
      <c r="B480" s="52"/>
      <c r="C480" s="52"/>
      <c r="D480" s="52"/>
      <c r="E480" s="52"/>
      <c r="F480" s="52"/>
      <c r="G480" s="52"/>
      <c r="H480" s="52"/>
      <c r="I480" s="52"/>
      <c r="J480" s="52"/>
    </row>
    <row r="481" spans="1:10" ht="12" customHeight="1">
      <c r="A481" s="125"/>
      <c r="B481" s="52"/>
      <c r="C481" s="52"/>
      <c r="D481" s="52"/>
      <c r="E481" s="52"/>
      <c r="F481" s="52"/>
      <c r="G481" s="52"/>
      <c r="H481" s="52"/>
      <c r="I481" s="52"/>
      <c r="J481" s="52"/>
    </row>
    <row r="482" spans="1:10" ht="12" customHeight="1">
      <c r="A482" s="125"/>
      <c r="B482" s="52"/>
      <c r="C482" s="52"/>
      <c r="D482" s="52"/>
      <c r="E482" s="52"/>
      <c r="F482" s="52"/>
      <c r="G482" s="52"/>
      <c r="H482" s="52"/>
      <c r="I482" s="52"/>
      <c r="J482" s="52"/>
    </row>
    <row r="483" spans="1:10" ht="12" customHeight="1">
      <c r="A483" s="125"/>
      <c r="B483" s="52"/>
      <c r="C483" s="52"/>
      <c r="D483" s="52"/>
      <c r="E483" s="52"/>
      <c r="F483" s="52"/>
      <c r="G483" s="52"/>
      <c r="H483" s="52"/>
      <c r="I483" s="52"/>
      <c r="J483" s="52"/>
    </row>
    <row r="484" spans="1:10" ht="12" customHeight="1">
      <c r="A484" s="125"/>
      <c r="B484" s="52"/>
      <c r="C484" s="52"/>
      <c r="D484" s="52"/>
      <c r="E484" s="52"/>
      <c r="F484" s="52"/>
      <c r="G484" s="52"/>
      <c r="H484" s="52"/>
      <c r="I484" s="52"/>
      <c r="J484" s="52"/>
    </row>
    <row r="485" spans="1:10" ht="12" customHeight="1">
      <c r="A485" s="125"/>
      <c r="B485" s="52"/>
      <c r="C485" s="52"/>
      <c r="D485" s="52"/>
      <c r="E485" s="52"/>
      <c r="F485" s="52"/>
      <c r="G485" s="52"/>
      <c r="H485" s="52"/>
      <c r="I485" s="52"/>
      <c r="J485" s="52"/>
    </row>
    <row r="486" spans="1:10" ht="12" customHeight="1">
      <c r="A486" s="125"/>
      <c r="B486" s="52"/>
      <c r="C486" s="52"/>
      <c r="D486" s="52"/>
      <c r="E486" s="52"/>
      <c r="F486" s="52"/>
      <c r="G486" s="52"/>
      <c r="H486" s="52"/>
      <c r="I486" s="52"/>
      <c r="J486" s="52"/>
    </row>
    <row r="487" spans="1:10" ht="12" customHeight="1">
      <c r="A487" s="125"/>
      <c r="B487" s="52"/>
      <c r="C487" s="52"/>
      <c r="D487" s="52"/>
      <c r="E487" s="52"/>
      <c r="F487" s="52"/>
      <c r="G487" s="52"/>
      <c r="H487" s="52"/>
      <c r="I487" s="52"/>
      <c r="J487" s="52"/>
    </row>
    <row r="488" spans="1:10" ht="12" customHeight="1">
      <c r="A488" s="125"/>
      <c r="B488" s="52"/>
      <c r="C488" s="52"/>
      <c r="D488" s="52"/>
      <c r="E488" s="52"/>
      <c r="F488" s="52"/>
      <c r="G488" s="52"/>
      <c r="H488" s="52"/>
      <c r="I488" s="52"/>
      <c r="J488" s="52"/>
    </row>
    <row r="489" spans="1:10" ht="12" customHeight="1">
      <c r="A489" s="125"/>
      <c r="B489" s="52"/>
      <c r="C489" s="52"/>
      <c r="D489" s="52"/>
      <c r="E489" s="52"/>
      <c r="F489" s="52"/>
      <c r="G489" s="52"/>
      <c r="H489" s="52"/>
      <c r="I489" s="52"/>
      <c r="J489" s="52"/>
    </row>
    <row r="490" spans="1:10" ht="12" customHeight="1">
      <c r="A490" s="125"/>
      <c r="B490" s="52"/>
      <c r="C490" s="52"/>
      <c r="D490" s="52"/>
      <c r="E490" s="52"/>
      <c r="F490" s="52"/>
      <c r="G490" s="52"/>
      <c r="H490" s="52"/>
      <c r="I490" s="52"/>
      <c r="J490" s="52"/>
    </row>
    <row r="491" spans="1:10" ht="12" customHeight="1">
      <c r="A491" s="125"/>
      <c r="B491" s="52"/>
      <c r="C491" s="52"/>
      <c r="D491" s="52"/>
      <c r="E491" s="52"/>
      <c r="F491" s="52"/>
      <c r="G491" s="52"/>
      <c r="H491" s="52"/>
      <c r="I491" s="52"/>
      <c r="J491" s="52"/>
    </row>
    <row r="492" spans="1:10" ht="12" customHeight="1">
      <c r="A492" s="125"/>
      <c r="B492" s="52"/>
      <c r="C492" s="52"/>
      <c r="D492" s="52"/>
      <c r="E492" s="52"/>
      <c r="F492" s="52"/>
      <c r="G492" s="52"/>
      <c r="H492" s="52"/>
      <c r="I492" s="52"/>
      <c r="J492" s="52"/>
    </row>
    <row r="493" spans="1:10" ht="12" customHeight="1">
      <c r="A493" s="125"/>
      <c r="B493" s="52"/>
      <c r="C493" s="52"/>
      <c r="D493" s="52"/>
      <c r="E493" s="52"/>
      <c r="F493" s="52"/>
      <c r="G493" s="52"/>
      <c r="H493" s="52"/>
      <c r="I493" s="52"/>
      <c r="J493" s="52"/>
    </row>
    <row r="494" spans="1:10" ht="12" customHeight="1">
      <c r="A494" s="125"/>
      <c r="B494" s="52"/>
      <c r="C494" s="52"/>
      <c r="D494" s="52"/>
      <c r="E494" s="52"/>
      <c r="F494" s="52"/>
      <c r="G494" s="52"/>
      <c r="H494" s="52"/>
      <c r="I494" s="52"/>
      <c r="J494" s="52"/>
    </row>
    <row r="495" spans="1:10" ht="12" customHeight="1">
      <c r="A495" s="125"/>
      <c r="B495" s="52"/>
      <c r="C495" s="52"/>
      <c r="D495" s="52"/>
      <c r="E495" s="52"/>
      <c r="F495" s="52"/>
      <c r="G495" s="52"/>
      <c r="H495" s="52"/>
      <c r="I495" s="52"/>
      <c r="J495" s="52"/>
    </row>
    <row r="496" spans="1:10" ht="12" customHeight="1">
      <c r="A496" s="125"/>
      <c r="B496" s="52"/>
      <c r="C496" s="52"/>
      <c r="D496" s="52"/>
      <c r="E496" s="52"/>
      <c r="F496" s="52"/>
      <c r="G496" s="52"/>
      <c r="H496" s="52"/>
      <c r="I496" s="52"/>
      <c r="J496" s="52"/>
    </row>
    <row r="497" spans="1:10" ht="12" customHeight="1">
      <c r="A497" s="125"/>
      <c r="B497" s="52"/>
      <c r="C497" s="52"/>
      <c r="D497" s="52"/>
      <c r="E497" s="52"/>
      <c r="F497" s="52"/>
      <c r="G497" s="52"/>
      <c r="H497" s="52"/>
      <c r="I497" s="52"/>
      <c r="J497" s="52"/>
    </row>
    <row r="498" spans="1:10" ht="12" customHeight="1">
      <c r="A498" s="125"/>
      <c r="B498" s="52"/>
      <c r="C498" s="52"/>
      <c r="D498" s="52"/>
      <c r="E498" s="52"/>
      <c r="F498" s="52"/>
      <c r="G498" s="52"/>
      <c r="H498" s="52"/>
      <c r="I498" s="52"/>
      <c r="J498" s="52"/>
    </row>
    <row r="499" spans="1:10" ht="12" customHeight="1">
      <c r="A499" s="125"/>
      <c r="B499" s="52"/>
      <c r="C499" s="52"/>
      <c r="D499" s="52"/>
      <c r="E499" s="52"/>
      <c r="F499" s="52"/>
      <c r="G499" s="52"/>
      <c r="H499" s="52"/>
      <c r="I499" s="52"/>
      <c r="J499" s="52"/>
    </row>
    <row r="500" spans="1:10" ht="12" customHeight="1">
      <c r="A500" s="125"/>
      <c r="B500" s="52"/>
      <c r="C500" s="52"/>
      <c r="D500" s="52"/>
      <c r="E500" s="52"/>
      <c r="F500" s="52"/>
      <c r="G500" s="52"/>
      <c r="H500" s="52"/>
      <c r="I500" s="52"/>
      <c r="J500" s="52"/>
    </row>
    <row r="501" spans="1:10" ht="12" customHeight="1">
      <c r="A501" s="125"/>
      <c r="B501" s="52"/>
      <c r="C501" s="52"/>
      <c r="D501" s="52"/>
      <c r="E501" s="52"/>
      <c r="F501" s="52"/>
      <c r="G501" s="52"/>
      <c r="H501" s="52"/>
      <c r="I501" s="52"/>
      <c r="J501" s="52"/>
    </row>
    <row r="502" spans="1:10" ht="12" customHeight="1">
      <c r="A502" s="125"/>
      <c r="B502" s="52"/>
      <c r="C502" s="52"/>
      <c r="D502" s="52"/>
      <c r="E502" s="52"/>
      <c r="F502" s="52"/>
      <c r="G502" s="52"/>
      <c r="H502" s="52"/>
      <c r="I502" s="52"/>
      <c r="J502" s="52"/>
    </row>
    <row r="503" spans="1:10" ht="12" customHeight="1">
      <c r="A503" s="125"/>
      <c r="B503" s="52"/>
      <c r="C503" s="52"/>
      <c r="D503" s="52"/>
      <c r="E503" s="52"/>
      <c r="F503" s="52"/>
      <c r="G503" s="52"/>
      <c r="H503" s="52"/>
      <c r="I503" s="52"/>
      <c r="J503" s="52"/>
    </row>
    <row r="504" spans="1:10" ht="12" customHeight="1">
      <c r="A504" s="125"/>
      <c r="B504" s="52"/>
      <c r="C504" s="52"/>
      <c r="D504" s="52"/>
      <c r="E504" s="52"/>
      <c r="F504" s="52"/>
      <c r="G504" s="52"/>
      <c r="H504" s="52"/>
      <c r="I504" s="52"/>
      <c r="J504" s="52"/>
    </row>
    <row r="505" spans="1:10" ht="12" customHeight="1">
      <c r="A505" s="125"/>
      <c r="B505" s="52"/>
      <c r="C505" s="52"/>
      <c r="D505" s="52"/>
      <c r="E505" s="52"/>
      <c r="F505" s="52"/>
      <c r="G505" s="52"/>
      <c r="H505" s="52"/>
      <c r="I505" s="52"/>
      <c r="J505" s="52"/>
    </row>
    <row r="506" spans="1:10" ht="12" customHeight="1">
      <c r="A506" s="125"/>
      <c r="B506" s="52"/>
      <c r="C506" s="52"/>
      <c r="D506" s="52"/>
      <c r="E506" s="52"/>
      <c r="F506" s="52"/>
      <c r="G506" s="52"/>
      <c r="H506" s="52"/>
      <c r="I506" s="52"/>
      <c r="J506" s="52"/>
    </row>
    <row r="507" spans="1:10" ht="12" customHeight="1">
      <c r="A507" s="125"/>
      <c r="B507" s="52"/>
      <c r="C507" s="52"/>
      <c r="D507" s="52"/>
      <c r="E507" s="52"/>
      <c r="F507" s="52"/>
      <c r="G507" s="52"/>
      <c r="H507" s="52"/>
      <c r="I507" s="52"/>
      <c r="J507" s="52"/>
    </row>
    <row r="508" spans="1:10" ht="12" customHeight="1">
      <c r="A508" s="125"/>
      <c r="B508" s="52"/>
      <c r="C508" s="52"/>
      <c r="D508" s="52"/>
      <c r="E508" s="52"/>
      <c r="F508" s="52"/>
      <c r="G508" s="52"/>
      <c r="H508" s="52"/>
      <c r="I508" s="52"/>
      <c r="J508" s="52"/>
    </row>
    <row r="509" spans="1:10" ht="12" customHeight="1">
      <c r="A509" s="125"/>
      <c r="B509" s="52"/>
      <c r="C509" s="52"/>
      <c r="D509" s="52"/>
      <c r="E509" s="52"/>
      <c r="F509" s="52"/>
      <c r="G509" s="52"/>
      <c r="H509" s="52"/>
      <c r="I509" s="52"/>
      <c r="J509" s="52"/>
    </row>
    <row r="510" spans="1:10" ht="12" customHeight="1">
      <c r="A510" s="125"/>
      <c r="B510" s="52"/>
      <c r="C510" s="52"/>
      <c r="D510" s="52"/>
      <c r="E510" s="52"/>
      <c r="F510" s="52"/>
      <c r="G510" s="52"/>
      <c r="H510" s="52"/>
      <c r="I510" s="52"/>
      <c r="J510" s="52"/>
    </row>
    <row r="511" spans="1:10" ht="12" customHeight="1">
      <c r="A511" s="125"/>
      <c r="B511" s="52"/>
      <c r="C511" s="52"/>
      <c r="D511" s="52"/>
      <c r="E511" s="52"/>
      <c r="F511" s="52"/>
      <c r="G511" s="52"/>
      <c r="H511" s="52"/>
      <c r="I511" s="52"/>
      <c r="J511" s="52"/>
    </row>
    <row r="512" spans="1:10" ht="12" customHeight="1">
      <c r="A512" s="125"/>
      <c r="B512" s="52"/>
      <c r="C512" s="52"/>
      <c r="D512" s="52"/>
      <c r="E512" s="52"/>
      <c r="F512" s="52"/>
      <c r="G512" s="52"/>
      <c r="H512" s="52"/>
      <c r="I512" s="52"/>
      <c r="J512" s="52"/>
    </row>
    <row r="513" spans="1:10" ht="12" customHeight="1">
      <c r="A513" s="125"/>
      <c r="B513" s="52"/>
      <c r="C513" s="52"/>
      <c r="D513" s="52"/>
      <c r="E513" s="52"/>
      <c r="F513" s="52"/>
      <c r="G513" s="52"/>
      <c r="H513" s="52"/>
      <c r="I513" s="52"/>
      <c r="J513" s="52"/>
    </row>
    <row r="514" spans="1:10" ht="12" customHeight="1">
      <c r="A514" s="125"/>
      <c r="B514" s="52"/>
      <c r="C514" s="52"/>
      <c r="D514" s="52"/>
      <c r="E514" s="52"/>
      <c r="F514" s="52"/>
      <c r="G514" s="52"/>
      <c r="H514" s="52"/>
      <c r="I514" s="52"/>
      <c r="J514" s="52"/>
    </row>
    <row r="515" spans="1:10" ht="12" customHeight="1">
      <c r="A515" s="125"/>
      <c r="B515" s="52"/>
      <c r="C515" s="52"/>
      <c r="D515" s="52"/>
      <c r="E515" s="52"/>
      <c r="F515" s="52"/>
      <c r="G515" s="52"/>
      <c r="H515" s="52"/>
      <c r="I515" s="52"/>
      <c r="J515" s="52"/>
    </row>
    <row r="516" spans="1:10" ht="15.75" customHeight="1"/>
    <row r="517" spans="1:10" ht="15.75" customHeight="1"/>
    <row r="518" spans="1:10" ht="15.75" customHeight="1"/>
    <row r="519" spans="1:10" ht="15.75" customHeight="1"/>
    <row r="520" spans="1:10" ht="15.75" customHeight="1"/>
    <row r="521" spans="1:10" ht="15.75" customHeight="1"/>
    <row r="522" spans="1:10" ht="15.75" customHeight="1"/>
    <row r="523" spans="1:10" ht="15.75" customHeight="1"/>
    <row r="524" spans="1:10" ht="15.75" customHeight="1"/>
    <row r="525" spans="1:10" ht="15.75" customHeight="1"/>
    <row r="526" spans="1:10" ht="15.75" customHeight="1"/>
    <row r="527" spans="1:10" ht="15.75" customHeight="1"/>
    <row r="528" spans="1:10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7">
    <mergeCell ref="E254:F254"/>
    <mergeCell ref="E47:F47"/>
    <mergeCell ref="A1:I1"/>
    <mergeCell ref="B3:I3"/>
    <mergeCell ref="A5:I5"/>
    <mergeCell ref="B7:H21"/>
    <mergeCell ref="E38:F38"/>
  </mergeCells>
  <printOptions horizontalCentered="1"/>
  <pageMargins left="0.70866141732283472" right="0.70866141732283472" top="0.74803149606299213" bottom="0.94488188976377963" header="0.31496062992125984" footer="0.31496062992125984"/>
  <pageSetup paperSize="9" scale="59" fitToHeight="0" orientation="portrait" r:id="rId1"/>
  <rowBreaks count="2" manualBreakCount="2">
    <brk id="74" max="8" man="1"/>
    <brk id="149" max="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A975-4DD4-4883-B1D7-565831C152AC}">
  <sheetPr codeName="Hoja3">
    <pageSetUpPr fitToPage="1"/>
  </sheetPr>
  <dimension ref="B2:S197"/>
  <sheetViews>
    <sheetView view="pageBreakPreview" zoomScale="66" zoomScaleNormal="100" zoomScaleSheetLayoutView="66" zoomScalePageLayoutView="61" workbookViewId="0">
      <selection activeCell="D7" sqref="D7:I8"/>
    </sheetView>
  </sheetViews>
  <sheetFormatPr baseColWidth="10" defaultColWidth="11.5" defaultRowHeight="15"/>
  <cols>
    <col min="1" max="2" width="11.5" style="131"/>
    <col min="3" max="3" width="22.33203125" style="131" customWidth="1"/>
    <col min="4" max="8" width="11.5" style="131"/>
    <col min="9" max="9" width="9.83203125" style="131" customWidth="1"/>
    <col min="10" max="16384" width="11.5" style="131"/>
  </cols>
  <sheetData>
    <row r="2" spans="2:19" ht="18">
      <c r="B2" s="1001" t="s">
        <v>283</v>
      </c>
      <c r="C2" s="1001"/>
      <c r="D2" s="1001"/>
      <c r="E2" s="1001"/>
      <c r="F2" s="1001"/>
      <c r="G2" s="1001"/>
      <c r="H2" s="1001"/>
      <c r="I2" s="1001"/>
      <c r="J2" s="1001"/>
      <c r="K2" s="1001"/>
      <c r="L2" s="1001"/>
      <c r="M2" s="1001"/>
      <c r="N2" s="1001"/>
      <c r="O2" s="1001"/>
      <c r="P2" s="1002"/>
      <c r="Q2" s="1002"/>
      <c r="R2" s="1002"/>
      <c r="S2" s="1002"/>
    </row>
    <row r="3" spans="2:19" ht="15" customHeight="1">
      <c r="B3" s="1003" t="s">
        <v>282</v>
      </c>
      <c r="C3" s="1004"/>
      <c r="D3" s="1004" t="s">
        <v>1086</v>
      </c>
      <c r="E3" s="1004"/>
      <c r="F3" s="1004"/>
      <c r="G3" s="1004"/>
      <c r="H3" s="1004"/>
      <c r="I3" s="1004"/>
      <c r="J3" s="1004"/>
      <c r="K3" s="1004"/>
      <c r="L3" s="1004"/>
      <c r="M3" s="1004"/>
      <c r="N3" s="1004"/>
      <c r="O3" s="1005"/>
      <c r="P3" s="1006" t="s">
        <v>281</v>
      </c>
      <c r="Q3" s="1007"/>
      <c r="R3" s="1007"/>
      <c r="S3" s="1008"/>
    </row>
    <row r="4" spans="2:19" ht="15" customHeight="1">
      <c r="B4" s="1004"/>
      <c r="C4" s="1004"/>
      <c r="D4" s="1004"/>
      <c r="E4" s="1004"/>
      <c r="F4" s="1004"/>
      <c r="G4" s="1004"/>
      <c r="H4" s="1004"/>
      <c r="I4" s="1004"/>
      <c r="J4" s="1004"/>
      <c r="K4" s="1004"/>
      <c r="L4" s="1004"/>
      <c r="M4" s="1004"/>
      <c r="N4" s="1004"/>
      <c r="O4" s="1005"/>
      <c r="P4" s="996" t="s">
        <v>280</v>
      </c>
      <c r="Q4" s="997"/>
      <c r="R4" s="997"/>
      <c r="S4" s="998"/>
    </row>
    <row r="5" spans="2:19" ht="30" customHeight="1">
      <c r="B5" s="1004"/>
      <c r="C5" s="1004"/>
      <c r="D5" s="1004"/>
      <c r="E5" s="1004"/>
      <c r="F5" s="1004"/>
      <c r="G5" s="1004"/>
      <c r="H5" s="1004"/>
      <c r="I5" s="1004"/>
      <c r="J5" s="1004"/>
      <c r="K5" s="1004"/>
      <c r="L5" s="1004"/>
      <c r="M5" s="1004"/>
      <c r="N5" s="1004"/>
      <c r="O5" s="1004"/>
      <c r="P5" s="999" t="s">
        <v>306</v>
      </c>
      <c r="Q5" s="999"/>
      <c r="R5" s="999"/>
      <c r="S5" s="999"/>
    </row>
    <row r="6" spans="2:19" ht="13.5" customHeight="1">
      <c r="B6" s="1004"/>
      <c r="C6" s="1004"/>
      <c r="D6" s="1004"/>
      <c r="E6" s="1004"/>
      <c r="F6" s="1004"/>
      <c r="G6" s="1004"/>
      <c r="H6" s="1004"/>
      <c r="I6" s="1004"/>
      <c r="J6" s="1004"/>
      <c r="K6" s="1004"/>
      <c r="L6" s="1004"/>
      <c r="M6" s="1004"/>
      <c r="N6" s="1004"/>
      <c r="O6" s="1004"/>
      <c r="P6" s="1000"/>
      <c r="Q6" s="1000"/>
      <c r="R6" s="1000"/>
      <c r="S6" s="1000"/>
    </row>
    <row r="7" spans="2:19">
      <c r="B7" s="974" t="s">
        <v>278</v>
      </c>
      <c r="C7" s="976" t="s">
        <v>2</v>
      </c>
      <c r="D7" s="976" t="s">
        <v>277</v>
      </c>
      <c r="E7" s="978"/>
      <c r="F7" s="978"/>
      <c r="G7" s="978"/>
      <c r="H7" s="978"/>
      <c r="I7" s="979"/>
      <c r="J7" s="982" t="s">
        <v>276</v>
      </c>
      <c r="K7" s="982" t="s">
        <v>275</v>
      </c>
      <c r="L7" s="982" t="s">
        <v>274</v>
      </c>
      <c r="M7" s="1009" t="s">
        <v>273</v>
      </c>
      <c r="N7" s="988" t="s">
        <v>272</v>
      </c>
      <c r="O7" s="989"/>
      <c r="P7" s="989"/>
      <c r="Q7" s="989"/>
      <c r="R7" s="990"/>
      <c r="S7" s="991" t="s">
        <v>271</v>
      </c>
    </row>
    <row r="8" spans="2:19" ht="15.75" thickBot="1">
      <c r="B8" s="975"/>
      <c r="C8" s="977"/>
      <c r="D8" s="977"/>
      <c r="E8" s="980"/>
      <c r="F8" s="980"/>
      <c r="G8" s="980"/>
      <c r="H8" s="980"/>
      <c r="I8" s="981"/>
      <c r="J8" s="983"/>
      <c r="K8" s="983"/>
      <c r="L8" s="983" t="s">
        <v>270</v>
      </c>
      <c r="M8" s="1010" t="s">
        <v>270</v>
      </c>
      <c r="N8" s="164">
        <v>0.25</v>
      </c>
      <c r="O8" s="163">
        <v>0.375</v>
      </c>
      <c r="P8" s="163">
        <v>0.5</v>
      </c>
      <c r="Q8" s="163">
        <v>0.625</v>
      </c>
      <c r="R8" s="163">
        <v>0.75</v>
      </c>
      <c r="S8" s="992"/>
    </row>
    <row r="9" spans="2:19">
      <c r="B9" s="155"/>
      <c r="C9" s="993" t="s">
        <v>305</v>
      </c>
      <c r="D9" s="159"/>
      <c r="E9" s="160"/>
      <c r="F9" s="987"/>
      <c r="G9" s="987"/>
      <c r="H9" s="160"/>
      <c r="I9" s="158"/>
      <c r="J9" s="148"/>
      <c r="K9" s="148"/>
      <c r="L9" s="148"/>
      <c r="M9" s="148"/>
      <c r="N9" s="148"/>
      <c r="O9" s="148"/>
      <c r="P9" s="148"/>
      <c r="Q9" s="148"/>
      <c r="R9" s="148"/>
      <c r="S9" s="147"/>
    </row>
    <row r="10" spans="2:19">
      <c r="B10" s="155"/>
      <c r="C10" s="993"/>
      <c r="D10" s="159"/>
      <c r="E10" s="160"/>
      <c r="F10" s="153"/>
      <c r="G10" s="153"/>
      <c r="H10" s="160"/>
      <c r="I10" s="158"/>
      <c r="J10" s="148"/>
      <c r="K10" s="148"/>
      <c r="L10" s="148"/>
      <c r="M10" s="148"/>
      <c r="N10" s="148"/>
      <c r="O10" s="148"/>
      <c r="P10" s="148"/>
      <c r="Q10" s="148"/>
      <c r="R10" s="148"/>
      <c r="S10" s="147"/>
    </row>
    <row r="11" spans="2:19">
      <c r="B11" s="155"/>
      <c r="C11" s="993"/>
      <c r="D11" s="159"/>
      <c r="E11" s="160"/>
      <c r="F11" s="153"/>
      <c r="G11" s="153"/>
      <c r="H11" s="160"/>
      <c r="I11" s="158"/>
      <c r="J11" s="148"/>
      <c r="K11" s="148"/>
      <c r="L11" s="148"/>
      <c r="M11" s="148"/>
      <c r="N11" s="148"/>
      <c r="O11" s="148"/>
      <c r="P11" s="148"/>
      <c r="Q11" s="148"/>
      <c r="R11" s="148"/>
      <c r="S11" s="147"/>
    </row>
    <row r="12" spans="2:19">
      <c r="B12" s="155">
        <v>1</v>
      </c>
      <c r="C12" s="993"/>
      <c r="D12" s="159"/>
      <c r="E12" s="160"/>
      <c r="F12" s="153"/>
      <c r="G12" s="153">
        <v>0.63</v>
      </c>
      <c r="H12" s="160"/>
      <c r="I12" s="158"/>
      <c r="J12" s="157">
        <v>0.375</v>
      </c>
      <c r="K12" s="156">
        <f>SUM(D9:I14)</f>
        <v>0.72</v>
      </c>
      <c r="L12" s="156">
        <v>10</v>
      </c>
      <c r="M12" s="156">
        <v>2</v>
      </c>
      <c r="N12" s="156" t="str">
        <f>IF(J12=1/4,L12*K12*M12,"-")</f>
        <v>-</v>
      </c>
      <c r="O12" s="156">
        <f>IF(J12=3/8,K12*L12*M12,"-")</f>
        <v>14.399999999999999</v>
      </c>
      <c r="P12" s="156" t="str">
        <f>IF(J12=1/2,L12*K12*M12,"-")</f>
        <v>-</v>
      </c>
      <c r="Q12" s="156" t="str">
        <f>IF(J12=5/8,L12*K12*M12,"-")</f>
        <v>-</v>
      </c>
      <c r="R12" s="156" t="str">
        <f>IF(J12=3/4,K12*L12,"-")</f>
        <v>-</v>
      </c>
      <c r="S12" s="147"/>
    </row>
    <row r="13" spans="2:19">
      <c r="B13" s="155"/>
      <c r="C13" s="994"/>
      <c r="D13" s="154"/>
      <c r="E13" s="151"/>
      <c r="F13" s="152">
        <v>0.09</v>
      </c>
      <c r="G13" s="151"/>
      <c r="H13" s="150"/>
      <c r="I13" s="150"/>
      <c r="J13" s="148"/>
      <c r="K13" s="149"/>
      <c r="L13" s="148"/>
      <c r="M13" s="149"/>
      <c r="N13" s="148"/>
      <c r="O13" s="149"/>
      <c r="P13" s="148"/>
      <c r="Q13" s="149"/>
      <c r="R13" s="148"/>
      <c r="S13" s="147"/>
    </row>
    <row r="14" spans="2:19">
      <c r="B14" s="146"/>
      <c r="C14" s="995"/>
      <c r="D14" s="145"/>
      <c r="E14" s="144"/>
      <c r="F14" s="143"/>
      <c r="G14" s="143"/>
      <c r="H14" s="142"/>
      <c r="I14" s="141"/>
      <c r="J14" s="140"/>
      <c r="K14" s="140"/>
      <c r="L14" s="140"/>
      <c r="M14" s="140"/>
      <c r="N14" s="140"/>
      <c r="O14" s="140"/>
      <c r="P14" s="140"/>
      <c r="Q14" s="140"/>
      <c r="R14" s="140"/>
      <c r="S14" s="139"/>
    </row>
    <row r="15" spans="2:19" ht="15" customHeight="1">
      <c r="B15" s="155"/>
      <c r="C15" s="993" t="s">
        <v>304</v>
      </c>
      <c r="D15" s="159"/>
      <c r="E15" s="160"/>
      <c r="F15" s="987"/>
      <c r="G15" s="987"/>
      <c r="H15" s="160"/>
      <c r="I15" s="158"/>
      <c r="J15" s="148"/>
      <c r="K15" s="148"/>
      <c r="L15" s="148"/>
      <c r="M15" s="148"/>
      <c r="N15" s="148"/>
      <c r="O15" s="148"/>
      <c r="P15" s="148"/>
      <c r="Q15" s="148"/>
      <c r="R15" s="148"/>
      <c r="S15" s="147"/>
    </row>
    <row r="16" spans="2:19">
      <c r="B16" s="155">
        <v>2</v>
      </c>
      <c r="C16" s="994"/>
      <c r="D16" s="154">
        <v>0.15</v>
      </c>
      <c r="E16" s="151"/>
      <c r="F16" s="151">
        <v>2.0299999999999998</v>
      </c>
      <c r="G16" s="151"/>
      <c r="H16" s="150"/>
      <c r="I16" s="165"/>
      <c r="J16" s="157">
        <v>0.375</v>
      </c>
      <c r="K16" s="156">
        <f>SUM(D15:I17)</f>
        <v>2.1799999999999997</v>
      </c>
      <c r="L16" s="156">
        <v>6</v>
      </c>
      <c r="M16" s="156">
        <v>2</v>
      </c>
      <c r="N16" s="156" t="str">
        <f>IF(J16=1/4,L16*K16*M16,"-")</f>
        <v>-</v>
      </c>
      <c r="O16" s="156">
        <f>IF(J16=3/8,K16*L16*M16,"-")</f>
        <v>26.159999999999997</v>
      </c>
      <c r="P16" s="156" t="str">
        <f>IF(J16=1/2,L16*K16*M16,"-")</f>
        <v>-</v>
      </c>
      <c r="Q16" s="156" t="str">
        <f>IF(J16=5/8,L16*K16*M16,"-")</f>
        <v>-</v>
      </c>
      <c r="R16" s="156" t="str">
        <f>IF(J16=3/4,K16*L16,"-")</f>
        <v>-</v>
      </c>
      <c r="S16" s="147"/>
    </row>
    <row r="17" spans="2:19">
      <c r="B17" s="146"/>
      <c r="C17" s="995"/>
      <c r="D17" s="145"/>
      <c r="E17" s="144"/>
      <c r="F17" s="143"/>
      <c r="G17" s="143"/>
      <c r="H17" s="142"/>
      <c r="I17" s="141"/>
      <c r="J17" s="140"/>
      <c r="K17" s="140"/>
      <c r="L17" s="140"/>
      <c r="M17" s="140"/>
      <c r="N17" s="140"/>
      <c r="O17" s="140"/>
      <c r="P17" s="140"/>
      <c r="Q17" s="140"/>
      <c r="R17" s="140"/>
      <c r="S17" s="139"/>
    </row>
    <row r="18" spans="2:19">
      <c r="B18" s="155"/>
      <c r="C18" s="993" t="s">
        <v>303</v>
      </c>
      <c r="D18" s="159"/>
      <c r="E18" s="160"/>
      <c r="F18" s="987">
        <v>0.15</v>
      </c>
      <c r="G18" s="987"/>
      <c r="H18" s="160"/>
      <c r="I18" s="158"/>
      <c r="J18" s="148"/>
      <c r="K18" s="148"/>
      <c r="L18" s="148"/>
      <c r="M18" s="148"/>
      <c r="N18" s="148"/>
      <c r="O18" s="148"/>
      <c r="P18" s="148"/>
      <c r="Q18" s="148"/>
      <c r="R18" s="148"/>
      <c r="S18" s="147"/>
    </row>
    <row r="19" spans="2:19">
      <c r="B19" s="155"/>
      <c r="C19" s="993"/>
      <c r="D19" s="159"/>
      <c r="E19" s="160"/>
      <c r="F19" s="153"/>
      <c r="G19" s="153"/>
      <c r="H19" s="160"/>
      <c r="I19" s="158"/>
      <c r="J19" s="148"/>
      <c r="K19" s="148"/>
      <c r="L19" s="148"/>
      <c r="M19" s="148"/>
      <c r="N19" s="148"/>
      <c r="O19" s="148"/>
      <c r="P19" s="148"/>
      <c r="Q19" s="148"/>
      <c r="R19" s="148"/>
      <c r="S19" s="147"/>
    </row>
    <row r="20" spans="2:19">
      <c r="B20" s="155"/>
      <c r="C20" s="993"/>
      <c r="D20" s="159"/>
      <c r="E20" s="160"/>
      <c r="F20" s="153">
        <v>1.51</v>
      </c>
      <c r="G20" s="153"/>
      <c r="H20" s="160"/>
      <c r="I20" s="158"/>
      <c r="J20" s="148"/>
      <c r="K20" s="148"/>
      <c r="L20" s="148"/>
      <c r="M20" s="148"/>
      <c r="N20" s="148"/>
      <c r="O20" s="148"/>
      <c r="P20" s="148"/>
      <c r="Q20" s="148"/>
      <c r="R20" s="148"/>
      <c r="S20" s="147"/>
    </row>
    <row r="21" spans="2:19">
      <c r="B21" s="155">
        <v>3</v>
      </c>
      <c r="C21" s="993"/>
      <c r="D21" s="159"/>
      <c r="E21" s="160"/>
      <c r="F21" s="153"/>
      <c r="G21" s="153"/>
      <c r="H21" s="160"/>
      <c r="I21" s="158"/>
      <c r="J21" s="157">
        <v>0.375</v>
      </c>
      <c r="K21" s="167">
        <f>SUM(D18:I23)</f>
        <v>1.8099999999999998</v>
      </c>
      <c r="L21" s="156">
        <v>10</v>
      </c>
      <c r="M21" s="156">
        <v>2</v>
      </c>
      <c r="N21" s="156" t="str">
        <f>IF(J21=1/4,L21*K21*M21,"-")</f>
        <v>-</v>
      </c>
      <c r="O21" s="156">
        <f>IF(J21=3/8,K21*L21*M21,"-")</f>
        <v>36.199999999999996</v>
      </c>
      <c r="P21" s="156" t="str">
        <f>IF(J21=1/2,L21*K21*M21,"-")</f>
        <v>-</v>
      </c>
      <c r="Q21" s="156" t="str">
        <f>IF(J21=5/8,L21*K21*M21,"-")</f>
        <v>-</v>
      </c>
      <c r="R21" s="156" t="str">
        <f>IF(J21=3/4,K21*L21,"-")</f>
        <v>-</v>
      </c>
      <c r="S21" s="147"/>
    </row>
    <row r="22" spans="2:19">
      <c r="B22" s="155"/>
      <c r="C22" s="994"/>
      <c r="D22" s="154"/>
      <c r="E22" s="151"/>
      <c r="F22" s="152"/>
      <c r="G22" s="151"/>
      <c r="H22" s="150"/>
      <c r="I22" s="150"/>
      <c r="J22" s="148"/>
      <c r="K22" s="149"/>
      <c r="L22" s="148"/>
      <c r="M22" s="149"/>
      <c r="N22" s="148"/>
      <c r="O22" s="149"/>
      <c r="P22" s="148"/>
      <c r="Q22" s="149"/>
      <c r="R22" s="148"/>
      <c r="S22" s="147"/>
    </row>
    <row r="23" spans="2:19">
      <c r="B23" s="146"/>
      <c r="C23" s="995"/>
      <c r="D23" s="145"/>
      <c r="E23" s="144"/>
      <c r="F23" s="143"/>
      <c r="G23" s="166">
        <v>0.15</v>
      </c>
      <c r="H23" s="142"/>
      <c r="I23" s="141"/>
      <c r="J23" s="140"/>
      <c r="K23" s="140"/>
      <c r="L23" s="140"/>
      <c r="M23" s="140"/>
      <c r="N23" s="140"/>
      <c r="O23" s="140"/>
      <c r="P23" s="140"/>
      <c r="Q23" s="140"/>
      <c r="R23" s="140"/>
      <c r="S23" s="139"/>
    </row>
    <row r="24" spans="2:19">
      <c r="B24" s="155"/>
      <c r="C24" s="993" t="s">
        <v>302</v>
      </c>
      <c r="D24" s="159"/>
      <c r="E24" s="160"/>
      <c r="F24" s="987"/>
      <c r="G24" s="987"/>
      <c r="H24" s="160"/>
      <c r="I24" s="158"/>
      <c r="J24" s="148"/>
      <c r="K24" s="148"/>
      <c r="L24" s="148"/>
      <c r="M24" s="148"/>
      <c r="N24" s="148"/>
      <c r="O24" s="148"/>
      <c r="P24" s="148"/>
      <c r="Q24" s="148"/>
      <c r="R24" s="148"/>
      <c r="S24" s="147"/>
    </row>
    <row r="25" spans="2:19">
      <c r="B25" s="155"/>
      <c r="C25" s="993"/>
      <c r="D25" s="159"/>
      <c r="E25" s="160"/>
      <c r="F25" s="987" t="s">
        <v>300</v>
      </c>
      <c r="G25" s="987"/>
      <c r="H25" s="160"/>
      <c r="I25" s="158"/>
      <c r="J25" s="148"/>
      <c r="K25" s="148"/>
      <c r="L25" s="148"/>
      <c r="M25" s="148"/>
      <c r="N25" s="148"/>
      <c r="O25" s="148"/>
      <c r="P25" s="148"/>
      <c r="Q25" s="148"/>
      <c r="R25" s="148"/>
      <c r="S25" s="147"/>
    </row>
    <row r="26" spans="2:19">
      <c r="B26" s="155"/>
      <c r="C26" s="993"/>
      <c r="D26" s="159"/>
      <c r="E26" s="160"/>
      <c r="F26" s="987">
        <v>2.87</v>
      </c>
      <c r="G26" s="987"/>
      <c r="H26" s="160"/>
      <c r="I26" s="158"/>
      <c r="J26" s="148"/>
      <c r="K26" s="148"/>
      <c r="L26" s="148"/>
      <c r="M26" s="148"/>
      <c r="N26" s="148"/>
      <c r="O26" s="148"/>
      <c r="P26" s="148"/>
      <c r="Q26" s="148"/>
      <c r="R26" s="148"/>
      <c r="S26" s="147"/>
    </row>
    <row r="27" spans="2:19">
      <c r="B27" s="155">
        <v>4</v>
      </c>
      <c r="C27" s="993"/>
      <c r="D27" s="159"/>
      <c r="E27" s="160"/>
      <c r="F27" s="153"/>
      <c r="G27" s="153"/>
      <c r="H27" s="160"/>
      <c r="I27" s="158"/>
      <c r="J27" s="157">
        <v>0.375</v>
      </c>
      <c r="K27" s="156">
        <f>SUM(D24:I29)</f>
        <v>3.17</v>
      </c>
      <c r="L27" s="156">
        <v>7</v>
      </c>
      <c r="M27" s="156">
        <v>1</v>
      </c>
      <c r="N27" s="156" t="str">
        <f>IF(J27=1/4,L27*K27*M27,"-")</f>
        <v>-</v>
      </c>
      <c r="O27" s="156">
        <f>IF(J27=3/8,K27*L27*M27,"-")</f>
        <v>22.189999999999998</v>
      </c>
      <c r="P27" s="156" t="str">
        <f>IF(J27=1/2,L27*K27*M27,"-")</f>
        <v>-</v>
      </c>
      <c r="Q27" s="156" t="str">
        <f>IF(J27=5/8,L27*K27*M27,"-")</f>
        <v>-</v>
      </c>
      <c r="R27" s="156" t="str">
        <f>IF(J27=3/4,K27*L27,"-")</f>
        <v>-</v>
      </c>
      <c r="S27" s="147"/>
    </row>
    <row r="28" spans="2:19">
      <c r="B28" s="155"/>
      <c r="C28" s="994"/>
      <c r="D28" s="154"/>
      <c r="E28" s="153">
        <v>0.15</v>
      </c>
      <c r="F28" s="152"/>
      <c r="G28" s="151"/>
      <c r="H28" s="150">
        <v>0.15</v>
      </c>
      <c r="I28" s="150"/>
      <c r="J28" s="148"/>
      <c r="K28" s="149"/>
      <c r="L28" s="148"/>
      <c r="M28" s="149"/>
      <c r="N28" s="148"/>
      <c r="O28" s="149"/>
      <c r="P28" s="148"/>
      <c r="Q28" s="149"/>
      <c r="R28" s="148"/>
      <c r="S28" s="147"/>
    </row>
    <row r="29" spans="2:19">
      <c r="B29" s="146"/>
      <c r="C29" s="995"/>
      <c r="D29" s="145"/>
      <c r="E29" s="144"/>
      <c r="F29" s="143"/>
      <c r="G29" s="143"/>
      <c r="H29" s="142"/>
      <c r="I29" s="141"/>
      <c r="J29" s="140"/>
      <c r="K29" s="140"/>
      <c r="L29" s="140"/>
      <c r="M29" s="140"/>
      <c r="N29" s="140"/>
      <c r="O29" s="140"/>
      <c r="P29" s="140"/>
      <c r="Q29" s="140"/>
      <c r="R29" s="140"/>
      <c r="S29" s="139"/>
    </row>
    <row r="30" spans="2:19">
      <c r="B30" s="155"/>
      <c r="C30" s="993" t="s">
        <v>301</v>
      </c>
      <c r="D30" s="159"/>
      <c r="E30" s="160"/>
      <c r="F30" s="987"/>
      <c r="G30" s="987"/>
      <c r="H30" s="160"/>
      <c r="I30" s="158"/>
      <c r="J30" s="148"/>
      <c r="K30" s="148"/>
      <c r="L30" s="148"/>
      <c r="M30" s="148"/>
      <c r="N30" s="148"/>
      <c r="O30" s="148"/>
      <c r="P30" s="148"/>
      <c r="Q30" s="148"/>
      <c r="R30" s="148"/>
      <c r="S30" s="147"/>
    </row>
    <row r="31" spans="2:19">
      <c r="B31" s="155"/>
      <c r="C31" s="993"/>
      <c r="D31" s="159"/>
      <c r="E31" s="160"/>
      <c r="F31" s="987" t="s">
        <v>300</v>
      </c>
      <c r="G31" s="987"/>
      <c r="H31" s="160"/>
      <c r="I31" s="158"/>
      <c r="J31" s="148"/>
      <c r="K31" s="148"/>
      <c r="L31" s="148"/>
      <c r="M31" s="148"/>
      <c r="N31" s="148"/>
      <c r="O31" s="148"/>
      <c r="P31" s="148"/>
      <c r="Q31" s="148"/>
      <c r="R31" s="148"/>
      <c r="S31" s="147"/>
    </row>
    <row r="32" spans="2:19">
      <c r="B32" s="155"/>
      <c r="C32" s="993"/>
      <c r="D32" s="159"/>
      <c r="E32" s="160"/>
      <c r="F32" s="987">
        <v>1.05</v>
      </c>
      <c r="G32" s="987"/>
      <c r="H32" s="160"/>
      <c r="I32" s="158"/>
      <c r="J32" s="148"/>
      <c r="K32" s="148"/>
      <c r="L32" s="148"/>
      <c r="M32" s="148"/>
      <c r="N32" s="148"/>
      <c r="O32" s="148"/>
      <c r="P32" s="148"/>
      <c r="Q32" s="148"/>
      <c r="R32" s="148"/>
      <c r="S32" s="147"/>
    </row>
    <row r="33" spans="2:19">
      <c r="B33" s="155">
        <v>5</v>
      </c>
      <c r="C33" s="993"/>
      <c r="D33" s="159"/>
      <c r="E33" s="160"/>
      <c r="F33" s="153"/>
      <c r="G33" s="153"/>
      <c r="H33" s="160"/>
      <c r="I33" s="158"/>
      <c r="J33" s="157">
        <v>0.375</v>
      </c>
      <c r="K33" s="156">
        <f>SUM(D30:I35)</f>
        <v>1.3499999999999999</v>
      </c>
      <c r="L33" s="156">
        <v>18</v>
      </c>
      <c r="M33" s="156">
        <v>1</v>
      </c>
      <c r="N33" s="156" t="str">
        <f>IF(J33=1/4,L33*K33*M33,"-")</f>
        <v>-</v>
      </c>
      <c r="O33" s="156">
        <f>IF(J33=3/8,K33*L33*M33,"-")</f>
        <v>24.299999999999997</v>
      </c>
      <c r="P33" s="156" t="str">
        <f>IF(J33=1/2,L33*K33*M33,"-")</f>
        <v>-</v>
      </c>
      <c r="Q33" s="156" t="str">
        <f>IF(J33=5/8,L33*K33*M33,"-")</f>
        <v>-</v>
      </c>
      <c r="R33" s="156" t="str">
        <f>IF(J33=3/4,K33*L33,"-")</f>
        <v>-</v>
      </c>
      <c r="S33" s="147"/>
    </row>
    <row r="34" spans="2:19">
      <c r="B34" s="155"/>
      <c r="C34" s="994"/>
      <c r="D34" s="154"/>
      <c r="E34" s="153">
        <v>0.15</v>
      </c>
      <c r="F34" s="152"/>
      <c r="G34" s="151"/>
      <c r="H34" s="150">
        <v>0.15</v>
      </c>
      <c r="I34" s="150"/>
      <c r="J34" s="148"/>
      <c r="K34" s="149"/>
      <c r="L34" s="148"/>
      <c r="M34" s="149"/>
      <c r="N34" s="148"/>
      <c r="O34" s="149"/>
      <c r="P34" s="148"/>
      <c r="Q34" s="149"/>
      <c r="R34" s="148"/>
      <c r="S34" s="147"/>
    </row>
    <row r="35" spans="2:19">
      <c r="B35" s="146"/>
      <c r="C35" s="995"/>
      <c r="D35" s="145"/>
      <c r="E35" s="144"/>
      <c r="F35" s="143"/>
      <c r="G35" s="143"/>
      <c r="H35" s="142"/>
      <c r="I35" s="141"/>
      <c r="J35" s="140"/>
      <c r="K35" s="140"/>
      <c r="L35" s="140"/>
      <c r="M35" s="140"/>
      <c r="N35" s="140"/>
      <c r="O35" s="140"/>
      <c r="P35" s="140"/>
      <c r="Q35" s="140"/>
      <c r="R35" s="140"/>
      <c r="S35" s="139"/>
    </row>
    <row r="36" spans="2:19" ht="15.75" thickBot="1">
      <c r="B36" s="138"/>
      <c r="C36" s="137"/>
      <c r="D36" s="137"/>
      <c r="E36" s="137"/>
      <c r="F36" s="137"/>
      <c r="G36" s="137"/>
      <c r="H36" s="137"/>
      <c r="I36" s="137"/>
      <c r="J36" s="984" t="s">
        <v>263</v>
      </c>
      <c r="K36" s="985"/>
      <c r="L36" s="986"/>
      <c r="M36" s="136"/>
      <c r="N36" s="136">
        <f>SUM(N9:N29)</f>
        <v>0</v>
      </c>
      <c r="O36" s="136">
        <f>SUM(O9:O35)</f>
        <v>123.24999999999999</v>
      </c>
      <c r="P36" s="136">
        <f>SUM(P9:P29)</f>
        <v>0</v>
      </c>
      <c r="Q36" s="136">
        <f>SUM(Q9:Q29)</f>
        <v>0</v>
      </c>
      <c r="R36" s="136">
        <f>SUM(R9:R29)</f>
        <v>0</v>
      </c>
      <c r="S36" s="135"/>
    </row>
    <row r="37" spans="2:19">
      <c r="J37" s="963" t="s">
        <v>262</v>
      </c>
      <c r="K37" s="963"/>
      <c r="L37" s="963"/>
      <c r="M37" s="133"/>
      <c r="N37" s="132">
        <v>0.22</v>
      </c>
      <c r="O37" s="132">
        <v>0.56000000000000005</v>
      </c>
      <c r="P37" s="134">
        <v>0.99399999999999999</v>
      </c>
      <c r="Q37" s="134">
        <v>1.552</v>
      </c>
      <c r="R37" s="134">
        <v>2.2349999999999999</v>
      </c>
      <c r="S37" s="133"/>
    </row>
    <row r="38" spans="2:19">
      <c r="J38" s="964" t="s">
        <v>261</v>
      </c>
      <c r="K38" s="964"/>
      <c r="L38" s="964"/>
      <c r="M38" s="132"/>
      <c r="N38" s="132">
        <f>N36*N37</f>
        <v>0</v>
      </c>
      <c r="O38" s="132">
        <f>O36*O37</f>
        <v>69.02</v>
      </c>
      <c r="P38" s="132">
        <f>P36*P37</f>
        <v>0</v>
      </c>
      <c r="Q38" s="132">
        <f>Q36*Q37</f>
        <v>0</v>
      </c>
      <c r="R38" s="132">
        <f>R36*R37</f>
        <v>0</v>
      </c>
      <c r="S38" s="132"/>
    </row>
    <row r="39" spans="2:19">
      <c r="J39" s="965" t="s">
        <v>260</v>
      </c>
      <c r="K39" s="966"/>
      <c r="L39" s="967"/>
      <c r="M39" s="968">
        <v>1</v>
      </c>
      <c r="N39" s="969"/>
      <c r="O39" s="969"/>
      <c r="P39" s="969"/>
      <c r="Q39" s="969"/>
      <c r="R39" s="969"/>
      <c r="S39" s="970"/>
    </row>
    <row r="40" spans="2:19">
      <c r="J40" s="965" t="s">
        <v>259</v>
      </c>
      <c r="K40" s="966"/>
      <c r="L40" s="967"/>
      <c r="M40" s="971">
        <f>SUM(N38:S38)*M39</f>
        <v>69.02</v>
      </c>
      <c r="N40" s="972"/>
      <c r="O40" s="972"/>
      <c r="P40" s="972"/>
      <c r="Q40" s="972"/>
      <c r="R40" s="972"/>
      <c r="S40" s="973"/>
    </row>
    <row r="43" spans="2:19" ht="18">
      <c r="B43" s="1001" t="s">
        <v>283</v>
      </c>
      <c r="C43" s="1001"/>
      <c r="D43" s="1001"/>
      <c r="E43" s="1001"/>
      <c r="F43" s="1001"/>
      <c r="G43" s="1001"/>
      <c r="H43" s="1001"/>
      <c r="I43" s="1001"/>
      <c r="J43" s="1001"/>
      <c r="K43" s="1001"/>
      <c r="L43" s="1001"/>
      <c r="M43" s="1001"/>
      <c r="N43" s="1001"/>
      <c r="O43" s="1001"/>
      <c r="P43" s="1002"/>
      <c r="Q43" s="1002"/>
      <c r="R43" s="1002"/>
      <c r="S43" s="1002"/>
    </row>
    <row r="44" spans="2:19">
      <c r="B44" s="1003" t="s">
        <v>282</v>
      </c>
      <c r="C44" s="1004"/>
      <c r="D44" s="1004" t="s">
        <v>1086</v>
      </c>
      <c r="E44" s="1004"/>
      <c r="F44" s="1004"/>
      <c r="G44" s="1004"/>
      <c r="H44" s="1004"/>
      <c r="I44" s="1004"/>
      <c r="J44" s="1004"/>
      <c r="K44" s="1004"/>
      <c r="L44" s="1004"/>
      <c r="M44" s="1004"/>
      <c r="N44" s="1004"/>
      <c r="O44" s="1005"/>
      <c r="P44" s="1006" t="s">
        <v>281</v>
      </c>
      <c r="Q44" s="1007"/>
      <c r="R44" s="1007"/>
      <c r="S44" s="1008"/>
    </row>
    <row r="45" spans="2:19">
      <c r="B45" s="1004"/>
      <c r="C45" s="1004"/>
      <c r="D45" s="1004"/>
      <c r="E45" s="1004"/>
      <c r="F45" s="1004"/>
      <c r="G45" s="1004"/>
      <c r="H45" s="1004"/>
      <c r="I45" s="1004"/>
      <c r="J45" s="1004"/>
      <c r="K45" s="1004"/>
      <c r="L45" s="1004"/>
      <c r="M45" s="1004"/>
      <c r="N45" s="1004"/>
      <c r="O45" s="1005"/>
      <c r="P45" s="996" t="s">
        <v>280</v>
      </c>
      <c r="Q45" s="997"/>
      <c r="R45" s="997"/>
      <c r="S45" s="998"/>
    </row>
    <row r="46" spans="2:19">
      <c r="B46" s="1004"/>
      <c r="C46" s="1004"/>
      <c r="D46" s="1004"/>
      <c r="E46" s="1004"/>
      <c r="F46" s="1004"/>
      <c r="G46" s="1004"/>
      <c r="H46" s="1004"/>
      <c r="I46" s="1004"/>
      <c r="J46" s="1004"/>
      <c r="K46" s="1004"/>
      <c r="L46" s="1004"/>
      <c r="M46" s="1004"/>
      <c r="N46" s="1004"/>
      <c r="O46" s="1004"/>
      <c r="P46" s="999" t="s">
        <v>299</v>
      </c>
      <c r="Q46" s="999"/>
      <c r="R46" s="999"/>
      <c r="S46" s="999"/>
    </row>
    <row r="47" spans="2:19" ht="15" customHeight="1">
      <c r="B47" s="1004"/>
      <c r="C47" s="1004"/>
      <c r="D47" s="1004"/>
      <c r="E47" s="1004"/>
      <c r="F47" s="1004"/>
      <c r="G47" s="1004"/>
      <c r="H47" s="1004"/>
      <c r="I47" s="1004"/>
      <c r="J47" s="1004"/>
      <c r="K47" s="1004"/>
      <c r="L47" s="1004"/>
      <c r="M47" s="1004"/>
      <c r="N47" s="1004"/>
      <c r="O47" s="1004"/>
      <c r="P47" s="1000"/>
      <c r="Q47" s="1000"/>
      <c r="R47" s="1000"/>
      <c r="S47" s="1000"/>
    </row>
    <row r="48" spans="2:19">
      <c r="B48" s="974" t="s">
        <v>278</v>
      </c>
      <c r="C48" s="976" t="s">
        <v>2</v>
      </c>
      <c r="D48" s="976" t="s">
        <v>277</v>
      </c>
      <c r="E48" s="978"/>
      <c r="F48" s="978"/>
      <c r="G48" s="978"/>
      <c r="H48" s="978"/>
      <c r="I48" s="979"/>
      <c r="J48" s="982" t="s">
        <v>276</v>
      </c>
      <c r="K48" s="982" t="s">
        <v>275</v>
      </c>
      <c r="L48" s="982" t="s">
        <v>274</v>
      </c>
      <c r="M48" s="1009" t="s">
        <v>273</v>
      </c>
      <c r="N48" s="988" t="s">
        <v>272</v>
      </c>
      <c r="O48" s="989"/>
      <c r="P48" s="989"/>
      <c r="Q48" s="989"/>
      <c r="R48" s="990"/>
      <c r="S48" s="991" t="s">
        <v>271</v>
      </c>
    </row>
    <row r="49" spans="2:19" ht="15.75" thickBot="1">
      <c r="B49" s="975"/>
      <c r="C49" s="977"/>
      <c r="D49" s="977"/>
      <c r="E49" s="980"/>
      <c r="F49" s="980"/>
      <c r="G49" s="980"/>
      <c r="H49" s="980"/>
      <c r="I49" s="981"/>
      <c r="J49" s="983"/>
      <c r="K49" s="983"/>
      <c r="L49" s="983" t="s">
        <v>270</v>
      </c>
      <c r="M49" s="1010" t="s">
        <v>270</v>
      </c>
      <c r="N49" s="164">
        <v>0.25</v>
      </c>
      <c r="O49" s="163">
        <v>0.375</v>
      </c>
      <c r="P49" s="163">
        <v>0.5</v>
      </c>
      <c r="Q49" s="163">
        <v>0.625</v>
      </c>
      <c r="R49" s="163">
        <v>0.75</v>
      </c>
      <c r="S49" s="992"/>
    </row>
    <row r="50" spans="2:19">
      <c r="B50" s="155"/>
      <c r="C50" s="993" t="s">
        <v>298</v>
      </c>
      <c r="D50" s="159"/>
      <c r="E50" s="160"/>
      <c r="F50" s="987"/>
      <c r="G50" s="987"/>
      <c r="H50" s="160"/>
      <c r="I50" s="158"/>
      <c r="J50" s="148"/>
      <c r="K50" s="148"/>
      <c r="L50" s="148"/>
      <c r="M50" s="148"/>
      <c r="N50" s="148"/>
      <c r="O50" s="148"/>
      <c r="P50" s="148"/>
      <c r="Q50" s="148"/>
      <c r="R50" s="148"/>
      <c r="S50" s="147"/>
    </row>
    <row r="51" spans="2:19">
      <c r="B51" s="155"/>
      <c r="C51" s="993"/>
      <c r="D51" s="159"/>
      <c r="E51" s="160"/>
      <c r="F51" s="153"/>
      <c r="G51" s="153"/>
      <c r="H51" s="160"/>
      <c r="I51" s="158"/>
      <c r="J51" s="148"/>
      <c r="K51" s="148"/>
      <c r="L51" s="148"/>
      <c r="M51" s="148"/>
      <c r="N51" s="148"/>
      <c r="O51" s="148"/>
      <c r="P51" s="148"/>
      <c r="Q51" s="148"/>
      <c r="R51" s="148"/>
      <c r="S51" s="147"/>
    </row>
    <row r="52" spans="2:19">
      <c r="B52" s="155"/>
      <c r="C52" s="993"/>
      <c r="D52" s="159"/>
      <c r="E52" s="160"/>
      <c r="F52" s="153"/>
      <c r="G52" s="153"/>
      <c r="H52" s="160"/>
      <c r="I52" s="158"/>
      <c r="J52" s="148"/>
      <c r="K52" s="148"/>
      <c r="L52" s="148"/>
      <c r="M52" s="148"/>
      <c r="N52" s="148"/>
      <c r="O52" s="148"/>
      <c r="P52" s="148"/>
      <c r="Q52" s="148"/>
      <c r="R52" s="148"/>
      <c r="S52" s="147"/>
    </row>
    <row r="53" spans="2:19">
      <c r="B53" s="155">
        <v>1</v>
      </c>
      <c r="C53" s="993"/>
      <c r="D53" s="159"/>
      <c r="E53" s="160"/>
      <c r="F53" s="153"/>
      <c r="G53" s="153">
        <v>0.63</v>
      </c>
      <c r="H53" s="160"/>
      <c r="I53" s="158"/>
      <c r="J53" s="157">
        <v>0.375</v>
      </c>
      <c r="K53" s="156">
        <f>SUM(D50:I55)</f>
        <v>0.69</v>
      </c>
      <c r="L53" s="156">
        <v>7</v>
      </c>
      <c r="M53" s="156">
        <v>1</v>
      </c>
      <c r="N53" s="156" t="str">
        <f>IF(J53=1/4,L53*K53*M53,"-")</f>
        <v>-</v>
      </c>
      <c r="O53" s="156">
        <f>IF(J53=3/8,K53*L53*M53,"-")</f>
        <v>4.83</v>
      </c>
      <c r="P53" s="156" t="str">
        <f>IF(J53=1/2,L53*K53*M53,"-")</f>
        <v>-</v>
      </c>
      <c r="Q53" s="156" t="str">
        <f>IF(J53=5/8,L53*K53*M53,"-")</f>
        <v>-</v>
      </c>
      <c r="R53" s="156" t="str">
        <f>IF(J53=3/4,K53*L53,"-")</f>
        <v>-</v>
      </c>
      <c r="S53" s="147"/>
    </row>
    <row r="54" spans="2:19">
      <c r="B54" s="155"/>
      <c r="C54" s="994"/>
      <c r="D54" s="154"/>
      <c r="E54" s="151"/>
      <c r="F54" s="152">
        <v>0.06</v>
      </c>
      <c r="G54" s="151"/>
      <c r="H54" s="150"/>
      <c r="I54" s="150"/>
      <c r="J54" s="148"/>
      <c r="K54" s="149"/>
      <c r="L54" s="148"/>
      <c r="M54" s="149"/>
      <c r="N54" s="148"/>
      <c r="O54" s="149"/>
      <c r="P54" s="148"/>
      <c r="Q54" s="149"/>
      <c r="R54" s="148"/>
      <c r="S54" s="147"/>
    </row>
    <row r="55" spans="2:19">
      <c r="B55" s="146"/>
      <c r="C55" s="995"/>
      <c r="D55" s="145"/>
      <c r="E55" s="144"/>
      <c r="F55" s="143"/>
      <c r="G55" s="143"/>
      <c r="H55" s="142"/>
      <c r="I55" s="141"/>
      <c r="J55" s="140"/>
      <c r="K55" s="140"/>
      <c r="L55" s="140"/>
      <c r="M55" s="140"/>
      <c r="N55" s="140"/>
      <c r="O55" s="140"/>
      <c r="P55" s="140"/>
      <c r="Q55" s="140"/>
      <c r="R55" s="140"/>
      <c r="S55" s="139"/>
    </row>
    <row r="56" spans="2:19">
      <c r="B56" s="155"/>
      <c r="C56" s="993" t="s">
        <v>297</v>
      </c>
      <c r="D56" s="159"/>
      <c r="E56" s="160"/>
      <c r="F56" s="987"/>
      <c r="G56" s="987"/>
      <c r="H56" s="160"/>
      <c r="I56" s="158"/>
      <c r="J56" s="148"/>
      <c r="K56" s="148"/>
      <c r="L56" s="148"/>
      <c r="M56" s="148"/>
      <c r="N56" s="148"/>
      <c r="O56" s="148"/>
      <c r="P56" s="148"/>
      <c r="Q56" s="148"/>
      <c r="R56" s="148"/>
      <c r="S56" s="147"/>
    </row>
    <row r="57" spans="2:19">
      <c r="B57" s="155">
        <v>2</v>
      </c>
      <c r="C57" s="994"/>
      <c r="D57" s="154"/>
      <c r="E57" s="153">
        <v>0.15</v>
      </c>
      <c r="F57" s="987">
        <v>1.1100000000000001</v>
      </c>
      <c r="G57" s="987"/>
      <c r="H57" s="150">
        <v>0.15</v>
      </c>
      <c r="I57" s="165"/>
      <c r="J57" s="157">
        <v>0.375</v>
      </c>
      <c r="K57" s="156">
        <f>SUM(D56:I58)</f>
        <v>1.41</v>
      </c>
      <c r="L57" s="156">
        <v>3</v>
      </c>
      <c r="M57" s="156">
        <v>1</v>
      </c>
      <c r="N57" s="156" t="str">
        <f>IF(J57=1/4,L57*K57*M57,"-")</f>
        <v>-</v>
      </c>
      <c r="O57" s="156">
        <f>IF(J57=3/8,K57*L57*M57,"-")</f>
        <v>4.2299999999999995</v>
      </c>
      <c r="P57" s="156" t="str">
        <f>IF(J57=1/2,L57*K57*M57,"-")</f>
        <v>-</v>
      </c>
      <c r="Q57" s="156" t="str">
        <f>IF(J57=5/8,L57*K57*M57,"-")</f>
        <v>-</v>
      </c>
      <c r="R57" s="156" t="str">
        <f>IF(J57=3/4,K57*L57,"-")</f>
        <v>-</v>
      </c>
      <c r="S57" s="147"/>
    </row>
    <row r="58" spans="2:19">
      <c r="B58" s="146"/>
      <c r="C58" s="995"/>
      <c r="D58" s="145"/>
      <c r="E58" s="144"/>
      <c r="F58" s="143"/>
      <c r="G58" s="143"/>
      <c r="H58" s="142"/>
      <c r="I58" s="141"/>
      <c r="J58" s="140"/>
      <c r="K58" s="140"/>
      <c r="L58" s="140"/>
      <c r="M58" s="140"/>
      <c r="N58" s="140"/>
      <c r="O58" s="140"/>
      <c r="P58" s="140"/>
      <c r="Q58" s="140"/>
      <c r="R58" s="140"/>
      <c r="S58" s="139"/>
    </row>
    <row r="59" spans="2:19">
      <c r="B59" s="155"/>
      <c r="C59" s="993" t="s">
        <v>296</v>
      </c>
      <c r="D59" s="159"/>
      <c r="E59" s="160"/>
      <c r="F59" s="987"/>
      <c r="G59" s="987"/>
      <c r="H59" s="160"/>
      <c r="I59" s="158"/>
      <c r="J59" s="148"/>
      <c r="K59" s="148"/>
      <c r="L59" s="148"/>
      <c r="M59" s="148"/>
      <c r="N59" s="148"/>
      <c r="O59" s="148"/>
      <c r="P59" s="148"/>
      <c r="Q59" s="148"/>
      <c r="R59" s="148"/>
      <c r="S59" s="147"/>
    </row>
    <row r="60" spans="2:19">
      <c r="B60" s="155"/>
      <c r="C60" s="993"/>
      <c r="D60" s="159"/>
      <c r="E60" s="160"/>
      <c r="F60" s="153"/>
      <c r="G60" s="153"/>
      <c r="H60" s="160"/>
      <c r="I60" s="158"/>
      <c r="J60" s="148"/>
      <c r="K60" s="148"/>
      <c r="L60" s="148"/>
      <c r="M60" s="148"/>
      <c r="N60" s="148"/>
      <c r="O60" s="148"/>
      <c r="P60" s="148"/>
      <c r="Q60" s="148"/>
      <c r="R60" s="148"/>
      <c r="S60" s="147"/>
    </row>
    <row r="61" spans="2:19">
      <c r="B61" s="155"/>
      <c r="C61" s="993"/>
      <c r="D61" s="159"/>
      <c r="E61" s="160"/>
      <c r="F61" s="153"/>
      <c r="G61" s="151">
        <v>1.32</v>
      </c>
      <c r="H61" s="160"/>
      <c r="I61" s="158"/>
      <c r="J61" s="148"/>
      <c r="K61" s="148"/>
      <c r="L61" s="148"/>
      <c r="M61" s="148"/>
      <c r="N61" s="148"/>
      <c r="O61" s="148"/>
      <c r="P61" s="148"/>
      <c r="Q61" s="148"/>
      <c r="R61" s="148"/>
      <c r="S61" s="147"/>
    </row>
    <row r="62" spans="2:19">
      <c r="B62" s="155">
        <v>3</v>
      </c>
      <c r="C62" s="993"/>
      <c r="D62" s="159"/>
      <c r="E62" s="160"/>
      <c r="F62" s="153">
        <v>0.08</v>
      </c>
      <c r="G62" s="153"/>
      <c r="H62" s="160"/>
      <c r="I62" s="158"/>
      <c r="J62" s="157">
        <v>0.375</v>
      </c>
      <c r="K62" s="156">
        <f>SUM(D59:I64)</f>
        <v>1.4000000000000001</v>
      </c>
      <c r="L62" s="156">
        <v>6</v>
      </c>
      <c r="M62" s="156">
        <v>1</v>
      </c>
      <c r="N62" s="156" t="str">
        <f>IF(J62=1/4,L62*K62*M62,"-")</f>
        <v>-</v>
      </c>
      <c r="O62" s="156">
        <f>IF(J62=3/8,K62*L62*M62,"-")</f>
        <v>8.4</v>
      </c>
      <c r="P62" s="156" t="str">
        <f>IF(J62=1/2,L62*K62*M62,"-")</f>
        <v>-</v>
      </c>
      <c r="Q62" s="156" t="str">
        <f>IF(J62=5/8,L62*K62*M62,"-")</f>
        <v>-</v>
      </c>
      <c r="R62" s="156" t="str">
        <f>IF(J62=3/4,K62*L62,"-")</f>
        <v>-</v>
      </c>
      <c r="S62" s="147"/>
    </row>
    <row r="63" spans="2:19">
      <c r="B63" s="155"/>
      <c r="C63" s="994"/>
      <c r="D63" s="154"/>
      <c r="E63" s="151"/>
      <c r="F63" s="152"/>
      <c r="G63" s="151"/>
      <c r="H63" s="150"/>
      <c r="I63" s="150"/>
      <c r="J63" s="148"/>
      <c r="K63" s="149"/>
      <c r="L63" s="148"/>
      <c r="M63" s="149"/>
      <c r="N63" s="148"/>
      <c r="O63" s="149"/>
      <c r="P63" s="148"/>
      <c r="Q63" s="149"/>
      <c r="R63" s="148"/>
      <c r="S63" s="147"/>
    </row>
    <row r="64" spans="2:19">
      <c r="B64" s="146"/>
      <c r="C64" s="995"/>
      <c r="D64" s="145"/>
      <c r="E64" s="144"/>
      <c r="F64" s="143"/>
      <c r="G64" s="143"/>
      <c r="H64" s="142"/>
      <c r="I64" s="141"/>
      <c r="J64" s="140"/>
      <c r="K64" s="140"/>
      <c r="L64" s="140"/>
      <c r="M64" s="140"/>
      <c r="N64" s="140"/>
      <c r="O64" s="140"/>
      <c r="P64" s="140"/>
      <c r="Q64" s="140"/>
      <c r="R64" s="140"/>
      <c r="S64" s="139"/>
    </row>
    <row r="65" spans="2:19" ht="15" customHeight="1">
      <c r="B65" s="155"/>
      <c r="C65" s="993" t="s">
        <v>295</v>
      </c>
      <c r="D65" s="159"/>
      <c r="E65" s="160"/>
      <c r="F65" s="987"/>
      <c r="G65" s="987"/>
      <c r="H65" s="160"/>
      <c r="I65" s="158"/>
      <c r="J65" s="148"/>
      <c r="K65" s="148"/>
      <c r="L65" s="148"/>
      <c r="M65" s="148"/>
      <c r="N65" s="148"/>
      <c r="O65" s="148"/>
      <c r="P65" s="148"/>
      <c r="Q65" s="148"/>
      <c r="R65" s="148"/>
      <c r="S65" s="147"/>
    </row>
    <row r="66" spans="2:19">
      <c r="B66" s="155"/>
      <c r="C66" s="993"/>
      <c r="D66" s="159"/>
      <c r="E66" s="160"/>
      <c r="F66" s="987">
        <v>1.1299999999999999</v>
      </c>
      <c r="G66" s="987"/>
      <c r="H66" s="160"/>
      <c r="I66" s="158"/>
      <c r="J66" s="148"/>
      <c r="K66" s="148"/>
      <c r="L66" s="148"/>
      <c r="M66" s="148"/>
      <c r="N66" s="148"/>
      <c r="O66" s="148"/>
      <c r="P66" s="148"/>
      <c r="Q66" s="148"/>
      <c r="R66" s="148"/>
      <c r="S66" s="147"/>
    </row>
    <row r="67" spans="2:19">
      <c r="B67" s="155"/>
      <c r="C67" s="993"/>
      <c r="D67" s="159"/>
      <c r="E67" s="160"/>
      <c r="F67" s="152"/>
      <c r="G67" s="152"/>
      <c r="H67" s="160"/>
      <c r="I67" s="158"/>
      <c r="J67" s="148"/>
      <c r="K67" s="148"/>
      <c r="L67" s="148"/>
      <c r="M67" s="148"/>
      <c r="N67" s="148"/>
      <c r="O67" s="148"/>
      <c r="P67" s="148"/>
      <c r="Q67" s="148"/>
      <c r="R67" s="148"/>
      <c r="S67" s="147"/>
    </row>
    <row r="68" spans="2:19">
      <c r="B68" s="155">
        <v>4</v>
      </c>
      <c r="C68" s="993"/>
      <c r="D68" s="159"/>
      <c r="E68" s="162">
        <v>0.15</v>
      </c>
      <c r="F68" s="153"/>
      <c r="G68" s="153"/>
      <c r="H68" s="160">
        <v>0.15</v>
      </c>
      <c r="I68" s="158"/>
      <c r="J68" s="157">
        <v>0.375</v>
      </c>
      <c r="K68" s="156">
        <f>SUM(D65:I70)</f>
        <v>1.4299999999999997</v>
      </c>
      <c r="L68" s="156">
        <v>5</v>
      </c>
      <c r="M68" s="156">
        <v>1</v>
      </c>
      <c r="N68" s="156" t="str">
        <f>IF(J68=1/4,L68*K68*M68,"-")</f>
        <v>-</v>
      </c>
      <c r="O68" s="156">
        <f>IF(J68=3/8,K68*L68*M68,"-")</f>
        <v>7.1499999999999986</v>
      </c>
      <c r="P68" s="156" t="str">
        <f>IF(J68=1/2,L68*K68*M68,"-")</f>
        <v>-</v>
      </c>
      <c r="Q68" s="156" t="str">
        <f>IF(J68=5/8,L68*K68*M68,"-")</f>
        <v>-</v>
      </c>
      <c r="R68" s="156" t="str">
        <f>IF(J68=3/4,K68*L68,"-")</f>
        <v>-</v>
      </c>
      <c r="S68" s="147"/>
    </row>
    <row r="69" spans="2:19">
      <c r="B69" s="155"/>
      <c r="C69" s="994"/>
      <c r="D69" s="154"/>
      <c r="E69" s="153"/>
      <c r="F69" s="152"/>
      <c r="G69" s="151"/>
      <c r="H69" s="150"/>
      <c r="I69" s="150"/>
      <c r="J69" s="148"/>
      <c r="K69" s="149"/>
      <c r="L69" s="148"/>
      <c r="M69" s="149"/>
      <c r="N69" s="148"/>
      <c r="O69" s="149"/>
      <c r="P69" s="148"/>
      <c r="Q69" s="149"/>
      <c r="R69" s="148"/>
      <c r="S69" s="147"/>
    </row>
    <row r="70" spans="2:19">
      <c r="B70" s="146"/>
      <c r="C70" s="995"/>
      <c r="D70" s="145"/>
      <c r="E70" s="144"/>
      <c r="F70" s="143"/>
      <c r="G70" s="143"/>
      <c r="H70" s="142"/>
      <c r="I70" s="141"/>
      <c r="J70" s="140"/>
      <c r="K70" s="140"/>
      <c r="L70" s="140"/>
      <c r="M70" s="140"/>
      <c r="N70" s="140"/>
      <c r="O70" s="140"/>
      <c r="P70" s="140"/>
      <c r="Q70" s="140"/>
      <c r="R70" s="140"/>
      <c r="S70" s="139"/>
    </row>
    <row r="71" spans="2:19">
      <c r="B71" s="155"/>
      <c r="C71" s="993" t="s">
        <v>294</v>
      </c>
      <c r="D71" s="159"/>
      <c r="E71" s="160"/>
      <c r="F71" s="987"/>
      <c r="G71" s="987"/>
      <c r="H71" s="160"/>
      <c r="I71" s="158"/>
      <c r="J71" s="148"/>
      <c r="K71" s="148"/>
      <c r="L71" s="148"/>
      <c r="M71" s="148"/>
      <c r="N71" s="148"/>
      <c r="O71" s="148"/>
      <c r="P71" s="148"/>
      <c r="Q71" s="148"/>
      <c r="R71" s="148"/>
      <c r="S71" s="147"/>
    </row>
    <row r="72" spans="2:19">
      <c r="B72" s="155"/>
      <c r="C72" s="993"/>
      <c r="D72" s="159"/>
      <c r="E72" s="160"/>
      <c r="F72" s="987"/>
      <c r="G72" s="987"/>
      <c r="H72" s="160"/>
      <c r="I72" s="158"/>
      <c r="J72" s="148"/>
      <c r="K72" s="148"/>
      <c r="L72" s="148"/>
      <c r="M72" s="148"/>
      <c r="N72" s="148"/>
      <c r="O72" s="148"/>
      <c r="P72" s="148"/>
      <c r="Q72" s="148"/>
      <c r="R72" s="148"/>
      <c r="S72" s="147"/>
    </row>
    <row r="73" spans="2:19">
      <c r="B73" s="155"/>
      <c r="C73" s="993"/>
      <c r="D73" s="159"/>
      <c r="E73" s="160"/>
      <c r="F73" s="987">
        <v>0.31</v>
      </c>
      <c r="G73" s="987"/>
      <c r="H73" s="160"/>
      <c r="I73" s="158"/>
      <c r="J73" s="148"/>
      <c r="K73" s="148"/>
      <c r="L73" s="148"/>
      <c r="M73" s="148"/>
      <c r="N73" s="148"/>
      <c r="O73" s="148"/>
      <c r="P73" s="148"/>
      <c r="Q73" s="148"/>
      <c r="R73" s="148"/>
      <c r="S73" s="147"/>
    </row>
    <row r="74" spans="2:19">
      <c r="B74" s="155">
        <v>5</v>
      </c>
      <c r="C74" s="993"/>
      <c r="D74" s="159"/>
      <c r="E74" s="160"/>
      <c r="F74" s="153">
        <v>0.08</v>
      </c>
      <c r="G74" s="153"/>
      <c r="H74" s="160"/>
      <c r="I74" s="158"/>
      <c r="J74" s="157">
        <v>0.375</v>
      </c>
      <c r="K74" s="156">
        <f>SUM(D71:I76)</f>
        <v>0.39</v>
      </c>
      <c r="L74" s="156">
        <v>5</v>
      </c>
      <c r="M74" s="156">
        <v>2</v>
      </c>
      <c r="N74" s="156" t="str">
        <f>IF(J74=1/4,L74*K74*M74,"-")</f>
        <v>-</v>
      </c>
      <c r="O74" s="156">
        <f>IF(J74=3/8,K74*L74*M74,"-")</f>
        <v>3.9000000000000004</v>
      </c>
      <c r="P74" s="156" t="str">
        <f>IF(J74=1/2,L74*K74*M74,"-")</f>
        <v>-</v>
      </c>
      <c r="Q74" s="156" t="str">
        <f>IF(J74=5/8,L74*K74*M74,"-")</f>
        <v>-</v>
      </c>
      <c r="R74" s="156" t="str">
        <f>IF(J74=3/4,K74*L74,"-")</f>
        <v>-</v>
      </c>
      <c r="S74" s="147"/>
    </row>
    <row r="75" spans="2:19">
      <c r="B75" s="155"/>
      <c r="C75" s="994"/>
      <c r="D75" s="154"/>
      <c r="E75" s="153"/>
      <c r="F75" s="152"/>
      <c r="G75" s="151"/>
      <c r="H75" s="150"/>
      <c r="I75" s="150"/>
      <c r="J75" s="148"/>
      <c r="K75" s="149"/>
      <c r="L75" s="148"/>
      <c r="M75" s="149"/>
      <c r="N75" s="148"/>
      <c r="O75" s="149"/>
      <c r="P75" s="148"/>
      <c r="Q75" s="149"/>
      <c r="R75" s="148"/>
      <c r="S75" s="147"/>
    </row>
    <row r="76" spans="2:19">
      <c r="B76" s="146"/>
      <c r="C76" s="995"/>
      <c r="D76" s="145"/>
      <c r="E76" s="144"/>
      <c r="F76" s="143"/>
      <c r="G76" s="143"/>
      <c r="H76" s="142"/>
      <c r="I76" s="141"/>
      <c r="J76" s="140"/>
      <c r="K76" s="140"/>
      <c r="L76" s="140"/>
      <c r="M76" s="140"/>
      <c r="N76" s="140"/>
      <c r="O76" s="140"/>
      <c r="P76" s="140"/>
      <c r="Q76" s="140"/>
      <c r="R76" s="140"/>
      <c r="S76" s="139"/>
    </row>
    <row r="77" spans="2:19" ht="15" customHeight="1">
      <c r="B77" s="155"/>
      <c r="C77" s="993" t="s">
        <v>293</v>
      </c>
      <c r="D77" s="159"/>
      <c r="E77" s="160"/>
      <c r="F77" s="987"/>
      <c r="G77" s="987"/>
      <c r="H77" s="160"/>
      <c r="I77" s="158"/>
      <c r="J77" s="148"/>
      <c r="K77" s="148"/>
      <c r="L77" s="148"/>
      <c r="M77" s="148"/>
      <c r="N77" s="148"/>
      <c r="O77" s="148"/>
      <c r="P77" s="148"/>
      <c r="Q77" s="148"/>
      <c r="R77" s="148"/>
      <c r="S77" s="147"/>
    </row>
    <row r="78" spans="2:19">
      <c r="B78" s="155"/>
      <c r="C78" s="993"/>
      <c r="D78" s="159"/>
      <c r="E78" s="160"/>
      <c r="F78" s="987">
        <v>1.1100000000000001</v>
      </c>
      <c r="G78" s="987"/>
      <c r="H78" s="160"/>
      <c r="I78" s="158"/>
      <c r="J78" s="148"/>
      <c r="K78" s="148"/>
      <c r="L78" s="148"/>
      <c r="M78" s="148"/>
      <c r="N78" s="148"/>
      <c r="O78" s="148"/>
      <c r="P78" s="148"/>
      <c r="Q78" s="148"/>
      <c r="R78" s="148"/>
      <c r="S78" s="147"/>
    </row>
    <row r="79" spans="2:19">
      <c r="B79" s="155"/>
      <c r="C79" s="993"/>
      <c r="D79" s="159"/>
      <c r="E79" s="160"/>
      <c r="F79" s="987"/>
      <c r="G79" s="987"/>
      <c r="H79" s="160"/>
      <c r="I79" s="158"/>
      <c r="J79" s="148"/>
      <c r="K79" s="148"/>
      <c r="L79" s="148"/>
      <c r="M79" s="148"/>
      <c r="N79" s="148"/>
      <c r="O79" s="148"/>
      <c r="P79" s="148"/>
      <c r="Q79" s="148"/>
      <c r="R79" s="148"/>
      <c r="S79" s="147"/>
    </row>
    <row r="80" spans="2:19">
      <c r="B80" s="155">
        <v>6</v>
      </c>
      <c r="C80" s="993"/>
      <c r="D80" s="159"/>
      <c r="E80" s="162">
        <v>0.15</v>
      </c>
      <c r="F80" s="153"/>
      <c r="G80" s="153"/>
      <c r="H80" s="160">
        <v>0.15</v>
      </c>
      <c r="I80" s="158"/>
      <c r="J80" s="157">
        <v>0.375</v>
      </c>
      <c r="K80" s="156">
        <f>SUM(D77:I82)</f>
        <v>1.41</v>
      </c>
      <c r="L80" s="156">
        <v>1</v>
      </c>
      <c r="M80" s="156">
        <v>2</v>
      </c>
      <c r="N80" s="156" t="str">
        <f>IF(J80=1/4,L80*K80*M80,"-")</f>
        <v>-</v>
      </c>
      <c r="O80" s="156">
        <f>IF(J80=3/8,K80*L80*M80,"-")</f>
        <v>2.82</v>
      </c>
      <c r="P80" s="156" t="str">
        <f>IF(J80=1/2,L80*K80*M80,"-")</f>
        <v>-</v>
      </c>
      <c r="Q80" s="156" t="str">
        <f>IF(J80=5/8,L80*K80*M80,"-")</f>
        <v>-</v>
      </c>
      <c r="R80" s="156" t="str">
        <f>IF(J80=3/4,K80*L80,"-")</f>
        <v>-</v>
      </c>
      <c r="S80" s="147"/>
    </row>
    <row r="81" spans="2:19">
      <c r="B81" s="155"/>
      <c r="C81" s="994"/>
      <c r="D81" s="154"/>
      <c r="E81" s="153"/>
      <c r="F81" s="152"/>
      <c r="G81" s="151"/>
      <c r="H81" s="150"/>
      <c r="I81" s="150"/>
      <c r="J81" s="148"/>
      <c r="K81" s="149"/>
      <c r="L81" s="148"/>
      <c r="M81" s="149"/>
      <c r="N81" s="148"/>
      <c r="O81" s="149"/>
      <c r="P81" s="148"/>
      <c r="Q81" s="149"/>
      <c r="R81" s="148"/>
      <c r="S81" s="147"/>
    </row>
    <row r="82" spans="2:19">
      <c r="B82" s="146"/>
      <c r="C82" s="995"/>
      <c r="D82" s="145"/>
      <c r="E82" s="144"/>
      <c r="F82" s="143"/>
      <c r="G82" s="143"/>
      <c r="H82" s="142"/>
      <c r="I82" s="141"/>
      <c r="J82" s="140"/>
      <c r="K82" s="140"/>
      <c r="L82" s="140"/>
      <c r="M82" s="140"/>
      <c r="N82" s="140"/>
      <c r="O82" s="140"/>
      <c r="P82" s="140"/>
      <c r="Q82" s="140"/>
      <c r="R82" s="140"/>
      <c r="S82" s="139"/>
    </row>
    <row r="83" spans="2:19">
      <c r="B83" s="155"/>
      <c r="C83" s="993" t="s">
        <v>292</v>
      </c>
      <c r="D83" s="159"/>
      <c r="E83" s="160"/>
      <c r="F83" s="987">
        <v>0.15</v>
      </c>
      <c r="G83" s="987"/>
      <c r="H83" s="160"/>
      <c r="I83" s="158"/>
      <c r="J83" s="148"/>
      <c r="K83" s="148"/>
      <c r="L83" s="148"/>
      <c r="M83" s="148"/>
      <c r="N83" s="148"/>
      <c r="O83" s="148"/>
      <c r="P83" s="148"/>
      <c r="Q83" s="148"/>
      <c r="R83" s="148"/>
      <c r="S83" s="147"/>
    </row>
    <row r="84" spans="2:19">
      <c r="B84" s="155"/>
      <c r="C84" s="993"/>
      <c r="D84" s="159"/>
      <c r="E84" s="160"/>
      <c r="F84" s="987"/>
      <c r="G84" s="987"/>
      <c r="H84" s="160"/>
      <c r="I84" s="158"/>
      <c r="J84" s="148"/>
      <c r="K84" s="148"/>
      <c r="L84" s="148"/>
      <c r="M84" s="148"/>
      <c r="N84" s="148"/>
      <c r="O84" s="148"/>
      <c r="P84" s="148"/>
      <c r="Q84" s="148"/>
      <c r="R84" s="148"/>
      <c r="S84" s="147"/>
    </row>
    <row r="85" spans="2:19">
      <c r="B85" s="155"/>
      <c r="C85" s="993"/>
      <c r="D85" s="159"/>
      <c r="E85" s="160"/>
      <c r="F85" s="153"/>
      <c r="G85" s="153">
        <v>1.03</v>
      </c>
      <c r="H85" s="160"/>
      <c r="I85" s="158"/>
      <c r="J85" s="148"/>
      <c r="K85" s="148"/>
      <c r="L85" s="148"/>
      <c r="M85" s="148"/>
      <c r="N85" s="148"/>
      <c r="O85" s="148"/>
      <c r="P85" s="148"/>
      <c r="Q85" s="148"/>
      <c r="R85" s="148"/>
      <c r="S85" s="147"/>
    </row>
    <row r="86" spans="2:19">
      <c r="B86" s="155">
        <v>7</v>
      </c>
      <c r="C86" s="993"/>
      <c r="D86" s="159"/>
      <c r="E86" s="162"/>
      <c r="F86" s="153"/>
      <c r="G86" s="153"/>
      <c r="H86" s="160"/>
      <c r="I86" s="158"/>
      <c r="J86" s="157">
        <v>0.375</v>
      </c>
      <c r="K86" s="156">
        <f>SUM(D83:I88)</f>
        <v>1.18</v>
      </c>
      <c r="L86" s="156">
        <v>7</v>
      </c>
      <c r="M86" s="156">
        <v>1</v>
      </c>
      <c r="N86" s="156" t="str">
        <f>IF(J86=1/4,L86*K86*M86,"-")</f>
        <v>-</v>
      </c>
      <c r="O86" s="156">
        <f>IF(J86=3/8,K86*L86*M86,"-")</f>
        <v>8.26</v>
      </c>
      <c r="P86" s="156" t="str">
        <f>IF(J86=1/2,L86*K86*M86,"-")</f>
        <v>-</v>
      </c>
      <c r="Q86" s="156" t="str">
        <f>IF(J86=5/8,L86*K86*M86,"-")</f>
        <v>-</v>
      </c>
      <c r="R86" s="156" t="str">
        <f>IF(J86=3/4,K86*L86,"-")</f>
        <v>-</v>
      </c>
      <c r="S86" s="147"/>
    </row>
    <row r="87" spans="2:19">
      <c r="B87" s="155"/>
      <c r="C87" s="994"/>
      <c r="D87" s="154"/>
      <c r="E87" s="153"/>
      <c r="F87" s="152"/>
      <c r="G87" s="151"/>
      <c r="H87" s="150"/>
      <c r="I87" s="150"/>
      <c r="J87" s="148"/>
      <c r="K87" s="149"/>
      <c r="L87" s="148"/>
      <c r="M87" s="149"/>
      <c r="N87" s="148"/>
      <c r="O87" s="149"/>
      <c r="P87" s="148"/>
      <c r="Q87" s="149"/>
      <c r="R87" s="148"/>
      <c r="S87" s="147"/>
    </row>
    <row r="88" spans="2:19">
      <c r="B88" s="146"/>
      <c r="C88" s="995"/>
      <c r="D88" s="145"/>
      <c r="E88" s="144"/>
      <c r="F88" s="143"/>
      <c r="G88" s="143"/>
      <c r="H88" s="142"/>
      <c r="I88" s="141"/>
      <c r="J88" s="140"/>
      <c r="K88" s="140"/>
      <c r="L88" s="140"/>
      <c r="M88" s="140"/>
      <c r="N88" s="140"/>
      <c r="O88" s="140"/>
      <c r="P88" s="140"/>
      <c r="Q88" s="140"/>
      <c r="R88" s="140"/>
      <c r="S88" s="139"/>
    </row>
    <row r="89" spans="2:19">
      <c r="B89" s="155"/>
      <c r="C89" s="993" t="s">
        <v>291</v>
      </c>
      <c r="D89" s="159"/>
      <c r="E89" s="160"/>
      <c r="F89" s="987"/>
      <c r="G89" s="987"/>
      <c r="H89" s="160"/>
      <c r="I89" s="158"/>
      <c r="J89" s="148"/>
      <c r="K89" s="148"/>
      <c r="L89" s="148"/>
      <c r="M89" s="148"/>
      <c r="N89" s="148"/>
      <c r="O89" s="148"/>
      <c r="P89" s="148"/>
      <c r="Q89" s="148"/>
      <c r="R89" s="148"/>
      <c r="S89" s="147"/>
    </row>
    <row r="90" spans="2:19">
      <c r="B90" s="155"/>
      <c r="C90" s="993"/>
      <c r="D90" s="159"/>
      <c r="E90" s="160"/>
      <c r="F90" s="987">
        <v>1.1100000000000001</v>
      </c>
      <c r="G90" s="987"/>
      <c r="H90" s="160"/>
      <c r="I90" s="158"/>
      <c r="J90" s="148"/>
      <c r="K90" s="148"/>
      <c r="L90" s="148"/>
      <c r="M90" s="148"/>
      <c r="N90" s="148"/>
      <c r="O90" s="148"/>
      <c r="P90" s="148"/>
      <c r="Q90" s="148"/>
      <c r="R90" s="148"/>
      <c r="S90" s="147"/>
    </row>
    <row r="91" spans="2:19">
      <c r="B91" s="155"/>
      <c r="C91" s="993"/>
      <c r="D91" s="159"/>
      <c r="E91" s="160"/>
      <c r="F91" s="152"/>
      <c r="G91" s="152"/>
      <c r="H91" s="160"/>
      <c r="I91" s="158"/>
      <c r="J91" s="148"/>
      <c r="K91" s="148"/>
      <c r="L91" s="148"/>
      <c r="M91" s="148"/>
      <c r="N91" s="148"/>
      <c r="O91" s="148"/>
      <c r="P91" s="148"/>
      <c r="Q91" s="148"/>
      <c r="R91" s="148"/>
      <c r="S91" s="147"/>
    </row>
    <row r="92" spans="2:19">
      <c r="B92" s="155">
        <v>8</v>
      </c>
      <c r="C92" s="993"/>
      <c r="D92" s="159"/>
      <c r="E92" s="162">
        <v>0.15</v>
      </c>
      <c r="F92" s="153"/>
      <c r="G92" s="153"/>
      <c r="H92" s="160">
        <v>0.15</v>
      </c>
      <c r="I92" s="158"/>
      <c r="J92" s="157">
        <v>0.375</v>
      </c>
      <c r="K92" s="156">
        <f>SUM(D89:I94)</f>
        <v>1.41</v>
      </c>
      <c r="L92" s="156">
        <v>7</v>
      </c>
      <c r="M92" s="156">
        <v>1</v>
      </c>
      <c r="N92" s="156" t="str">
        <f>IF(J92=1/4,L92*K92*M92,"-")</f>
        <v>-</v>
      </c>
      <c r="O92" s="156">
        <f>IF(J92=3/8,K92*L92*M92,"-")</f>
        <v>9.8699999999999992</v>
      </c>
      <c r="P92" s="156" t="str">
        <f>IF(J92=1/2,L92*K92*M92,"-")</f>
        <v>-</v>
      </c>
      <c r="Q92" s="156" t="str">
        <f>IF(J92=5/8,L92*K92*M92,"-")</f>
        <v>-</v>
      </c>
      <c r="R92" s="156" t="str">
        <f>IF(J92=3/4,K92*L92,"-")</f>
        <v>-</v>
      </c>
      <c r="S92" s="147"/>
    </row>
    <row r="93" spans="2:19">
      <c r="B93" s="155"/>
      <c r="C93" s="994"/>
      <c r="D93" s="154"/>
      <c r="E93" s="153"/>
      <c r="F93" s="152"/>
      <c r="G93" s="151"/>
      <c r="H93" s="150"/>
      <c r="I93" s="150"/>
      <c r="J93" s="148"/>
      <c r="K93" s="149"/>
      <c r="L93" s="148"/>
      <c r="M93" s="149"/>
      <c r="N93" s="148"/>
      <c r="O93" s="149"/>
      <c r="P93" s="148"/>
      <c r="Q93" s="149"/>
      <c r="R93" s="148"/>
      <c r="S93" s="147"/>
    </row>
    <row r="94" spans="2:19">
      <c r="B94" s="146"/>
      <c r="C94" s="995"/>
      <c r="D94" s="145"/>
      <c r="E94" s="144"/>
      <c r="F94" s="143"/>
      <c r="G94" s="143"/>
      <c r="H94" s="142"/>
      <c r="I94" s="141"/>
      <c r="J94" s="140"/>
      <c r="K94" s="140"/>
      <c r="L94" s="140"/>
      <c r="M94" s="140"/>
      <c r="N94" s="140"/>
      <c r="O94" s="140"/>
      <c r="P94" s="140"/>
      <c r="Q94" s="140"/>
      <c r="R94" s="140"/>
      <c r="S94" s="139"/>
    </row>
    <row r="95" spans="2:19">
      <c r="B95" s="155"/>
      <c r="C95" s="993" t="s">
        <v>290</v>
      </c>
      <c r="D95" s="159"/>
      <c r="E95" s="160"/>
      <c r="F95" s="987">
        <v>0.15</v>
      </c>
      <c r="G95" s="987"/>
      <c r="H95" s="160"/>
      <c r="I95" s="158"/>
      <c r="J95" s="148"/>
      <c r="K95" s="148"/>
      <c r="L95" s="148"/>
      <c r="M95" s="148"/>
      <c r="N95" s="148"/>
      <c r="O95" s="148"/>
      <c r="P95" s="148"/>
      <c r="Q95" s="148"/>
      <c r="R95" s="148"/>
      <c r="S95" s="147"/>
    </row>
    <row r="96" spans="2:19">
      <c r="B96" s="155"/>
      <c r="C96" s="993"/>
      <c r="D96" s="159"/>
      <c r="E96" s="160"/>
      <c r="F96" s="987"/>
      <c r="G96" s="987"/>
      <c r="H96" s="160"/>
      <c r="I96" s="158"/>
      <c r="J96" s="148"/>
      <c r="K96" s="148"/>
      <c r="L96" s="148"/>
      <c r="M96" s="148"/>
      <c r="N96" s="148"/>
      <c r="O96" s="148"/>
      <c r="P96" s="148"/>
      <c r="Q96" s="148"/>
      <c r="R96" s="148"/>
      <c r="S96" s="147"/>
    </row>
    <row r="97" spans="2:19">
      <c r="B97" s="155"/>
      <c r="C97" s="993"/>
      <c r="D97" s="159"/>
      <c r="E97" s="160"/>
      <c r="F97" s="152"/>
      <c r="G97" s="152"/>
      <c r="H97" s="160"/>
      <c r="I97" s="158"/>
      <c r="J97" s="148"/>
      <c r="K97" s="148"/>
      <c r="L97" s="148"/>
      <c r="M97" s="148"/>
      <c r="N97" s="148"/>
      <c r="O97" s="148"/>
      <c r="P97" s="148"/>
      <c r="Q97" s="148"/>
      <c r="R97" s="148"/>
      <c r="S97" s="147"/>
    </row>
    <row r="98" spans="2:19">
      <c r="B98" s="155">
        <v>9</v>
      </c>
      <c r="C98" s="993"/>
      <c r="D98" s="159"/>
      <c r="E98" s="162"/>
      <c r="F98" s="153">
        <v>1.03</v>
      </c>
      <c r="G98" s="153"/>
      <c r="H98" s="160"/>
      <c r="I98" s="158"/>
      <c r="J98" s="157">
        <v>0.375</v>
      </c>
      <c r="K98" s="156">
        <f>SUM(D95:I100)</f>
        <v>1.18</v>
      </c>
      <c r="L98" s="156">
        <v>6</v>
      </c>
      <c r="M98" s="156">
        <v>1</v>
      </c>
      <c r="N98" s="156" t="str">
        <f>IF(J98=1/4,L98*K98*M98,"-")</f>
        <v>-</v>
      </c>
      <c r="O98" s="156">
        <f>IF(J98=3/8,K98*L98*M98,"-")</f>
        <v>7.08</v>
      </c>
      <c r="P98" s="156" t="str">
        <f>IF(J98=1/2,L98*K98*M98,"-")</f>
        <v>-</v>
      </c>
      <c r="Q98" s="156" t="str">
        <f>IF(J98=5/8,L98*K98*M98,"-")</f>
        <v>-</v>
      </c>
      <c r="R98" s="156" t="str">
        <f>IF(J98=3/4,K98*L98,"-")</f>
        <v>-</v>
      </c>
      <c r="S98" s="147"/>
    </row>
    <row r="99" spans="2:19">
      <c r="B99" s="155"/>
      <c r="C99" s="994"/>
      <c r="D99" s="154"/>
      <c r="E99" s="153"/>
      <c r="F99" s="152"/>
      <c r="G99" s="151"/>
      <c r="H99" s="150"/>
      <c r="I99" s="150"/>
      <c r="J99" s="148"/>
      <c r="K99" s="149"/>
      <c r="L99" s="148"/>
      <c r="M99" s="149"/>
      <c r="N99" s="148"/>
      <c r="O99" s="149"/>
      <c r="P99" s="148"/>
      <c r="Q99" s="149"/>
      <c r="R99" s="148"/>
      <c r="S99" s="147"/>
    </row>
    <row r="100" spans="2:19">
      <c r="B100" s="146"/>
      <c r="C100" s="995"/>
      <c r="D100" s="145"/>
      <c r="E100" s="144"/>
      <c r="F100" s="143"/>
      <c r="G100" s="143"/>
      <c r="H100" s="142"/>
      <c r="I100" s="141"/>
      <c r="J100" s="140"/>
      <c r="K100" s="140"/>
      <c r="L100" s="140"/>
      <c r="M100" s="140"/>
      <c r="N100" s="140"/>
      <c r="O100" s="140"/>
      <c r="P100" s="140"/>
      <c r="Q100" s="140"/>
      <c r="R100" s="140"/>
      <c r="S100" s="139"/>
    </row>
    <row r="101" spans="2:19">
      <c r="B101" s="155"/>
      <c r="C101" s="993" t="s">
        <v>288</v>
      </c>
      <c r="D101" s="159"/>
      <c r="E101" s="160"/>
      <c r="F101" s="987"/>
      <c r="G101" s="987"/>
      <c r="H101" s="160"/>
      <c r="I101" s="15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7"/>
    </row>
    <row r="102" spans="2:19">
      <c r="B102" s="155"/>
      <c r="C102" s="993"/>
      <c r="D102" s="159"/>
      <c r="E102" s="160"/>
      <c r="F102" s="987">
        <v>1.1100000000000001</v>
      </c>
      <c r="G102" s="987"/>
      <c r="H102" s="160"/>
      <c r="I102" s="15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7"/>
    </row>
    <row r="103" spans="2:19">
      <c r="B103" s="155"/>
      <c r="C103" s="993"/>
      <c r="D103" s="159"/>
      <c r="E103" s="160"/>
      <c r="F103" s="152"/>
      <c r="G103" s="152"/>
      <c r="H103" s="160"/>
      <c r="I103" s="15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7"/>
    </row>
    <row r="104" spans="2:19">
      <c r="B104" s="155">
        <v>10</v>
      </c>
      <c r="C104" s="993"/>
      <c r="D104" s="159"/>
      <c r="E104" s="162">
        <v>0.15</v>
      </c>
      <c r="F104" s="153"/>
      <c r="G104" s="153"/>
      <c r="H104" s="160">
        <v>0.15</v>
      </c>
      <c r="I104" s="158"/>
      <c r="J104" s="157">
        <v>0.375</v>
      </c>
      <c r="K104" s="156">
        <f>SUM(D101:I106)</f>
        <v>1.41</v>
      </c>
      <c r="L104" s="156">
        <v>6</v>
      </c>
      <c r="M104" s="156">
        <v>1</v>
      </c>
      <c r="N104" s="156" t="str">
        <f>IF(J104=1/4,L104*K104*M104,"-")</f>
        <v>-</v>
      </c>
      <c r="O104" s="156">
        <f>IF(J104=3/8,K104*L104*M104,"-")</f>
        <v>8.4599999999999991</v>
      </c>
      <c r="P104" s="156" t="str">
        <f>IF(J104=1/2,L104*K104*M104,"-")</f>
        <v>-</v>
      </c>
      <c r="Q104" s="156" t="str">
        <f>IF(J104=5/8,L104*K104*M104,"-")</f>
        <v>-</v>
      </c>
      <c r="R104" s="156" t="str">
        <f>IF(J104=3/4,K104*L104,"-")</f>
        <v>-</v>
      </c>
      <c r="S104" s="147"/>
    </row>
    <row r="105" spans="2:19">
      <c r="B105" s="155"/>
      <c r="C105" s="994"/>
      <c r="D105" s="154"/>
      <c r="E105" s="153"/>
      <c r="F105" s="152"/>
      <c r="G105" s="151"/>
      <c r="H105" s="150"/>
      <c r="I105" s="150"/>
      <c r="J105" s="148"/>
      <c r="K105" s="149"/>
      <c r="L105" s="148"/>
      <c r="M105" s="149"/>
      <c r="N105" s="148"/>
      <c r="O105" s="149"/>
      <c r="P105" s="148"/>
      <c r="Q105" s="149"/>
      <c r="R105" s="148"/>
      <c r="S105" s="147"/>
    </row>
    <row r="106" spans="2:19">
      <c r="B106" s="146"/>
      <c r="C106" s="995"/>
      <c r="D106" s="145"/>
      <c r="E106" s="144"/>
      <c r="F106" s="143"/>
      <c r="G106" s="143"/>
      <c r="H106" s="142"/>
      <c r="I106" s="141"/>
      <c r="J106" s="140"/>
      <c r="K106" s="140"/>
      <c r="L106" s="140"/>
      <c r="M106" s="140"/>
      <c r="N106" s="140"/>
      <c r="O106" s="140"/>
      <c r="P106" s="140"/>
      <c r="Q106" s="140"/>
      <c r="R106" s="140"/>
      <c r="S106" s="139"/>
    </row>
    <row r="107" spans="2:19">
      <c r="B107" s="155"/>
      <c r="C107" s="993" t="s">
        <v>289</v>
      </c>
      <c r="D107" s="159"/>
      <c r="E107" s="160"/>
      <c r="F107" s="987">
        <v>0.15</v>
      </c>
      <c r="G107" s="987"/>
      <c r="H107" s="160"/>
      <c r="I107" s="15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7"/>
    </row>
    <row r="108" spans="2:19">
      <c r="B108" s="155"/>
      <c r="C108" s="993"/>
      <c r="D108" s="159"/>
      <c r="E108" s="160"/>
      <c r="F108" s="987"/>
      <c r="G108" s="987"/>
      <c r="H108" s="160"/>
      <c r="I108" s="15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7"/>
    </row>
    <row r="109" spans="2:19">
      <c r="B109" s="155"/>
      <c r="C109" s="993"/>
      <c r="D109" s="159"/>
      <c r="E109" s="160"/>
      <c r="F109" s="152"/>
      <c r="G109" s="152"/>
      <c r="H109" s="160"/>
      <c r="I109" s="15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7"/>
    </row>
    <row r="110" spans="2:19">
      <c r="B110" s="155">
        <v>11</v>
      </c>
      <c r="C110" s="993"/>
      <c r="D110" s="159"/>
      <c r="E110" s="162"/>
      <c r="F110" s="153">
        <v>1.03</v>
      </c>
      <c r="G110" s="153"/>
      <c r="H110" s="160"/>
      <c r="I110" s="158"/>
      <c r="J110" s="157">
        <v>0.375</v>
      </c>
      <c r="K110" s="156">
        <f>SUM(D107:I112)</f>
        <v>1.18</v>
      </c>
      <c r="L110" s="156">
        <v>5</v>
      </c>
      <c r="M110" s="156">
        <v>2</v>
      </c>
      <c r="N110" s="156" t="str">
        <f>IF(J110=1/4,L110*K110*M110,"-")</f>
        <v>-</v>
      </c>
      <c r="O110" s="156">
        <f>IF(J110=3/8,K110*L110*M110,"-")</f>
        <v>11.799999999999999</v>
      </c>
      <c r="P110" s="156" t="str">
        <f>IF(J110=1/2,L110*K110*M110,"-")</f>
        <v>-</v>
      </c>
      <c r="Q110" s="156" t="str">
        <f>IF(J110=5/8,L110*K110*M110,"-")</f>
        <v>-</v>
      </c>
      <c r="R110" s="156" t="str">
        <f>IF(J110=3/4,K110*L110,"-")</f>
        <v>-</v>
      </c>
      <c r="S110" s="147"/>
    </row>
    <row r="111" spans="2:19">
      <c r="B111" s="155"/>
      <c r="C111" s="994"/>
      <c r="D111" s="154"/>
      <c r="E111" s="153"/>
      <c r="F111" s="152"/>
      <c r="G111" s="151"/>
      <c r="H111" s="150"/>
      <c r="I111" s="150"/>
      <c r="J111" s="148"/>
      <c r="K111" s="149"/>
      <c r="L111" s="148"/>
      <c r="M111" s="149"/>
      <c r="N111" s="148"/>
      <c r="O111" s="149"/>
      <c r="P111" s="148"/>
      <c r="Q111" s="149"/>
      <c r="R111" s="148"/>
      <c r="S111" s="147"/>
    </row>
    <row r="112" spans="2:19">
      <c r="B112" s="146"/>
      <c r="C112" s="995"/>
      <c r="D112" s="145"/>
      <c r="E112" s="144"/>
      <c r="F112" s="143"/>
      <c r="G112" s="143"/>
      <c r="H112" s="142"/>
      <c r="I112" s="141"/>
      <c r="J112" s="140"/>
      <c r="K112" s="140"/>
      <c r="L112" s="140"/>
      <c r="M112" s="140"/>
      <c r="N112" s="140"/>
      <c r="O112" s="140"/>
      <c r="P112" s="140"/>
      <c r="Q112" s="140"/>
      <c r="R112" s="140"/>
      <c r="S112" s="139"/>
    </row>
    <row r="113" spans="2:19">
      <c r="B113" s="155"/>
      <c r="C113" s="993" t="s">
        <v>288</v>
      </c>
      <c r="D113" s="159"/>
      <c r="E113" s="160"/>
      <c r="F113" s="987"/>
      <c r="G113" s="987"/>
      <c r="H113" s="160"/>
      <c r="I113" s="15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7"/>
    </row>
    <row r="114" spans="2:19">
      <c r="B114" s="155"/>
      <c r="C114" s="993"/>
      <c r="D114" s="159"/>
      <c r="E114" s="160"/>
      <c r="F114" s="987">
        <v>1.1100000000000001</v>
      </c>
      <c r="G114" s="987"/>
      <c r="H114" s="160"/>
      <c r="I114" s="15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7"/>
    </row>
    <row r="115" spans="2:19">
      <c r="B115" s="155"/>
      <c r="C115" s="993"/>
      <c r="D115" s="159"/>
      <c r="E115" s="160"/>
      <c r="F115" s="152"/>
      <c r="G115" s="152"/>
      <c r="H115" s="160"/>
      <c r="I115" s="15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7"/>
    </row>
    <row r="116" spans="2:19">
      <c r="B116" s="155">
        <v>12</v>
      </c>
      <c r="C116" s="993"/>
      <c r="D116" s="159"/>
      <c r="E116" s="162">
        <v>0.15</v>
      </c>
      <c r="F116" s="153"/>
      <c r="G116" s="153"/>
      <c r="H116" s="160">
        <v>0.15</v>
      </c>
      <c r="I116" s="158"/>
      <c r="J116" s="157">
        <v>0.375</v>
      </c>
      <c r="K116" s="156">
        <f>SUM(D113:I118)</f>
        <v>1.41</v>
      </c>
      <c r="L116" s="156">
        <v>5</v>
      </c>
      <c r="M116" s="156">
        <v>2</v>
      </c>
      <c r="N116" s="156" t="str">
        <f>IF(J116=1/4,L116*K116*M116,"-")</f>
        <v>-</v>
      </c>
      <c r="O116" s="156">
        <f>IF(J116=3/8,K116*L116*M116,"-")</f>
        <v>14.1</v>
      </c>
      <c r="P116" s="156" t="str">
        <f>IF(J116=1/2,L116*K116*M116,"-")</f>
        <v>-</v>
      </c>
      <c r="Q116" s="156" t="str">
        <f>IF(J116=5/8,L116*K116*M116,"-")</f>
        <v>-</v>
      </c>
      <c r="R116" s="156" t="str">
        <f>IF(J116=3/4,K116*L116,"-")</f>
        <v>-</v>
      </c>
      <c r="S116" s="147"/>
    </row>
    <row r="117" spans="2:19">
      <c r="B117" s="155"/>
      <c r="C117" s="994"/>
      <c r="D117" s="154"/>
      <c r="E117" s="153"/>
      <c r="F117" s="152"/>
      <c r="G117" s="151"/>
      <c r="H117" s="150"/>
      <c r="I117" s="150"/>
      <c r="J117" s="148"/>
      <c r="K117" s="149"/>
      <c r="L117" s="148"/>
      <c r="M117" s="149"/>
      <c r="N117" s="148"/>
      <c r="O117" s="149"/>
      <c r="P117" s="148"/>
      <c r="Q117" s="149"/>
      <c r="R117" s="148"/>
      <c r="S117" s="147"/>
    </row>
    <row r="118" spans="2:19">
      <c r="B118" s="146"/>
      <c r="C118" s="995"/>
      <c r="D118" s="145"/>
      <c r="E118" s="144"/>
      <c r="F118" s="143"/>
      <c r="G118" s="143"/>
      <c r="H118" s="142"/>
      <c r="I118" s="141"/>
      <c r="J118" s="140"/>
      <c r="K118" s="140"/>
      <c r="L118" s="140"/>
      <c r="M118" s="140"/>
      <c r="N118" s="140"/>
      <c r="O118" s="140"/>
      <c r="P118" s="140"/>
      <c r="Q118" s="140"/>
      <c r="R118" s="140"/>
      <c r="S118" s="139"/>
    </row>
    <row r="119" spans="2:19">
      <c r="B119" s="155"/>
      <c r="C119" s="993" t="s">
        <v>287</v>
      </c>
      <c r="D119" s="159"/>
      <c r="E119" s="160"/>
      <c r="F119" s="987"/>
      <c r="G119" s="987"/>
      <c r="H119" s="160"/>
      <c r="I119" s="15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7"/>
    </row>
    <row r="120" spans="2:19">
      <c r="B120" s="155"/>
      <c r="C120" s="993"/>
      <c r="D120" s="159"/>
      <c r="E120" s="162">
        <v>0.15</v>
      </c>
      <c r="F120" s="987">
        <v>1.18</v>
      </c>
      <c r="G120" s="987"/>
      <c r="H120" s="160"/>
      <c r="I120" s="15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7"/>
    </row>
    <row r="121" spans="2:19">
      <c r="B121" s="155"/>
      <c r="C121" s="993"/>
      <c r="D121" s="159"/>
      <c r="E121" s="160"/>
      <c r="F121" s="152"/>
      <c r="G121" s="152"/>
      <c r="H121" s="160"/>
      <c r="I121" s="15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7"/>
    </row>
    <row r="122" spans="2:19">
      <c r="B122" s="155">
        <v>13</v>
      </c>
      <c r="C122" s="993"/>
      <c r="D122" s="159"/>
      <c r="E122" s="162"/>
      <c r="F122" s="153"/>
      <c r="G122" s="153"/>
      <c r="H122" s="160">
        <v>0.15</v>
      </c>
      <c r="I122" s="158"/>
      <c r="J122" s="157">
        <v>0.375</v>
      </c>
      <c r="K122" s="156">
        <f>SUM(D119:I124)</f>
        <v>1.4799999999999998</v>
      </c>
      <c r="L122" s="156">
        <v>7</v>
      </c>
      <c r="M122" s="156">
        <v>1</v>
      </c>
      <c r="N122" s="156" t="str">
        <f>IF(J122=1/4,L122*K122*M122,"-")</f>
        <v>-</v>
      </c>
      <c r="O122" s="156">
        <f>IF(J122=3/8,K122*L122*M122,"-")</f>
        <v>10.359999999999998</v>
      </c>
      <c r="P122" s="156" t="str">
        <f>IF(J122=1/2,L122*K122*M122,"-")</f>
        <v>-</v>
      </c>
      <c r="Q122" s="156" t="str">
        <f>IF(J122=5/8,L122*K122*M122,"-")</f>
        <v>-</v>
      </c>
      <c r="R122" s="156" t="str">
        <f>IF(J122=3/4,K122*L122,"-")</f>
        <v>-</v>
      </c>
      <c r="S122" s="147"/>
    </row>
    <row r="123" spans="2:19">
      <c r="B123" s="155"/>
      <c r="C123" s="994"/>
      <c r="D123" s="154"/>
      <c r="E123" s="153"/>
      <c r="F123" s="152"/>
      <c r="G123" s="151"/>
      <c r="H123" s="150"/>
      <c r="I123" s="150"/>
      <c r="J123" s="148"/>
      <c r="K123" s="149"/>
      <c r="L123" s="148"/>
      <c r="M123" s="149"/>
      <c r="N123" s="148"/>
      <c r="O123" s="149"/>
      <c r="P123" s="148"/>
      <c r="Q123" s="149"/>
      <c r="R123" s="148"/>
      <c r="S123" s="147"/>
    </row>
    <row r="124" spans="2:19">
      <c r="B124" s="146"/>
      <c r="C124" s="995"/>
      <c r="D124" s="145"/>
      <c r="E124" s="144"/>
      <c r="F124" s="143"/>
      <c r="G124" s="143"/>
      <c r="H124" s="142"/>
      <c r="I124" s="141"/>
      <c r="J124" s="140"/>
      <c r="K124" s="140"/>
      <c r="L124" s="140"/>
      <c r="M124" s="140"/>
      <c r="N124" s="140"/>
      <c r="O124" s="140"/>
      <c r="P124" s="140"/>
      <c r="Q124" s="140"/>
      <c r="R124" s="140"/>
      <c r="S124" s="139"/>
    </row>
    <row r="125" spans="2:19">
      <c r="B125" s="155"/>
      <c r="C125" s="993" t="s">
        <v>286</v>
      </c>
      <c r="D125" s="159"/>
      <c r="E125" s="160"/>
      <c r="F125" s="987"/>
      <c r="G125" s="987"/>
      <c r="H125" s="160"/>
      <c r="I125" s="15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7"/>
    </row>
    <row r="126" spans="2:19">
      <c r="B126" s="155"/>
      <c r="C126" s="993"/>
      <c r="D126" s="159"/>
      <c r="E126" s="162"/>
      <c r="F126" s="987">
        <v>1.18</v>
      </c>
      <c r="G126" s="987"/>
      <c r="H126" s="160"/>
      <c r="I126" s="15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7"/>
    </row>
    <row r="127" spans="2:19">
      <c r="B127" s="155"/>
      <c r="C127" s="993"/>
      <c r="D127" s="159"/>
      <c r="E127" s="160"/>
      <c r="F127" s="152"/>
      <c r="G127" s="152"/>
      <c r="H127" s="160"/>
      <c r="I127" s="15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7"/>
    </row>
    <row r="128" spans="2:19">
      <c r="B128" s="155">
        <v>14</v>
      </c>
      <c r="C128" s="993"/>
      <c r="D128" s="159"/>
      <c r="E128" s="162">
        <v>0.15</v>
      </c>
      <c r="F128" s="153"/>
      <c r="G128" s="153"/>
      <c r="H128" s="160">
        <v>0.15</v>
      </c>
      <c r="I128" s="158"/>
      <c r="J128" s="157">
        <v>0.375</v>
      </c>
      <c r="K128" s="156">
        <f>SUM(D125:I130)</f>
        <v>1.4799999999999998</v>
      </c>
      <c r="L128" s="156">
        <v>7</v>
      </c>
      <c r="M128" s="156">
        <v>1</v>
      </c>
      <c r="N128" s="156" t="str">
        <f>IF(J128=1/4,L128*K128*M128,"-")</f>
        <v>-</v>
      </c>
      <c r="O128" s="156">
        <f>IF(J128=3/8,K128*L128*M128,"-")</f>
        <v>10.359999999999998</v>
      </c>
      <c r="P128" s="156" t="str">
        <f>IF(J128=1/2,L128*K128*M128,"-")</f>
        <v>-</v>
      </c>
      <c r="Q128" s="156" t="str">
        <f>IF(J128=5/8,L128*K128*M128,"-")</f>
        <v>-</v>
      </c>
      <c r="R128" s="156" t="str">
        <f>IF(J128=3/4,K128*L128,"-")</f>
        <v>-</v>
      </c>
      <c r="S128" s="147"/>
    </row>
    <row r="129" spans="2:19">
      <c r="B129" s="155"/>
      <c r="C129" s="994"/>
      <c r="D129" s="154"/>
      <c r="E129" s="153"/>
      <c r="F129" s="152"/>
      <c r="G129" s="151"/>
      <c r="H129" s="150"/>
      <c r="I129" s="150"/>
      <c r="J129" s="148"/>
      <c r="K129" s="149"/>
      <c r="L129" s="148"/>
      <c r="M129" s="149"/>
      <c r="N129" s="148"/>
      <c r="O129" s="149"/>
      <c r="P129" s="148"/>
      <c r="Q129" s="149"/>
      <c r="R129" s="148"/>
      <c r="S129" s="147"/>
    </row>
    <row r="130" spans="2:19">
      <c r="B130" s="146"/>
      <c r="C130" s="995"/>
      <c r="D130" s="145"/>
      <c r="E130" s="144"/>
      <c r="F130" s="143"/>
      <c r="G130" s="143"/>
      <c r="H130" s="142"/>
      <c r="I130" s="141"/>
      <c r="J130" s="140"/>
      <c r="K130" s="140"/>
      <c r="L130" s="140"/>
      <c r="M130" s="140"/>
      <c r="N130" s="140"/>
      <c r="O130" s="140"/>
      <c r="P130" s="140"/>
      <c r="Q130" s="140"/>
      <c r="R130" s="140"/>
      <c r="S130" s="139"/>
    </row>
    <row r="131" spans="2:19">
      <c r="B131" s="155"/>
      <c r="C131" s="993" t="s">
        <v>285</v>
      </c>
      <c r="D131" s="159"/>
      <c r="E131" s="160"/>
      <c r="F131" s="987"/>
      <c r="G131" s="987"/>
      <c r="H131" s="160"/>
      <c r="I131" s="15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7"/>
    </row>
    <row r="132" spans="2:19">
      <c r="B132" s="155"/>
      <c r="C132" s="993"/>
      <c r="D132" s="159"/>
      <c r="E132" s="162"/>
      <c r="F132" s="987">
        <v>1.1000000000000001</v>
      </c>
      <c r="G132" s="987"/>
      <c r="H132" s="160"/>
      <c r="I132" s="15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7"/>
    </row>
    <row r="133" spans="2:19">
      <c r="B133" s="155"/>
      <c r="C133" s="993"/>
      <c r="D133" s="159"/>
      <c r="E133" s="160"/>
      <c r="F133" s="152"/>
      <c r="G133" s="152"/>
      <c r="H133" s="160"/>
      <c r="I133" s="15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7"/>
    </row>
    <row r="134" spans="2:19">
      <c r="B134" s="155">
        <v>15</v>
      </c>
      <c r="C134" s="993"/>
      <c r="D134" s="159"/>
      <c r="E134" s="162">
        <v>0.15</v>
      </c>
      <c r="F134" s="153"/>
      <c r="G134" s="153"/>
      <c r="H134" s="160">
        <v>0.15</v>
      </c>
      <c r="I134" s="158"/>
      <c r="J134" s="157">
        <v>0.375</v>
      </c>
      <c r="K134" s="156">
        <f>SUM(D131:I136)</f>
        <v>1.4</v>
      </c>
      <c r="L134" s="156">
        <v>5</v>
      </c>
      <c r="M134" s="156">
        <v>1</v>
      </c>
      <c r="N134" s="156" t="str">
        <f>IF(J134=1/4,L134*K134*M134,"-")</f>
        <v>-</v>
      </c>
      <c r="O134" s="156">
        <f>IF(J134=3/8,K134*L134*M134,"-")</f>
        <v>7</v>
      </c>
      <c r="P134" s="156" t="str">
        <f>IF(J134=1/2,L134*K134*M134,"-")</f>
        <v>-</v>
      </c>
      <c r="Q134" s="156" t="str">
        <f>IF(J134=5/8,L134*K134*M134,"-")</f>
        <v>-</v>
      </c>
      <c r="R134" s="156" t="str">
        <f>IF(J134=3/4,K134*L134,"-")</f>
        <v>-</v>
      </c>
      <c r="S134" s="147"/>
    </row>
    <row r="135" spans="2:19">
      <c r="B135" s="155"/>
      <c r="C135" s="994"/>
      <c r="D135" s="154"/>
      <c r="E135" s="153"/>
      <c r="F135" s="152"/>
      <c r="G135" s="151"/>
      <c r="H135" s="150"/>
      <c r="I135" s="150"/>
      <c r="J135" s="148"/>
      <c r="K135" s="149"/>
      <c r="L135" s="148"/>
      <c r="M135" s="149"/>
      <c r="N135" s="148"/>
      <c r="O135" s="149"/>
      <c r="P135" s="148"/>
      <c r="Q135" s="149"/>
      <c r="R135" s="148"/>
      <c r="S135" s="147"/>
    </row>
    <row r="136" spans="2:19">
      <c r="B136" s="146"/>
      <c r="C136" s="995"/>
      <c r="D136" s="145"/>
      <c r="E136" s="144"/>
      <c r="F136" s="143"/>
      <c r="G136" s="143"/>
      <c r="H136" s="142"/>
      <c r="I136" s="141"/>
      <c r="J136" s="140"/>
      <c r="K136" s="140"/>
      <c r="L136" s="140"/>
      <c r="M136" s="140"/>
      <c r="N136" s="140"/>
      <c r="O136" s="140"/>
      <c r="P136" s="140"/>
      <c r="Q136" s="140"/>
      <c r="R136" s="140"/>
      <c r="S136" s="139"/>
    </row>
    <row r="137" spans="2:19">
      <c r="B137" s="155"/>
      <c r="C137" s="993" t="s">
        <v>284</v>
      </c>
      <c r="D137" s="159"/>
      <c r="E137" s="160"/>
      <c r="F137" s="987"/>
      <c r="G137" s="987"/>
      <c r="H137" s="160"/>
      <c r="I137" s="15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7"/>
    </row>
    <row r="138" spans="2:19">
      <c r="B138" s="155"/>
      <c r="C138" s="993"/>
      <c r="D138" s="159"/>
      <c r="E138" s="162"/>
      <c r="F138" s="987">
        <v>1.1000000000000001</v>
      </c>
      <c r="G138" s="987"/>
      <c r="H138" s="160"/>
      <c r="I138" s="15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7"/>
    </row>
    <row r="139" spans="2:19">
      <c r="B139" s="155"/>
      <c r="C139" s="993"/>
      <c r="D139" s="159"/>
      <c r="E139" s="160"/>
      <c r="F139" s="152"/>
      <c r="G139" s="152"/>
      <c r="H139" s="160"/>
      <c r="I139" s="15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7"/>
    </row>
    <row r="140" spans="2:19">
      <c r="B140" s="155">
        <v>16</v>
      </c>
      <c r="C140" s="993"/>
      <c r="D140" s="159"/>
      <c r="E140" s="162">
        <v>0.15</v>
      </c>
      <c r="F140" s="153"/>
      <c r="G140" s="153"/>
      <c r="H140" s="160">
        <v>0.15</v>
      </c>
      <c r="I140" s="158"/>
      <c r="J140" s="157">
        <v>0.375</v>
      </c>
      <c r="K140" s="156">
        <f>SUM(D137:I142)</f>
        <v>1.4</v>
      </c>
      <c r="L140" s="156">
        <v>5</v>
      </c>
      <c r="M140" s="156">
        <v>1</v>
      </c>
      <c r="N140" s="156" t="str">
        <f>IF(J140=1/4,L140*K140*M140,"-")</f>
        <v>-</v>
      </c>
      <c r="O140" s="156">
        <f>IF(J140=3/8,K140*L140*M140,"-")</f>
        <v>7</v>
      </c>
      <c r="P140" s="156" t="str">
        <f>IF(J140=1/2,L140*K140*M140,"-")</f>
        <v>-</v>
      </c>
      <c r="Q140" s="156" t="str">
        <f>IF(J140=5/8,L140*K140*M140,"-")</f>
        <v>-</v>
      </c>
      <c r="R140" s="156" t="str">
        <f>IF(J140=3/4,K140*L140,"-")</f>
        <v>-</v>
      </c>
      <c r="S140" s="147"/>
    </row>
    <row r="141" spans="2:19">
      <c r="B141" s="155"/>
      <c r="C141" s="994"/>
      <c r="D141" s="154"/>
      <c r="E141" s="153"/>
      <c r="F141" s="152"/>
      <c r="G141" s="151"/>
      <c r="H141" s="150"/>
      <c r="I141" s="150"/>
      <c r="J141" s="148"/>
      <c r="K141" s="149"/>
      <c r="L141" s="148"/>
      <c r="M141" s="149"/>
      <c r="N141" s="148"/>
      <c r="O141" s="149"/>
      <c r="P141" s="148"/>
      <c r="Q141" s="149"/>
      <c r="R141" s="148"/>
      <c r="S141" s="147"/>
    </row>
    <row r="142" spans="2:19">
      <c r="B142" s="146"/>
      <c r="C142" s="995"/>
      <c r="D142" s="145"/>
      <c r="E142" s="144"/>
      <c r="F142" s="143"/>
      <c r="G142" s="143"/>
      <c r="H142" s="142"/>
      <c r="I142" s="141"/>
      <c r="J142" s="140"/>
      <c r="K142" s="140"/>
      <c r="L142" s="140"/>
      <c r="M142" s="140"/>
      <c r="N142" s="140"/>
      <c r="O142" s="140"/>
      <c r="P142" s="140"/>
      <c r="Q142" s="140"/>
      <c r="R142" s="140"/>
      <c r="S142" s="139"/>
    </row>
    <row r="143" spans="2:19" ht="15.75" thickBot="1">
      <c r="B143" s="138"/>
      <c r="C143" s="137"/>
      <c r="D143" s="137"/>
      <c r="E143" s="137"/>
      <c r="F143" s="137"/>
      <c r="G143" s="137"/>
      <c r="H143" s="137"/>
      <c r="I143" s="137"/>
      <c r="J143" s="984" t="s">
        <v>263</v>
      </c>
      <c r="K143" s="985"/>
      <c r="L143" s="986"/>
      <c r="M143" s="136"/>
      <c r="N143" s="136">
        <f>SUM(N50:N70)</f>
        <v>0</v>
      </c>
      <c r="O143" s="136">
        <f>SUM(O50:O142)</f>
        <v>125.61999999999998</v>
      </c>
      <c r="P143" s="136">
        <f>SUM(P50:P70)</f>
        <v>0</v>
      </c>
      <c r="Q143" s="136">
        <f>SUM(Q50:Q70)</f>
        <v>0</v>
      </c>
      <c r="R143" s="136">
        <f>SUM(R50:R70)</f>
        <v>0</v>
      </c>
      <c r="S143" s="135"/>
    </row>
    <row r="144" spans="2:19">
      <c r="J144" s="963" t="s">
        <v>262</v>
      </c>
      <c r="K144" s="963"/>
      <c r="L144" s="963"/>
      <c r="M144" s="133"/>
      <c r="N144" s="132">
        <v>0.22</v>
      </c>
      <c r="O144" s="132">
        <v>0.56000000000000005</v>
      </c>
      <c r="P144" s="134">
        <v>0.99399999999999999</v>
      </c>
      <c r="Q144" s="134">
        <v>1.552</v>
      </c>
      <c r="R144" s="134">
        <v>2.2349999999999999</v>
      </c>
      <c r="S144" s="133"/>
    </row>
    <row r="145" spans="2:19">
      <c r="J145" s="964" t="s">
        <v>261</v>
      </c>
      <c r="K145" s="964"/>
      <c r="L145" s="964"/>
      <c r="M145" s="132"/>
      <c r="N145" s="132">
        <f>N143*N144</f>
        <v>0</v>
      </c>
      <c r="O145" s="132">
        <f>O143*O144</f>
        <v>70.347199999999987</v>
      </c>
      <c r="P145" s="132">
        <f>P143*P144</f>
        <v>0</v>
      </c>
      <c r="Q145" s="132">
        <f>Q143*Q144</f>
        <v>0</v>
      </c>
      <c r="R145" s="132">
        <f>R143*R144</f>
        <v>0</v>
      </c>
      <c r="S145" s="132"/>
    </row>
    <row r="146" spans="2:19">
      <c r="J146" s="965" t="s">
        <v>260</v>
      </c>
      <c r="K146" s="966"/>
      <c r="L146" s="967"/>
      <c r="M146" s="968">
        <v>1</v>
      </c>
      <c r="N146" s="969"/>
      <c r="O146" s="969"/>
      <c r="P146" s="969"/>
      <c r="Q146" s="969"/>
      <c r="R146" s="969"/>
      <c r="S146" s="970"/>
    </row>
    <row r="147" spans="2:19">
      <c r="J147" s="965" t="s">
        <v>259</v>
      </c>
      <c r="K147" s="966"/>
      <c r="L147" s="967"/>
      <c r="M147" s="971">
        <f>SUM(N145:S145)*M146</f>
        <v>70.347199999999987</v>
      </c>
      <c r="N147" s="972"/>
      <c r="O147" s="972"/>
      <c r="P147" s="972"/>
      <c r="Q147" s="972"/>
      <c r="R147" s="972"/>
      <c r="S147" s="973"/>
    </row>
    <row r="150" spans="2:19" ht="18">
      <c r="B150" s="1001" t="s">
        <v>283</v>
      </c>
      <c r="C150" s="1001"/>
      <c r="D150" s="1001"/>
      <c r="E150" s="1001"/>
      <c r="F150" s="1001"/>
      <c r="G150" s="1001"/>
      <c r="H150" s="1001"/>
      <c r="I150" s="1001"/>
      <c r="J150" s="1001"/>
      <c r="K150" s="1001"/>
      <c r="L150" s="1001"/>
      <c r="M150" s="1001"/>
      <c r="N150" s="1001"/>
      <c r="O150" s="1001"/>
      <c r="P150" s="1002"/>
      <c r="Q150" s="1002"/>
      <c r="R150" s="1002"/>
      <c r="S150" s="1002"/>
    </row>
    <row r="151" spans="2:19">
      <c r="B151" s="1003" t="s">
        <v>282</v>
      </c>
      <c r="C151" s="1004"/>
      <c r="D151" s="1004" t="s">
        <v>1086</v>
      </c>
      <c r="E151" s="1004"/>
      <c r="F151" s="1004"/>
      <c r="G151" s="1004"/>
      <c r="H151" s="1004"/>
      <c r="I151" s="1004"/>
      <c r="J151" s="1004"/>
      <c r="K151" s="1004"/>
      <c r="L151" s="1004"/>
      <c r="M151" s="1004"/>
      <c r="N151" s="1004"/>
      <c r="O151" s="1005"/>
      <c r="P151" s="1006" t="s">
        <v>281</v>
      </c>
      <c r="Q151" s="1007"/>
      <c r="R151" s="1007"/>
      <c r="S151" s="1008"/>
    </row>
    <row r="152" spans="2:19">
      <c r="B152" s="1004"/>
      <c r="C152" s="1004"/>
      <c r="D152" s="1004"/>
      <c r="E152" s="1004"/>
      <c r="F152" s="1004"/>
      <c r="G152" s="1004"/>
      <c r="H152" s="1004"/>
      <c r="I152" s="1004"/>
      <c r="J152" s="1004"/>
      <c r="K152" s="1004"/>
      <c r="L152" s="1004"/>
      <c r="M152" s="1004"/>
      <c r="N152" s="1004"/>
      <c r="O152" s="1005"/>
      <c r="P152" s="996" t="s">
        <v>280</v>
      </c>
      <c r="Q152" s="997"/>
      <c r="R152" s="997"/>
      <c r="S152" s="998"/>
    </row>
    <row r="153" spans="2:19">
      <c r="B153" s="1004"/>
      <c r="C153" s="1004"/>
      <c r="D153" s="1004"/>
      <c r="E153" s="1004"/>
      <c r="F153" s="1004"/>
      <c r="G153" s="1004"/>
      <c r="H153" s="1004"/>
      <c r="I153" s="1004"/>
      <c r="J153" s="1004"/>
      <c r="K153" s="1004"/>
      <c r="L153" s="1004"/>
      <c r="M153" s="1004"/>
      <c r="N153" s="1004"/>
      <c r="O153" s="1004"/>
      <c r="P153" s="999" t="s">
        <v>279</v>
      </c>
      <c r="Q153" s="999"/>
      <c r="R153" s="999"/>
      <c r="S153" s="999"/>
    </row>
    <row r="154" spans="2:19" ht="15.75" customHeight="1">
      <c r="B154" s="1004"/>
      <c r="C154" s="1004"/>
      <c r="D154" s="1004"/>
      <c r="E154" s="1004"/>
      <c r="F154" s="1004"/>
      <c r="G154" s="1004"/>
      <c r="H154" s="1004"/>
      <c r="I154" s="1004"/>
      <c r="J154" s="1004"/>
      <c r="K154" s="1004"/>
      <c r="L154" s="1004"/>
      <c r="M154" s="1004"/>
      <c r="N154" s="1004"/>
      <c r="O154" s="1004"/>
      <c r="P154" s="1000"/>
      <c r="Q154" s="1000"/>
      <c r="R154" s="1000"/>
      <c r="S154" s="1000"/>
    </row>
    <row r="155" spans="2:19">
      <c r="B155" s="974" t="s">
        <v>278</v>
      </c>
      <c r="C155" s="976" t="s">
        <v>2</v>
      </c>
      <c r="D155" s="976" t="s">
        <v>277</v>
      </c>
      <c r="E155" s="978"/>
      <c r="F155" s="978"/>
      <c r="G155" s="978"/>
      <c r="H155" s="978"/>
      <c r="I155" s="979"/>
      <c r="J155" s="982" t="s">
        <v>276</v>
      </c>
      <c r="K155" s="982" t="s">
        <v>275</v>
      </c>
      <c r="L155" s="982" t="s">
        <v>274</v>
      </c>
      <c r="M155" s="1009" t="s">
        <v>273</v>
      </c>
      <c r="N155" s="988" t="s">
        <v>272</v>
      </c>
      <c r="O155" s="989"/>
      <c r="P155" s="989"/>
      <c r="Q155" s="989"/>
      <c r="R155" s="990"/>
      <c r="S155" s="991" t="s">
        <v>271</v>
      </c>
    </row>
    <row r="156" spans="2:19" ht="15.75" thickBot="1">
      <c r="B156" s="975"/>
      <c r="C156" s="977"/>
      <c r="D156" s="977"/>
      <c r="E156" s="980"/>
      <c r="F156" s="980"/>
      <c r="G156" s="980"/>
      <c r="H156" s="980"/>
      <c r="I156" s="981"/>
      <c r="J156" s="983"/>
      <c r="K156" s="983"/>
      <c r="L156" s="983" t="s">
        <v>270</v>
      </c>
      <c r="M156" s="1010" t="s">
        <v>270</v>
      </c>
      <c r="N156" s="164">
        <v>0.25</v>
      </c>
      <c r="O156" s="163">
        <v>0.375</v>
      </c>
      <c r="P156" s="163">
        <v>0.5</v>
      </c>
      <c r="Q156" s="163">
        <v>0.625</v>
      </c>
      <c r="R156" s="163">
        <v>0.75</v>
      </c>
      <c r="S156" s="992"/>
    </row>
    <row r="157" spans="2:19">
      <c r="B157" s="155"/>
      <c r="C157" s="993" t="s">
        <v>269</v>
      </c>
      <c r="D157" s="159"/>
      <c r="E157" s="160"/>
      <c r="F157" s="987"/>
      <c r="G157" s="987"/>
      <c r="H157" s="160"/>
      <c r="I157" s="15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7"/>
    </row>
    <row r="158" spans="2:19">
      <c r="B158" s="155"/>
      <c r="C158" s="993"/>
      <c r="D158" s="159"/>
      <c r="E158" s="160"/>
      <c r="F158" s="153"/>
      <c r="G158" s="153"/>
      <c r="H158" s="160"/>
      <c r="I158" s="15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7"/>
    </row>
    <row r="159" spans="2:19">
      <c r="B159" s="155"/>
      <c r="C159" s="993"/>
      <c r="D159" s="159"/>
      <c r="E159" s="160"/>
      <c r="F159" s="153"/>
      <c r="G159" s="153"/>
      <c r="H159" s="160"/>
      <c r="I159" s="15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7"/>
    </row>
    <row r="160" spans="2:19">
      <c r="B160" s="155">
        <v>1</v>
      </c>
      <c r="C160" s="993"/>
      <c r="D160" s="159"/>
      <c r="E160" s="162">
        <v>0.15</v>
      </c>
      <c r="F160" s="153"/>
      <c r="G160" s="153"/>
      <c r="H160" s="160">
        <v>0.15</v>
      </c>
      <c r="I160" s="158"/>
      <c r="J160" s="157">
        <v>0.375</v>
      </c>
      <c r="K160" s="156">
        <f>SUM(D157:I162)</f>
        <v>1.1299999999999999</v>
      </c>
      <c r="L160" s="156">
        <v>5</v>
      </c>
      <c r="M160" s="156">
        <v>1</v>
      </c>
      <c r="N160" s="156" t="str">
        <f>IF(J160=1/4,L160*K160*M160,"-")</f>
        <v>-</v>
      </c>
      <c r="O160" s="156">
        <f>IF(J160=3/8,K160*L160*M160,"-")</f>
        <v>5.6499999999999995</v>
      </c>
      <c r="P160" s="156" t="str">
        <f>IF(J160=1/2,L160*K160*M160,"-")</f>
        <v>-</v>
      </c>
      <c r="Q160" s="156" t="str">
        <f>IF(J160=5/8,L160*K160*M160,"-")</f>
        <v>-</v>
      </c>
      <c r="R160" s="156" t="str">
        <f>IF(J160=3/4,K160*L160,"-")</f>
        <v>-</v>
      </c>
      <c r="S160" s="147"/>
    </row>
    <row r="161" spans="2:19">
      <c r="B161" s="155"/>
      <c r="C161" s="994"/>
      <c r="D161" s="154"/>
      <c r="E161" s="151"/>
      <c r="F161" s="152"/>
      <c r="G161" s="151"/>
      <c r="H161" s="150"/>
      <c r="I161" s="150"/>
      <c r="J161" s="148"/>
      <c r="K161" s="149"/>
      <c r="L161" s="148"/>
      <c r="M161" s="149"/>
      <c r="N161" s="148"/>
      <c r="O161" s="149"/>
      <c r="P161" s="148"/>
      <c r="Q161" s="149"/>
      <c r="R161" s="148"/>
      <c r="S161" s="147"/>
    </row>
    <row r="162" spans="2:19">
      <c r="B162" s="146"/>
      <c r="C162" s="995"/>
      <c r="D162" s="145"/>
      <c r="E162" s="144"/>
      <c r="F162" s="1011">
        <v>0.83</v>
      </c>
      <c r="G162" s="1011"/>
      <c r="H162" s="142"/>
      <c r="I162" s="141"/>
      <c r="J162" s="140"/>
      <c r="K162" s="140"/>
      <c r="L162" s="140"/>
      <c r="M162" s="140"/>
      <c r="N162" s="140"/>
      <c r="O162" s="140"/>
      <c r="P162" s="140"/>
      <c r="Q162" s="140"/>
      <c r="R162" s="140"/>
      <c r="S162" s="139"/>
    </row>
    <row r="163" spans="2:19" ht="15" customHeight="1">
      <c r="B163" s="155"/>
      <c r="C163" s="993" t="s">
        <v>268</v>
      </c>
      <c r="D163" s="159"/>
      <c r="E163" s="160"/>
      <c r="F163" s="1012"/>
      <c r="G163" s="1012"/>
      <c r="H163" s="160"/>
      <c r="I163" s="15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7"/>
    </row>
    <row r="164" spans="2:19">
      <c r="B164" s="155"/>
      <c r="C164" s="993"/>
      <c r="D164" s="159"/>
      <c r="E164" s="160"/>
      <c r="F164" s="153"/>
      <c r="G164" s="153"/>
      <c r="H164" s="160"/>
      <c r="I164" s="15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7"/>
    </row>
    <row r="165" spans="2:19">
      <c r="B165" s="155"/>
      <c r="C165" s="993"/>
      <c r="D165" s="159"/>
      <c r="E165" s="160"/>
      <c r="F165" s="153"/>
      <c r="G165" s="153"/>
      <c r="H165" s="160"/>
      <c r="I165" s="15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7"/>
    </row>
    <row r="166" spans="2:19">
      <c r="B166" s="155">
        <v>2</v>
      </c>
      <c r="C166" s="993"/>
      <c r="D166" s="159"/>
      <c r="E166" s="162">
        <v>0.15</v>
      </c>
      <c r="F166" s="153"/>
      <c r="G166" s="153"/>
      <c r="H166" s="160">
        <v>0.15</v>
      </c>
      <c r="I166" s="158"/>
      <c r="J166" s="157">
        <v>0.375</v>
      </c>
      <c r="K166" s="156">
        <f>SUM(D163:I168)</f>
        <v>1.0900000000000001</v>
      </c>
      <c r="L166" s="156">
        <v>3</v>
      </c>
      <c r="M166" s="156">
        <v>1</v>
      </c>
      <c r="N166" s="156" t="str">
        <f>IF(J166=1/4,L166*K166*M166,"-")</f>
        <v>-</v>
      </c>
      <c r="O166" s="156">
        <f>IF(J166=3/8,K166*L166*M166,"-")</f>
        <v>3.2700000000000005</v>
      </c>
      <c r="P166" s="156" t="str">
        <f>IF(J166=1/2,L166*K166*M166,"-")</f>
        <v>-</v>
      </c>
      <c r="Q166" s="156" t="str">
        <f>IF(J166=5/8,L166*K166*M166,"-")</f>
        <v>-</v>
      </c>
      <c r="R166" s="156" t="str">
        <f>IF(J166=3/4,K166*L166,"-")</f>
        <v>-</v>
      </c>
      <c r="S166" s="147"/>
    </row>
    <row r="167" spans="2:19">
      <c r="B167" s="155"/>
      <c r="C167" s="994"/>
      <c r="D167" s="154"/>
      <c r="E167" s="151"/>
      <c r="F167" s="152"/>
      <c r="G167" s="151"/>
      <c r="H167" s="150"/>
      <c r="I167" s="150"/>
      <c r="J167" s="148"/>
      <c r="K167" s="149"/>
      <c r="L167" s="148"/>
      <c r="M167" s="149"/>
      <c r="N167" s="148"/>
      <c r="O167" s="149"/>
      <c r="P167" s="148"/>
      <c r="Q167" s="149"/>
      <c r="R167" s="148"/>
      <c r="S167" s="147"/>
    </row>
    <row r="168" spans="2:19">
      <c r="B168" s="146"/>
      <c r="C168" s="995"/>
      <c r="D168" s="145"/>
      <c r="E168" s="144"/>
      <c r="F168" s="1011">
        <v>0.79</v>
      </c>
      <c r="G168" s="1011"/>
      <c r="H168" s="142"/>
      <c r="I168" s="141"/>
      <c r="J168" s="140"/>
      <c r="K168" s="140"/>
      <c r="L168" s="140"/>
      <c r="M168" s="140"/>
      <c r="N168" s="140"/>
      <c r="O168" s="140"/>
      <c r="P168" s="140"/>
      <c r="Q168" s="140"/>
      <c r="R168" s="140"/>
      <c r="S168" s="139"/>
    </row>
    <row r="169" spans="2:19">
      <c r="B169" s="155"/>
      <c r="C169" s="993" t="s">
        <v>267</v>
      </c>
      <c r="D169" s="159"/>
      <c r="E169" s="160"/>
      <c r="F169" s="987"/>
      <c r="G169" s="987"/>
      <c r="H169" s="160"/>
      <c r="I169" s="15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7"/>
    </row>
    <row r="170" spans="2:19">
      <c r="B170" s="155"/>
      <c r="C170" s="993"/>
      <c r="D170" s="159"/>
      <c r="E170" s="160"/>
      <c r="F170" s="987"/>
      <c r="G170" s="987"/>
      <c r="H170" s="160"/>
      <c r="I170" s="15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7"/>
    </row>
    <row r="171" spans="2:19">
      <c r="B171" s="155"/>
      <c r="C171" s="993"/>
      <c r="D171" s="159"/>
      <c r="E171" s="160"/>
      <c r="F171" s="152"/>
      <c r="G171" s="987">
        <v>0.63</v>
      </c>
      <c r="H171" s="160"/>
      <c r="I171" s="15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7"/>
    </row>
    <row r="172" spans="2:19">
      <c r="B172" s="155">
        <v>3</v>
      </c>
      <c r="C172" s="993"/>
      <c r="D172" s="159"/>
      <c r="E172" s="162"/>
      <c r="F172" s="153"/>
      <c r="G172" s="987"/>
      <c r="H172" s="160"/>
      <c r="I172" s="158"/>
      <c r="J172" s="157">
        <v>0.375</v>
      </c>
      <c r="K172" s="156">
        <f>SUM(D169:I174)</f>
        <v>0.69</v>
      </c>
      <c r="L172" s="156">
        <v>5</v>
      </c>
      <c r="M172" s="156">
        <v>1</v>
      </c>
      <c r="N172" s="156" t="str">
        <f>IF(J172=1/4,L172*K172*M172,"-")</f>
        <v>-</v>
      </c>
      <c r="O172" s="156">
        <f>IF(J172=3/8,K172*L172*M172,"-")</f>
        <v>3.4499999999999997</v>
      </c>
      <c r="P172" s="156" t="str">
        <f>IF(J172=1/2,L172*K172*M172,"-")</f>
        <v>-</v>
      </c>
      <c r="Q172" s="156" t="str">
        <f>IF(J172=5/8,L172*K172*M172,"-")</f>
        <v>-</v>
      </c>
      <c r="R172" s="156" t="str">
        <f>IF(J172=3/4,K172*L172,"-")</f>
        <v>-</v>
      </c>
      <c r="S172" s="147"/>
    </row>
    <row r="173" spans="2:19">
      <c r="B173" s="155"/>
      <c r="C173" s="994"/>
      <c r="D173" s="154"/>
      <c r="E173" s="153"/>
      <c r="F173" s="152"/>
      <c r="G173" s="151"/>
      <c r="H173" s="150"/>
      <c r="I173" s="150"/>
      <c r="J173" s="148"/>
      <c r="K173" s="149"/>
      <c r="L173" s="148"/>
      <c r="M173" s="149"/>
      <c r="N173" s="148"/>
      <c r="O173" s="149"/>
      <c r="P173" s="148"/>
      <c r="Q173" s="149"/>
      <c r="R173" s="148"/>
      <c r="S173" s="147"/>
    </row>
    <row r="174" spans="2:19">
      <c r="B174" s="146"/>
      <c r="C174" s="995"/>
      <c r="D174" s="145"/>
      <c r="E174" s="144"/>
      <c r="F174" s="143">
        <v>0.06</v>
      </c>
      <c r="G174" s="143"/>
      <c r="H174" s="142"/>
      <c r="I174" s="141"/>
      <c r="J174" s="140"/>
      <c r="K174" s="140"/>
      <c r="L174" s="140"/>
      <c r="M174" s="140"/>
      <c r="N174" s="140"/>
      <c r="O174" s="140"/>
      <c r="P174" s="140"/>
      <c r="Q174" s="140"/>
      <c r="R174" s="140"/>
      <c r="S174" s="139"/>
    </row>
    <row r="175" spans="2:19">
      <c r="B175" s="155"/>
      <c r="C175" s="993" t="s">
        <v>266</v>
      </c>
      <c r="D175" s="159"/>
      <c r="E175" s="160"/>
      <c r="F175" s="152"/>
      <c r="G175" s="151">
        <v>0.15</v>
      </c>
      <c r="H175" s="160"/>
      <c r="I175" s="15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7"/>
    </row>
    <row r="176" spans="2:19">
      <c r="B176" s="155"/>
      <c r="C176" s="993"/>
      <c r="D176" s="159"/>
      <c r="E176" s="160"/>
      <c r="F176" s="152"/>
      <c r="G176" s="987"/>
      <c r="H176" s="160"/>
      <c r="I176" s="15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7"/>
    </row>
    <row r="177" spans="2:19">
      <c r="B177" s="155"/>
      <c r="C177" s="993"/>
      <c r="D177" s="159"/>
      <c r="E177" s="160"/>
      <c r="F177" s="153"/>
      <c r="G177" s="987"/>
      <c r="H177" s="160"/>
      <c r="I177" s="15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7"/>
    </row>
    <row r="178" spans="2:19">
      <c r="B178" s="155">
        <v>4</v>
      </c>
      <c r="C178" s="993"/>
      <c r="D178" s="159"/>
      <c r="E178" s="160"/>
      <c r="F178" s="152"/>
      <c r="G178" s="151">
        <v>0.63</v>
      </c>
      <c r="H178" s="160"/>
      <c r="I178" s="158"/>
      <c r="J178" s="157">
        <v>0.375</v>
      </c>
      <c r="K178" s="156">
        <f>SUM(D175:I180)</f>
        <v>0.84000000000000008</v>
      </c>
      <c r="L178" s="156">
        <v>3</v>
      </c>
      <c r="M178" s="156">
        <v>2</v>
      </c>
      <c r="N178" s="156" t="str">
        <f>IF(J178=1/4,L178*K178*M178,"-")</f>
        <v>-</v>
      </c>
      <c r="O178" s="156">
        <f>IF(J178=3/8,K178*L178*M178,"-")</f>
        <v>5.0400000000000009</v>
      </c>
      <c r="P178" s="156" t="str">
        <f>IF(J178=1/2,L178*K178*M178,"-")</f>
        <v>-</v>
      </c>
      <c r="Q178" s="156" t="str">
        <f>IF(J178=5/8,L178*K178*M178,"-")</f>
        <v>-</v>
      </c>
      <c r="R178" s="156" t="str">
        <f>IF(J178=3/4,K178*L178,"-")</f>
        <v>-</v>
      </c>
      <c r="S178" s="147"/>
    </row>
    <row r="179" spans="2:19">
      <c r="B179" s="155"/>
      <c r="C179" s="994"/>
      <c r="D179" s="154"/>
      <c r="E179" s="153"/>
      <c r="F179" s="152"/>
      <c r="G179" s="152"/>
      <c r="H179" s="150"/>
      <c r="I179" s="150"/>
      <c r="J179" s="148"/>
      <c r="K179" s="149"/>
      <c r="L179" s="148"/>
      <c r="M179" s="149"/>
      <c r="N179" s="148"/>
      <c r="O179" s="149"/>
      <c r="P179" s="148"/>
      <c r="Q179" s="149"/>
      <c r="R179" s="148"/>
      <c r="S179" s="147"/>
    </row>
    <row r="180" spans="2:19">
      <c r="B180" s="146"/>
      <c r="C180" s="995"/>
      <c r="D180" s="145"/>
      <c r="E180" s="144"/>
      <c r="F180" s="143">
        <v>0.06</v>
      </c>
      <c r="G180" s="143"/>
      <c r="H180" s="142"/>
      <c r="I180" s="141"/>
      <c r="J180" s="140"/>
      <c r="K180" s="140"/>
      <c r="L180" s="140"/>
      <c r="M180" s="140"/>
      <c r="N180" s="140"/>
      <c r="O180" s="140"/>
      <c r="P180" s="140"/>
      <c r="Q180" s="140"/>
      <c r="R180" s="140"/>
      <c r="S180" s="139"/>
    </row>
    <row r="181" spans="2:19">
      <c r="B181" s="155"/>
      <c r="C181" s="993" t="s">
        <v>265</v>
      </c>
      <c r="D181" s="159"/>
      <c r="E181" s="160"/>
      <c r="F181" s="987"/>
      <c r="G181" s="987"/>
      <c r="H181" s="160"/>
      <c r="I181" s="15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7"/>
    </row>
    <row r="182" spans="2:19">
      <c r="B182" s="155"/>
      <c r="C182" s="993"/>
      <c r="D182" s="159"/>
      <c r="E182" s="160"/>
      <c r="F182" s="987"/>
      <c r="G182" s="987"/>
      <c r="H182" s="160"/>
      <c r="I182" s="15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7"/>
    </row>
    <row r="183" spans="2:19">
      <c r="B183" s="155"/>
      <c r="C183" s="993"/>
      <c r="D183" s="159"/>
      <c r="E183" s="160"/>
      <c r="F183" s="987"/>
      <c r="G183" s="987"/>
      <c r="H183" s="160">
        <v>0.15</v>
      </c>
      <c r="I183" s="15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7"/>
    </row>
    <row r="184" spans="2:19">
      <c r="B184" s="155">
        <v>6</v>
      </c>
      <c r="C184" s="993"/>
      <c r="D184" s="159"/>
      <c r="E184" s="162">
        <v>0.15</v>
      </c>
      <c r="F184" s="161">
        <v>0.81</v>
      </c>
      <c r="G184" s="153"/>
      <c r="H184" s="160"/>
      <c r="I184" s="158"/>
      <c r="J184" s="157">
        <v>0.375</v>
      </c>
      <c r="K184" s="156">
        <f>SUM(D181:I186)</f>
        <v>1.1100000000000001</v>
      </c>
      <c r="L184" s="156">
        <v>4</v>
      </c>
      <c r="M184" s="156">
        <v>1</v>
      </c>
      <c r="N184" s="156" t="str">
        <f>IF(J184=1/4,L184*K184*M184,"-")</f>
        <v>-</v>
      </c>
      <c r="O184" s="156">
        <f>IF(J184=3/8,K184*L184*M184,"-")</f>
        <v>4.4400000000000004</v>
      </c>
      <c r="P184" s="156" t="str">
        <f>IF(J184=1/2,L184*K184*M184,"-")</f>
        <v>-</v>
      </c>
      <c r="Q184" s="156" t="str">
        <f>IF(J184=5/8,L184*K184*M184,"-")</f>
        <v>-</v>
      </c>
      <c r="R184" s="156" t="str">
        <f>IF(J184=3/4,K184*L184,"-")</f>
        <v>-</v>
      </c>
      <c r="S184" s="147"/>
    </row>
    <row r="185" spans="2:19">
      <c r="B185" s="155"/>
      <c r="C185" s="994"/>
      <c r="D185" s="154"/>
      <c r="E185" s="153"/>
      <c r="F185" s="152"/>
      <c r="G185" s="151"/>
      <c r="H185" s="150"/>
      <c r="I185" s="150"/>
      <c r="J185" s="148"/>
      <c r="K185" s="149"/>
      <c r="L185" s="148"/>
      <c r="M185" s="149"/>
      <c r="N185" s="148"/>
      <c r="O185" s="149"/>
      <c r="P185" s="148"/>
      <c r="Q185" s="149"/>
      <c r="R185" s="148"/>
      <c r="S185" s="147"/>
    </row>
    <row r="186" spans="2:19">
      <c r="B186" s="146"/>
      <c r="C186" s="995"/>
      <c r="D186" s="145"/>
      <c r="E186" s="144"/>
      <c r="F186" s="143"/>
      <c r="G186" s="143"/>
      <c r="H186" s="142"/>
      <c r="I186" s="141"/>
      <c r="J186" s="140"/>
      <c r="K186" s="140"/>
      <c r="L186" s="140"/>
      <c r="M186" s="140"/>
      <c r="N186" s="140"/>
      <c r="O186" s="140"/>
      <c r="P186" s="140"/>
      <c r="Q186" s="140"/>
      <c r="R186" s="140"/>
      <c r="S186" s="139"/>
    </row>
    <row r="187" spans="2:19" ht="15" customHeight="1">
      <c r="B187" s="155"/>
      <c r="C187" s="993" t="s">
        <v>264</v>
      </c>
      <c r="D187" s="159"/>
      <c r="E187" s="160"/>
      <c r="F187" s="987"/>
      <c r="G187" s="987"/>
      <c r="H187" s="160"/>
      <c r="I187" s="15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7"/>
    </row>
    <row r="188" spans="2:19">
      <c r="B188" s="155"/>
      <c r="C188" s="993"/>
      <c r="D188" s="159"/>
      <c r="E188" s="162">
        <v>0.15</v>
      </c>
      <c r="F188" s="987"/>
      <c r="G188" s="987"/>
      <c r="H188" s="160"/>
      <c r="I188" s="15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7"/>
    </row>
    <row r="189" spans="2:19">
      <c r="B189" s="155"/>
      <c r="C189" s="993"/>
      <c r="D189" s="159"/>
      <c r="E189" s="162"/>
      <c r="F189" s="161">
        <v>0.81</v>
      </c>
      <c r="G189" s="153"/>
      <c r="H189" s="160">
        <v>0.15</v>
      </c>
      <c r="I189" s="15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7"/>
    </row>
    <row r="190" spans="2:19">
      <c r="B190" s="155">
        <v>7</v>
      </c>
      <c r="C190" s="993"/>
      <c r="D190" s="159"/>
      <c r="E190" s="153"/>
      <c r="F190" s="152"/>
      <c r="G190" s="151"/>
      <c r="H190" s="150"/>
      <c r="I190" s="158"/>
      <c r="J190" s="157">
        <v>0.375</v>
      </c>
      <c r="K190" s="156">
        <f>SUM(D187:I192)</f>
        <v>1.1100000000000001</v>
      </c>
      <c r="L190" s="156">
        <v>4</v>
      </c>
      <c r="M190" s="156">
        <v>1</v>
      </c>
      <c r="N190" s="156" t="str">
        <f>IF(J190=1/4,L190*K190*M190,"-")</f>
        <v>-</v>
      </c>
      <c r="O190" s="156">
        <f>IF(J190=3/8,K190*L190*M190,"-")</f>
        <v>4.4400000000000004</v>
      </c>
      <c r="P190" s="156" t="str">
        <f>IF(J190=1/2,L190*K190*M190,"-")</f>
        <v>-</v>
      </c>
      <c r="Q190" s="156" t="str">
        <f>IF(J190=5/8,L190*K190*M190,"-")</f>
        <v>-</v>
      </c>
      <c r="R190" s="156" t="str">
        <f>IF(J190=3/4,K190*L190,"-")</f>
        <v>-</v>
      </c>
      <c r="S190" s="147"/>
    </row>
    <row r="191" spans="2:19">
      <c r="B191" s="155"/>
      <c r="C191" s="994"/>
      <c r="D191" s="154"/>
      <c r="E191" s="153"/>
      <c r="F191" s="152"/>
      <c r="G191" s="151"/>
      <c r="H191" s="150"/>
      <c r="I191" s="150"/>
      <c r="J191" s="148"/>
      <c r="K191" s="149"/>
      <c r="L191" s="148"/>
      <c r="M191" s="149"/>
      <c r="N191" s="148"/>
      <c r="O191" s="149"/>
      <c r="P191" s="148"/>
      <c r="Q191" s="149"/>
      <c r="R191" s="148"/>
      <c r="S191" s="147"/>
    </row>
    <row r="192" spans="2:19">
      <c r="B192" s="146"/>
      <c r="C192" s="995"/>
      <c r="D192" s="145"/>
      <c r="E192" s="144"/>
      <c r="F192" s="143"/>
      <c r="G192" s="143"/>
      <c r="H192" s="142"/>
      <c r="I192" s="141"/>
      <c r="J192" s="140"/>
      <c r="K192" s="140"/>
      <c r="L192" s="140"/>
      <c r="M192" s="140"/>
      <c r="N192" s="140"/>
      <c r="O192" s="140"/>
      <c r="P192" s="140"/>
      <c r="Q192" s="140"/>
      <c r="R192" s="140"/>
      <c r="S192" s="139"/>
    </row>
    <row r="193" spans="2:19" ht="15.75" thickBot="1">
      <c r="B193" s="138"/>
      <c r="C193" s="137"/>
      <c r="D193" s="137"/>
      <c r="E193" s="137"/>
      <c r="F193" s="137"/>
      <c r="G193" s="137"/>
      <c r="H193" s="137"/>
      <c r="I193" s="137"/>
      <c r="J193" s="984" t="s">
        <v>263</v>
      </c>
      <c r="K193" s="985"/>
      <c r="L193" s="986"/>
      <c r="M193" s="136"/>
      <c r="N193" s="136">
        <f>SUM(N100:N120)</f>
        <v>0</v>
      </c>
      <c r="O193" s="136">
        <f>SUM(O157:O192)</f>
        <v>26.290000000000003</v>
      </c>
      <c r="P193" s="136">
        <f>SUM(P100:P120)</f>
        <v>0</v>
      </c>
      <c r="Q193" s="136">
        <f>SUM(Q100:Q120)</f>
        <v>0</v>
      </c>
      <c r="R193" s="136">
        <f>SUM(R100:R120)</f>
        <v>0</v>
      </c>
      <c r="S193" s="135"/>
    </row>
    <row r="194" spans="2:19">
      <c r="J194" s="963" t="s">
        <v>262</v>
      </c>
      <c r="K194" s="963"/>
      <c r="L194" s="963"/>
      <c r="M194" s="133"/>
      <c r="N194" s="132">
        <v>0.22</v>
      </c>
      <c r="O194" s="132">
        <v>0.56000000000000005</v>
      </c>
      <c r="P194" s="134">
        <v>0.99399999999999999</v>
      </c>
      <c r="Q194" s="134">
        <v>1.552</v>
      </c>
      <c r="R194" s="134">
        <v>2.2349999999999999</v>
      </c>
      <c r="S194" s="133"/>
    </row>
    <row r="195" spans="2:19">
      <c r="J195" s="964" t="s">
        <v>261</v>
      </c>
      <c r="K195" s="964"/>
      <c r="L195" s="964"/>
      <c r="M195" s="132"/>
      <c r="N195" s="132">
        <f>N193*N194</f>
        <v>0</v>
      </c>
      <c r="O195" s="132">
        <f>O193*O194</f>
        <v>14.722400000000002</v>
      </c>
      <c r="P195" s="132">
        <f>P193*P194</f>
        <v>0</v>
      </c>
      <c r="Q195" s="132">
        <f>Q193*Q194</f>
        <v>0</v>
      </c>
      <c r="R195" s="132">
        <f>R193*R194</f>
        <v>0</v>
      </c>
      <c r="S195" s="132"/>
    </row>
    <row r="196" spans="2:19">
      <c r="J196" s="965" t="s">
        <v>260</v>
      </c>
      <c r="K196" s="966"/>
      <c r="L196" s="967"/>
      <c r="M196" s="968">
        <v>1</v>
      </c>
      <c r="N196" s="969"/>
      <c r="O196" s="969"/>
      <c r="P196" s="969"/>
      <c r="Q196" s="969"/>
      <c r="R196" s="969"/>
      <c r="S196" s="970"/>
    </row>
    <row r="197" spans="2:19">
      <c r="J197" s="965" t="s">
        <v>259</v>
      </c>
      <c r="K197" s="966"/>
      <c r="L197" s="967"/>
      <c r="M197" s="971">
        <f>SUM(N195:S195)*M196</f>
        <v>14.722400000000002</v>
      </c>
      <c r="N197" s="972"/>
      <c r="O197" s="972"/>
      <c r="P197" s="972"/>
      <c r="Q197" s="972"/>
      <c r="R197" s="972"/>
      <c r="S197" s="973"/>
    </row>
  </sheetData>
  <mergeCells count="147">
    <mergeCell ref="J193:L193"/>
    <mergeCell ref="J194:L194"/>
    <mergeCell ref="J195:L195"/>
    <mergeCell ref="J196:L196"/>
    <mergeCell ref="M196:S196"/>
    <mergeCell ref="J197:L197"/>
    <mergeCell ref="M197:S197"/>
    <mergeCell ref="C157:C162"/>
    <mergeCell ref="F157:G157"/>
    <mergeCell ref="F162:G162"/>
    <mergeCell ref="C187:C192"/>
    <mergeCell ref="F187:G187"/>
    <mergeCell ref="F188:G188"/>
    <mergeCell ref="C163:C168"/>
    <mergeCell ref="F163:G163"/>
    <mergeCell ref="C169:C174"/>
    <mergeCell ref="F169:G169"/>
    <mergeCell ref="F170:G170"/>
    <mergeCell ref="C175:C180"/>
    <mergeCell ref="F168:G168"/>
    <mergeCell ref="G171:G172"/>
    <mergeCell ref="G176:G177"/>
    <mergeCell ref="C181:C186"/>
    <mergeCell ref="F181:G181"/>
    <mergeCell ref="F182:G182"/>
    <mergeCell ref="F183:G183"/>
    <mergeCell ref="B150:S150"/>
    <mergeCell ref="B151:C154"/>
    <mergeCell ref="D151:O154"/>
    <mergeCell ref="P151:S151"/>
    <mergeCell ref="P152:S152"/>
    <mergeCell ref="P153:S154"/>
    <mergeCell ref="J146:L146"/>
    <mergeCell ref="B155:B156"/>
    <mergeCell ref="C155:C156"/>
    <mergeCell ref="D155:I156"/>
    <mergeCell ref="J155:J156"/>
    <mergeCell ref="K155:K156"/>
    <mergeCell ref="L155:L156"/>
    <mergeCell ref="M155:M156"/>
    <mergeCell ref="N155:R155"/>
    <mergeCell ref="S155:S156"/>
    <mergeCell ref="C125:C130"/>
    <mergeCell ref="F125:G125"/>
    <mergeCell ref="F126:G126"/>
    <mergeCell ref="C131:C136"/>
    <mergeCell ref="F131:G131"/>
    <mergeCell ref="F132:G132"/>
    <mergeCell ref="M146:S146"/>
    <mergeCell ref="J147:L147"/>
    <mergeCell ref="M147:S147"/>
    <mergeCell ref="J143:L143"/>
    <mergeCell ref="J144:L144"/>
    <mergeCell ref="J145:L145"/>
    <mergeCell ref="C137:C142"/>
    <mergeCell ref="F137:G137"/>
    <mergeCell ref="F138:G138"/>
    <mergeCell ref="C107:C112"/>
    <mergeCell ref="F107:G107"/>
    <mergeCell ref="F108:G108"/>
    <mergeCell ref="C113:C118"/>
    <mergeCell ref="F113:G113"/>
    <mergeCell ref="F114:G114"/>
    <mergeCell ref="C119:C124"/>
    <mergeCell ref="F119:G119"/>
    <mergeCell ref="F120:G120"/>
    <mergeCell ref="C89:C94"/>
    <mergeCell ref="F89:G89"/>
    <mergeCell ref="F90:G90"/>
    <mergeCell ref="C95:C100"/>
    <mergeCell ref="F95:G95"/>
    <mergeCell ref="F96:G96"/>
    <mergeCell ref="C101:C106"/>
    <mergeCell ref="F101:G101"/>
    <mergeCell ref="F102:G102"/>
    <mergeCell ref="C83:C88"/>
    <mergeCell ref="F83:G83"/>
    <mergeCell ref="F84:G84"/>
    <mergeCell ref="F78:G78"/>
    <mergeCell ref="F79:G79"/>
    <mergeCell ref="B43:S43"/>
    <mergeCell ref="B44:C47"/>
    <mergeCell ref="D44:O47"/>
    <mergeCell ref="P44:S44"/>
    <mergeCell ref="P45:S45"/>
    <mergeCell ref="J48:J49"/>
    <mergeCell ref="K48:K49"/>
    <mergeCell ref="L48:L49"/>
    <mergeCell ref="C71:C76"/>
    <mergeCell ref="F71:G71"/>
    <mergeCell ref="F72:G72"/>
    <mergeCell ref="F73:G73"/>
    <mergeCell ref="P46:S47"/>
    <mergeCell ref="M48:M49"/>
    <mergeCell ref="N48:R48"/>
    <mergeCell ref="S48:S49"/>
    <mergeCell ref="C50:C55"/>
    <mergeCell ref="F50:G50"/>
    <mergeCell ref="F77:G77"/>
    <mergeCell ref="C65:C70"/>
    <mergeCell ref="F66:G66"/>
    <mergeCell ref="C77:C82"/>
    <mergeCell ref="F57:G57"/>
    <mergeCell ref="F65:G65"/>
    <mergeCell ref="C56:C58"/>
    <mergeCell ref="F56:G56"/>
    <mergeCell ref="C59:C64"/>
    <mergeCell ref="F59:G59"/>
    <mergeCell ref="B48:B49"/>
    <mergeCell ref="C48:C49"/>
    <mergeCell ref="D48:I49"/>
    <mergeCell ref="C30:C35"/>
    <mergeCell ref="F30:G30"/>
    <mergeCell ref="F25:G25"/>
    <mergeCell ref="F31:G31"/>
    <mergeCell ref="F32:G32"/>
    <mergeCell ref="C24:C29"/>
    <mergeCell ref="P4:S4"/>
    <mergeCell ref="P5:S6"/>
    <mergeCell ref="B2:S2"/>
    <mergeCell ref="B3:C6"/>
    <mergeCell ref="D3:O6"/>
    <mergeCell ref="P3:S3"/>
    <mergeCell ref="C18:C23"/>
    <mergeCell ref="F18:G18"/>
    <mergeCell ref="C15:C17"/>
    <mergeCell ref="F15:G15"/>
    <mergeCell ref="L7:L8"/>
    <mergeCell ref="M7:M8"/>
    <mergeCell ref="J37:L37"/>
    <mergeCell ref="J38:L38"/>
    <mergeCell ref="J39:L39"/>
    <mergeCell ref="M39:S39"/>
    <mergeCell ref="J40:L40"/>
    <mergeCell ref="M40:S40"/>
    <mergeCell ref="B7:B8"/>
    <mergeCell ref="C7:C8"/>
    <mergeCell ref="D7:I8"/>
    <mergeCell ref="J7:J8"/>
    <mergeCell ref="K7:K8"/>
    <mergeCell ref="J36:L36"/>
    <mergeCell ref="F24:G24"/>
    <mergeCell ref="F26:G26"/>
    <mergeCell ref="N7:R7"/>
    <mergeCell ref="S7:S8"/>
    <mergeCell ref="C9:C14"/>
    <mergeCell ref="F9:G9"/>
  </mergeCells>
  <pageMargins left="0.70866141732283472" right="0.70866141732283472" top="0.74803149606299213" bottom="0.74803149606299213" header="0.31496062992125984" footer="0.31496062992125984"/>
  <pageSetup paperSize="9" scale="69" fitToHeight="0" orientation="landscape" r:id="rId1"/>
  <rowBreaks count="5" manualBreakCount="5">
    <brk id="41" max="19" man="1"/>
    <brk id="82" max="19" man="1"/>
    <brk id="124" max="19" man="1"/>
    <brk id="148" max="19" man="1"/>
    <brk id="180" max="1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362C5-5C2A-4B24-844F-683090AAE9A5}">
  <sheetPr codeName="Hoja4">
    <tabColor theme="4" tint="0.79998168889431442"/>
  </sheetPr>
  <dimension ref="A1:HR136"/>
  <sheetViews>
    <sheetView showGridLines="0" view="pageBreakPreview" topLeftCell="A4" zoomScale="65" zoomScaleNormal="85" zoomScaleSheetLayoutView="65" zoomScalePageLayoutView="85" workbookViewId="0">
      <selection activeCell="B23" sqref="B23"/>
    </sheetView>
  </sheetViews>
  <sheetFormatPr baseColWidth="10" defaultColWidth="13.33203125" defaultRowHeight="11.25"/>
  <cols>
    <col min="1" max="1" width="13.5" style="169" customWidth="1"/>
    <col min="2" max="2" width="100.6640625" style="168" customWidth="1"/>
    <col min="3" max="3" width="10.83203125" style="168" customWidth="1"/>
    <col min="4" max="9" width="12.5" style="168" customWidth="1"/>
    <col min="10" max="16384" width="13.33203125" style="168"/>
  </cols>
  <sheetData>
    <row r="1" spans="1:9" ht="15" customHeight="1" thickBot="1">
      <c r="A1" s="1015"/>
      <c r="B1" s="1015"/>
      <c r="C1" s="1015"/>
      <c r="D1" s="1015"/>
      <c r="E1" s="1015"/>
      <c r="F1" s="1015"/>
      <c r="G1" s="1015"/>
      <c r="H1" s="1015"/>
      <c r="I1" s="1015"/>
    </row>
    <row r="2" spans="1:9" ht="15" customHeight="1">
      <c r="A2" s="1016" t="s">
        <v>334</v>
      </c>
      <c r="B2" s="1017"/>
      <c r="C2" s="1017"/>
      <c r="D2" s="1017"/>
      <c r="E2" s="1017"/>
      <c r="F2" s="1017"/>
      <c r="G2" s="1017"/>
      <c r="H2" s="1017"/>
      <c r="I2" s="1018"/>
    </row>
    <row r="3" spans="1:9" ht="50.45" customHeight="1">
      <c r="A3" s="1022" t="s">
        <v>1086</v>
      </c>
      <c r="B3" s="1023"/>
      <c r="C3" s="1023"/>
      <c r="D3" s="1023"/>
      <c r="E3" s="1023"/>
      <c r="F3" s="1023"/>
      <c r="G3" s="1023"/>
      <c r="H3" s="1023"/>
      <c r="I3" s="1024"/>
    </row>
    <row r="4" spans="1:9" ht="15" customHeight="1" thickBot="1">
      <c r="A4" s="1019" t="s">
        <v>333</v>
      </c>
      <c r="B4" s="1020"/>
      <c r="C4" s="1020"/>
      <c r="D4" s="1020"/>
      <c r="E4" s="1020"/>
      <c r="F4" s="1020"/>
      <c r="G4" s="1020"/>
      <c r="H4" s="1020"/>
      <c r="I4" s="1021"/>
    </row>
    <row r="5" spans="1:9" ht="15" customHeight="1" thickBot="1">
      <c r="A5" s="223"/>
      <c r="E5" s="222"/>
      <c r="G5" s="222"/>
      <c r="H5" s="221"/>
      <c r="I5" s="220"/>
    </row>
    <row r="6" spans="1:9" ht="15" customHeight="1">
      <c r="A6" s="223"/>
      <c r="B6" s="232" t="s">
        <v>332</v>
      </c>
      <c r="C6" s="231" t="str">
        <f>+C8&amp;" x "&amp;C7&amp;" m"</f>
        <v>0.5 x 0.7 m</v>
      </c>
      <c r="D6" s="230" t="s">
        <v>331</v>
      </c>
      <c r="E6" s="1013" t="s">
        <v>330</v>
      </c>
      <c r="F6" s="1014"/>
      <c r="G6" s="1014"/>
      <c r="H6" s="1014"/>
      <c r="I6" s="220"/>
    </row>
    <row r="7" spans="1:9" ht="15" customHeight="1">
      <c r="A7" s="223"/>
      <c r="B7" s="229" t="s">
        <v>329</v>
      </c>
      <c r="C7" s="228">
        <v>0.7</v>
      </c>
      <c r="D7" s="227" t="s">
        <v>0</v>
      </c>
      <c r="E7" s="1013"/>
      <c r="F7" s="1014"/>
      <c r="G7" s="1014"/>
      <c r="H7" s="221"/>
      <c r="I7" s="220"/>
    </row>
    <row r="8" spans="1:9" ht="15" customHeight="1">
      <c r="A8" s="223"/>
      <c r="B8" s="229" t="s">
        <v>328</v>
      </c>
      <c r="C8" s="228">
        <v>0.5</v>
      </c>
      <c r="D8" s="227" t="s">
        <v>0</v>
      </c>
      <c r="E8" s="222"/>
      <c r="F8" s="222"/>
      <c r="G8" s="222"/>
      <c r="H8" s="221"/>
      <c r="I8" s="220"/>
    </row>
    <row r="9" spans="1:9" ht="15" customHeight="1">
      <c r="A9" s="223"/>
      <c r="B9" s="229" t="s">
        <v>327</v>
      </c>
      <c r="C9" s="228">
        <v>0.1</v>
      </c>
      <c r="D9" s="227" t="s">
        <v>0</v>
      </c>
      <c r="E9" s="222"/>
      <c r="F9" s="222"/>
      <c r="G9" s="222"/>
      <c r="H9" s="221"/>
      <c r="I9" s="220"/>
    </row>
    <row r="10" spans="1:9" ht="15" customHeight="1" thickBot="1">
      <c r="A10" s="223"/>
      <c r="B10" s="226" t="s">
        <v>326</v>
      </c>
      <c r="C10" s="225">
        <f>C7-C9</f>
        <v>0.6</v>
      </c>
      <c r="D10" s="224" t="s">
        <v>0</v>
      </c>
      <c r="E10" s="222"/>
      <c r="F10" s="222"/>
      <c r="G10" s="222"/>
      <c r="H10" s="221"/>
      <c r="I10" s="220"/>
    </row>
    <row r="11" spans="1:9" ht="15" customHeight="1">
      <c r="A11" s="223"/>
      <c r="D11" s="222"/>
      <c r="E11" s="222"/>
      <c r="F11" s="222"/>
      <c r="G11" s="222"/>
      <c r="H11" s="221"/>
      <c r="I11" s="220"/>
    </row>
    <row r="12" spans="1:9" ht="15" customHeight="1" thickBot="1">
      <c r="A12" s="219" t="s">
        <v>1</v>
      </c>
      <c r="B12" s="217" t="s">
        <v>2</v>
      </c>
      <c r="C12" s="218" t="s">
        <v>325</v>
      </c>
      <c r="D12" s="217" t="s">
        <v>3</v>
      </c>
      <c r="E12" s="217" t="s">
        <v>324</v>
      </c>
      <c r="F12" s="217" t="s">
        <v>5</v>
      </c>
      <c r="G12" s="217" t="s">
        <v>6</v>
      </c>
      <c r="H12" s="217" t="s">
        <v>7</v>
      </c>
      <c r="I12" s="216" t="s">
        <v>8</v>
      </c>
    </row>
    <row r="13" spans="1:9" ht="15" customHeight="1" thickTop="1">
      <c r="A13" s="215" t="str">
        <f>+"01.03"</f>
        <v>01.03</v>
      </c>
      <c r="B13" s="214" t="str">
        <f>A4&amp;" L= "&amp;E17&amp;"m"</f>
        <v>LINEA DE CONDUCCIÓN L= 139.7m</v>
      </c>
      <c r="C13" s="213"/>
      <c r="D13" s="212"/>
      <c r="E13" s="211">
        <f>SUM(E14:E14)</f>
        <v>139.69999999999999</v>
      </c>
      <c r="F13" s="211"/>
      <c r="G13" s="211"/>
      <c r="H13" s="211"/>
      <c r="I13" s="210"/>
    </row>
    <row r="14" spans="1:9" ht="15" customHeight="1">
      <c r="A14" s="209"/>
      <c r="B14" s="184" t="s">
        <v>323</v>
      </c>
      <c r="C14" s="183" t="s">
        <v>307</v>
      </c>
      <c r="D14" s="183">
        <v>1</v>
      </c>
      <c r="E14" s="182">
        <v>139.69999999999999</v>
      </c>
      <c r="F14" s="182"/>
      <c r="G14" s="182"/>
      <c r="H14" s="182"/>
      <c r="I14" s="206"/>
    </row>
    <row r="15" spans="1:9" ht="15" customHeight="1">
      <c r="A15" s="209"/>
      <c r="B15" s="184"/>
      <c r="C15" s="183"/>
      <c r="D15" s="183"/>
      <c r="E15" s="182"/>
      <c r="F15" s="182"/>
      <c r="G15" s="182"/>
      <c r="H15" s="182"/>
      <c r="I15" s="206"/>
    </row>
    <row r="16" spans="1:9" s="170" customFormat="1" ht="15" customHeight="1">
      <c r="A16" s="190" t="str">
        <f>A$13 &amp; ".01"</f>
        <v>01.03.01</v>
      </c>
      <c r="B16" s="189" t="s">
        <v>107</v>
      </c>
      <c r="C16" s="188"/>
      <c r="D16" s="188"/>
      <c r="E16" s="187"/>
      <c r="F16" s="187"/>
      <c r="G16" s="187"/>
      <c r="H16" s="187"/>
      <c r="I16" s="186"/>
    </row>
    <row r="17" spans="1:226" s="170" customFormat="1" ht="15" customHeight="1">
      <c r="A17" s="208" t="str">
        <f>A$16 &amp; ".01"</f>
        <v>01.03.01.01</v>
      </c>
      <c r="B17" s="184" t="s">
        <v>322</v>
      </c>
      <c r="C17" s="183" t="s">
        <v>307</v>
      </c>
      <c r="D17" s="183">
        <v>1</v>
      </c>
      <c r="E17" s="182">
        <f>E13</f>
        <v>139.69999999999999</v>
      </c>
      <c r="F17" s="182"/>
      <c r="G17" s="182"/>
      <c r="H17" s="181">
        <f>+ROUND(PRODUCT(D17:G17),2)</f>
        <v>139.69999999999999</v>
      </c>
      <c r="I17" s="180">
        <f>+H17</f>
        <v>139.69999999999999</v>
      </c>
    </row>
    <row r="18" spans="1:226" s="170" customFormat="1" ht="15" customHeight="1">
      <c r="A18" s="208" t="str">
        <f>A$16 &amp; ".02"</f>
        <v>01.03.01.02</v>
      </c>
      <c r="B18" s="184" t="s">
        <v>321</v>
      </c>
      <c r="C18" s="183" t="s">
        <v>307</v>
      </c>
      <c r="D18" s="183">
        <v>1</v>
      </c>
      <c r="E18" s="182">
        <f>E13</f>
        <v>139.69999999999999</v>
      </c>
      <c r="F18" s="182"/>
      <c r="G18" s="182"/>
      <c r="H18" s="181">
        <f>+ROUND(PRODUCT(D18:G18),2)</f>
        <v>139.69999999999999</v>
      </c>
      <c r="I18" s="180">
        <f>+H18</f>
        <v>139.69999999999999</v>
      </c>
    </row>
    <row r="19" spans="1:226" s="170" customFormat="1" ht="15" customHeight="1">
      <c r="A19" s="208" t="str">
        <f>A$16 &amp; ".03"</f>
        <v>01.03.01.03</v>
      </c>
      <c r="B19" s="184" t="s">
        <v>320</v>
      </c>
      <c r="C19" s="183" t="s">
        <v>307</v>
      </c>
      <c r="D19" s="183">
        <v>1</v>
      </c>
      <c r="E19" s="182">
        <f>E13</f>
        <v>139.69999999999999</v>
      </c>
      <c r="F19" s="182"/>
      <c r="G19" s="182"/>
      <c r="H19" s="181">
        <f>+ROUND(PRODUCT(D19:G19),2)</f>
        <v>139.69999999999999</v>
      </c>
      <c r="I19" s="180">
        <f>+H19</f>
        <v>139.69999999999999</v>
      </c>
    </row>
    <row r="20" spans="1:226" s="170" customFormat="1" ht="15" customHeight="1">
      <c r="A20" s="207"/>
      <c r="B20" s="198"/>
      <c r="C20" s="196"/>
      <c r="D20" s="196"/>
      <c r="E20" s="195"/>
      <c r="F20" s="195"/>
      <c r="G20" s="195"/>
      <c r="H20" s="195"/>
      <c r="I20" s="206"/>
    </row>
    <row r="21" spans="1:226" s="170" customFormat="1" ht="15" customHeight="1">
      <c r="A21" s="190" t="str">
        <f>A$13 &amp; ".02"</f>
        <v>01.03.02</v>
      </c>
      <c r="B21" s="189" t="s">
        <v>101</v>
      </c>
      <c r="C21" s="188"/>
      <c r="D21" s="188"/>
      <c r="E21" s="187"/>
      <c r="F21" s="187"/>
      <c r="G21" s="187"/>
      <c r="H21" s="187"/>
      <c r="I21" s="186"/>
    </row>
    <row r="22" spans="1:226" s="204" customFormat="1" ht="13.5">
      <c r="A22" s="200" t="str">
        <f>$A$21 &amp; ".01"</f>
        <v>01.03.02.01</v>
      </c>
      <c r="B22" s="184" t="s">
        <v>319</v>
      </c>
      <c r="C22" s="183" t="s">
        <v>307</v>
      </c>
      <c r="D22" s="197">
        <v>1</v>
      </c>
      <c r="E22" s="193">
        <f>E14</f>
        <v>139.69999999999999</v>
      </c>
      <c r="F22" s="202"/>
      <c r="G22" s="202"/>
      <c r="H22" s="193">
        <f>+ROUND(PRODUCT(D22:G22),2)</f>
        <v>139.69999999999999</v>
      </c>
      <c r="I22" s="194">
        <f>+H22</f>
        <v>139.69999999999999</v>
      </c>
      <c r="J22" s="170"/>
      <c r="K22" s="170"/>
      <c r="L22" s="205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  <c r="AM22" s="170"/>
      <c r="AN22" s="170"/>
      <c r="AO22" s="170"/>
      <c r="AP22" s="170"/>
      <c r="AQ22" s="170"/>
      <c r="AR22" s="170"/>
      <c r="AS22" s="170"/>
      <c r="AT22" s="170"/>
      <c r="AU22" s="170"/>
      <c r="AV22" s="170"/>
      <c r="AW22" s="170"/>
      <c r="AX22" s="170"/>
      <c r="AY22" s="170"/>
      <c r="AZ22" s="170"/>
      <c r="BA22" s="170"/>
      <c r="BB22" s="170"/>
      <c r="BC22" s="170"/>
      <c r="BD22" s="170"/>
      <c r="BE22" s="170"/>
      <c r="BF22" s="170"/>
      <c r="BG22" s="170"/>
      <c r="BH22" s="170"/>
      <c r="BI22" s="170"/>
      <c r="BJ22" s="170"/>
      <c r="BK22" s="170"/>
      <c r="BL22" s="170"/>
      <c r="BM22" s="170"/>
      <c r="BN22" s="170"/>
      <c r="BO22" s="170"/>
      <c r="BP22" s="170"/>
      <c r="BQ22" s="170"/>
      <c r="BR22" s="170"/>
      <c r="BS22" s="170"/>
      <c r="BT22" s="170"/>
      <c r="BU22" s="170"/>
      <c r="BV22" s="170"/>
      <c r="BW22" s="170"/>
      <c r="BX22" s="170"/>
      <c r="BY22" s="170"/>
      <c r="BZ22" s="170"/>
      <c r="CA22" s="170"/>
      <c r="CB22" s="170"/>
      <c r="CC22" s="170"/>
      <c r="CD22" s="170"/>
      <c r="CE22" s="170"/>
      <c r="CF22" s="170"/>
      <c r="CG22" s="170"/>
      <c r="CH22" s="170"/>
      <c r="CI22" s="170"/>
      <c r="CJ22" s="170"/>
      <c r="CK22" s="170"/>
      <c r="CL22" s="170"/>
      <c r="CM22" s="170"/>
      <c r="CN22" s="170"/>
      <c r="CO22" s="170"/>
      <c r="CP22" s="170"/>
      <c r="CQ22" s="170"/>
      <c r="CR22" s="170"/>
      <c r="CS22" s="170"/>
      <c r="CT22" s="170"/>
      <c r="CU22" s="170"/>
      <c r="CV22" s="170"/>
      <c r="CW22" s="170"/>
      <c r="CX22" s="170"/>
      <c r="CY22" s="170"/>
      <c r="CZ22" s="170"/>
      <c r="DA22" s="170"/>
      <c r="DB22" s="170"/>
      <c r="DC22" s="170"/>
      <c r="DD22" s="170"/>
      <c r="DE22" s="170"/>
      <c r="DF22" s="170"/>
      <c r="DG22" s="170"/>
      <c r="DH22" s="170"/>
      <c r="DI22" s="170"/>
      <c r="DJ22" s="170"/>
      <c r="DK22" s="170"/>
      <c r="DL22" s="170"/>
      <c r="DM22" s="170"/>
      <c r="DN22" s="170"/>
      <c r="DO22" s="170"/>
      <c r="DP22" s="170"/>
      <c r="DQ22" s="170"/>
      <c r="DR22" s="170"/>
      <c r="DS22" s="170"/>
      <c r="DT22" s="170"/>
      <c r="DU22" s="170"/>
      <c r="DV22" s="170"/>
      <c r="DW22" s="170"/>
      <c r="DX22" s="170"/>
      <c r="DY22" s="170"/>
      <c r="DZ22" s="170"/>
      <c r="EA22" s="170"/>
      <c r="EB22" s="170"/>
      <c r="EC22" s="170"/>
      <c r="ED22" s="170"/>
      <c r="EE22" s="170"/>
      <c r="EF22" s="170"/>
      <c r="EG22" s="170"/>
      <c r="EH22" s="170"/>
      <c r="EI22" s="170"/>
      <c r="EJ22" s="170"/>
      <c r="EK22" s="170"/>
      <c r="EL22" s="170"/>
      <c r="EM22" s="170"/>
      <c r="EN22" s="170"/>
      <c r="EO22" s="170"/>
      <c r="EP22" s="170"/>
      <c r="EQ22" s="170"/>
      <c r="ER22" s="170"/>
      <c r="ES22" s="170"/>
      <c r="ET22" s="170"/>
      <c r="EU22" s="170"/>
      <c r="EV22" s="170"/>
      <c r="EW22" s="170"/>
      <c r="EX22" s="170"/>
      <c r="EY22" s="170"/>
      <c r="EZ22" s="170"/>
      <c r="FA22" s="170"/>
      <c r="FB22" s="170"/>
      <c r="FC22" s="170"/>
      <c r="FD22" s="170"/>
      <c r="FE22" s="170"/>
      <c r="FF22" s="170"/>
      <c r="FG22" s="170"/>
      <c r="FH22" s="170"/>
      <c r="FI22" s="170"/>
      <c r="FJ22" s="170"/>
      <c r="FK22" s="170"/>
      <c r="FL22" s="170"/>
      <c r="FM22" s="170"/>
      <c r="FN22" s="170"/>
      <c r="FO22" s="170"/>
      <c r="FP22" s="170"/>
      <c r="FQ22" s="170"/>
      <c r="FR22" s="170"/>
      <c r="FS22" s="170"/>
      <c r="FT22" s="170"/>
      <c r="FU22" s="170"/>
      <c r="FV22" s="170"/>
      <c r="FW22" s="170"/>
      <c r="FX22" s="170"/>
      <c r="FY22" s="170"/>
      <c r="FZ22" s="170"/>
      <c r="GA22" s="170"/>
      <c r="GB22" s="170"/>
      <c r="GC22" s="170"/>
      <c r="GD22" s="170"/>
      <c r="GE22" s="170"/>
      <c r="GF22" s="170"/>
      <c r="GG22" s="170"/>
      <c r="GH22" s="170"/>
      <c r="GI22" s="170"/>
      <c r="GJ22" s="170"/>
      <c r="GK22" s="170"/>
      <c r="GL22" s="170"/>
      <c r="GM22" s="170"/>
      <c r="GN22" s="170"/>
      <c r="GO22" s="170"/>
      <c r="GP22" s="170"/>
      <c r="GQ22" s="170"/>
      <c r="GR22" s="170"/>
      <c r="GS22" s="170"/>
      <c r="GT22" s="170"/>
      <c r="GU22" s="170"/>
      <c r="GV22" s="170"/>
      <c r="GW22" s="170"/>
      <c r="GX22" s="170"/>
      <c r="GY22" s="170"/>
      <c r="GZ22" s="170"/>
      <c r="HA22" s="170"/>
      <c r="HB22" s="170"/>
      <c r="HC22" s="170"/>
      <c r="HD22" s="170"/>
      <c r="HE22" s="170"/>
      <c r="HF22" s="170"/>
      <c r="HG22" s="170"/>
      <c r="HH22" s="170"/>
      <c r="HI22" s="170"/>
      <c r="HJ22" s="170"/>
      <c r="HK22" s="170"/>
      <c r="HL22" s="170"/>
      <c r="HM22" s="170"/>
      <c r="HN22" s="170"/>
      <c r="HO22" s="170"/>
      <c r="HP22" s="170"/>
      <c r="HQ22" s="170"/>
      <c r="HR22" s="170"/>
    </row>
    <row r="23" spans="1:226" s="204" customFormat="1" ht="15" customHeight="1">
      <c r="A23" s="200" t="str">
        <f>$A$21 &amp; ".02"</f>
        <v>01.03.02.02</v>
      </c>
      <c r="B23" s="203" t="s">
        <v>318</v>
      </c>
      <c r="C23" s="183" t="s">
        <v>307</v>
      </c>
      <c r="D23" s="197">
        <v>1</v>
      </c>
      <c r="E23" s="193">
        <f>+E13</f>
        <v>139.69999999999999</v>
      </c>
      <c r="F23" s="202"/>
      <c r="G23" s="202"/>
      <c r="H23" s="193">
        <f>+ROUND(PRODUCT(D23:G23),2)</f>
        <v>139.69999999999999</v>
      </c>
      <c r="I23" s="194">
        <f>+H23</f>
        <v>139.69999999999999</v>
      </c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0"/>
      <c r="AU23" s="170"/>
      <c r="AV23" s="170"/>
      <c r="AW23" s="170"/>
      <c r="AX23" s="170"/>
      <c r="AY23" s="170"/>
      <c r="AZ23" s="170"/>
      <c r="BA23" s="170"/>
      <c r="BB23" s="170"/>
      <c r="BC23" s="170"/>
      <c r="BD23" s="170"/>
      <c r="BE23" s="170"/>
      <c r="BF23" s="170"/>
      <c r="BG23" s="170"/>
      <c r="BH23" s="170"/>
      <c r="BI23" s="170"/>
      <c r="BJ23" s="170"/>
      <c r="BK23" s="170"/>
      <c r="BL23" s="170"/>
      <c r="BM23" s="170"/>
      <c r="BN23" s="170"/>
      <c r="BO23" s="170"/>
      <c r="BP23" s="170"/>
      <c r="BQ23" s="170"/>
      <c r="BR23" s="170"/>
      <c r="BS23" s="170"/>
      <c r="BT23" s="170"/>
      <c r="BU23" s="170"/>
      <c r="BV23" s="170"/>
      <c r="BW23" s="170"/>
      <c r="BX23" s="170"/>
      <c r="BY23" s="170"/>
      <c r="BZ23" s="170"/>
      <c r="CA23" s="170"/>
      <c r="CB23" s="170"/>
      <c r="CC23" s="170"/>
      <c r="CD23" s="170"/>
      <c r="CE23" s="170"/>
      <c r="CF23" s="170"/>
      <c r="CG23" s="170"/>
      <c r="CH23" s="170"/>
      <c r="CI23" s="170"/>
      <c r="CJ23" s="170"/>
      <c r="CK23" s="170"/>
      <c r="CL23" s="170"/>
      <c r="CM23" s="170"/>
      <c r="CN23" s="170"/>
      <c r="CO23" s="170"/>
      <c r="CP23" s="170"/>
      <c r="CQ23" s="170"/>
      <c r="CR23" s="170"/>
      <c r="CS23" s="170"/>
      <c r="CT23" s="170"/>
      <c r="CU23" s="170"/>
      <c r="CV23" s="170"/>
      <c r="CW23" s="170"/>
      <c r="CX23" s="170"/>
      <c r="CY23" s="170"/>
      <c r="CZ23" s="170"/>
      <c r="DA23" s="170"/>
      <c r="DB23" s="170"/>
      <c r="DC23" s="170"/>
      <c r="DD23" s="170"/>
      <c r="DE23" s="170"/>
      <c r="DF23" s="170"/>
      <c r="DG23" s="170"/>
      <c r="DH23" s="170"/>
      <c r="DI23" s="170"/>
      <c r="DJ23" s="170"/>
      <c r="DK23" s="170"/>
      <c r="DL23" s="170"/>
      <c r="DM23" s="170"/>
      <c r="DN23" s="170"/>
      <c r="DO23" s="170"/>
      <c r="DP23" s="170"/>
      <c r="DQ23" s="170"/>
      <c r="DR23" s="170"/>
      <c r="DS23" s="170"/>
      <c r="DT23" s="170"/>
      <c r="DU23" s="170"/>
      <c r="DV23" s="170"/>
      <c r="DW23" s="170"/>
      <c r="DX23" s="170"/>
      <c r="DY23" s="170"/>
      <c r="DZ23" s="170"/>
      <c r="EA23" s="170"/>
      <c r="EB23" s="170"/>
      <c r="EC23" s="170"/>
      <c r="ED23" s="170"/>
      <c r="EE23" s="170"/>
      <c r="EF23" s="170"/>
      <c r="EG23" s="170"/>
      <c r="EH23" s="170"/>
      <c r="EI23" s="170"/>
      <c r="EJ23" s="170"/>
      <c r="EK23" s="170"/>
      <c r="EL23" s="170"/>
      <c r="EM23" s="170"/>
      <c r="EN23" s="170"/>
      <c r="EO23" s="170"/>
      <c r="EP23" s="170"/>
      <c r="EQ23" s="170"/>
      <c r="ER23" s="170"/>
      <c r="ES23" s="170"/>
      <c r="ET23" s="170"/>
      <c r="EU23" s="170"/>
      <c r="EV23" s="170"/>
      <c r="EW23" s="170"/>
      <c r="EX23" s="170"/>
      <c r="EY23" s="170"/>
      <c r="EZ23" s="170"/>
      <c r="FA23" s="170"/>
      <c r="FB23" s="170"/>
      <c r="FC23" s="170"/>
      <c r="FD23" s="170"/>
      <c r="FE23" s="170"/>
      <c r="FF23" s="170"/>
      <c r="FG23" s="170"/>
      <c r="FH23" s="170"/>
      <c r="FI23" s="170"/>
      <c r="FJ23" s="170"/>
      <c r="FK23" s="170"/>
      <c r="FL23" s="170"/>
      <c r="FM23" s="170"/>
      <c r="FN23" s="170"/>
      <c r="FO23" s="170"/>
      <c r="FP23" s="170"/>
      <c r="FQ23" s="170"/>
      <c r="FR23" s="170"/>
      <c r="FS23" s="170"/>
      <c r="FT23" s="170"/>
      <c r="FU23" s="170"/>
      <c r="FV23" s="170"/>
      <c r="FW23" s="170"/>
      <c r="FX23" s="170"/>
      <c r="FY23" s="170"/>
      <c r="FZ23" s="170"/>
      <c r="GA23" s="170"/>
      <c r="GB23" s="170"/>
      <c r="GC23" s="170"/>
      <c r="GD23" s="170"/>
      <c r="GE23" s="170"/>
      <c r="GF23" s="170"/>
      <c r="GG23" s="170"/>
      <c r="GH23" s="170"/>
      <c r="GI23" s="170"/>
      <c r="GJ23" s="170"/>
      <c r="GK23" s="170"/>
      <c r="GL23" s="170"/>
      <c r="GM23" s="170"/>
      <c r="GN23" s="170"/>
      <c r="GO23" s="170"/>
      <c r="GP23" s="170"/>
      <c r="GQ23" s="170"/>
      <c r="GR23" s="170"/>
      <c r="GS23" s="170"/>
      <c r="GT23" s="170"/>
      <c r="GU23" s="170"/>
      <c r="GV23" s="170"/>
      <c r="GW23" s="170"/>
      <c r="GX23" s="170"/>
      <c r="GY23" s="170"/>
      <c r="GZ23" s="170"/>
      <c r="HA23" s="170"/>
      <c r="HB23" s="170"/>
      <c r="HC23" s="170"/>
      <c r="HD23" s="170"/>
      <c r="HE23" s="170"/>
      <c r="HF23" s="170"/>
      <c r="HG23" s="170"/>
      <c r="HH23" s="170"/>
      <c r="HI23" s="170"/>
      <c r="HJ23" s="170"/>
      <c r="HK23" s="170"/>
      <c r="HL23" s="170"/>
      <c r="HM23" s="170"/>
      <c r="HN23" s="170"/>
      <c r="HO23" s="170"/>
      <c r="HP23" s="170"/>
      <c r="HQ23" s="170"/>
      <c r="HR23" s="170"/>
    </row>
    <row r="24" spans="1:226" s="204" customFormat="1" ht="15" customHeight="1">
      <c r="A24" s="200" t="str">
        <f>$A$21 &amp; ".03"</f>
        <v>01.03.02.03</v>
      </c>
      <c r="B24" s="203" t="s">
        <v>317</v>
      </c>
      <c r="C24" s="197" t="s">
        <v>316</v>
      </c>
      <c r="D24" s="197"/>
      <c r="E24" s="193"/>
      <c r="F24" s="202"/>
      <c r="G24" s="202"/>
      <c r="H24" s="193">
        <f>SUM(H25:H26)</f>
        <v>3.3100000000000023</v>
      </c>
      <c r="I24" s="194">
        <f>+H24</f>
        <v>3.3100000000000023</v>
      </c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  <c r="EB24" s="170"/>
      <c r="EC24" s="170"/>
      <c r="ED24" s="170"/>
      <c r="EE24" s="170"/>
      <c r="EF24" s="170"/>
      <c r="EG24" s="170"/>
      <c r="EH24" s="170"/>
      <c r="EI24" s="170"/>
      <c r="EJ24" s="170"/>
      <c r="EK24" s="170"/>
      <c r="EL24" s="170"/>
      <c r="EM24" s="170"/>
      <c r="EN24" s="170"/>
      <c r="EO24" s="170"/>
      <c r="EP24" s="170"/>
      <c r="EQ24" s="170"/>
      <c r="ER24" s="170"/>
      <c r="ES24" s="170"/>
      <c r="ET24" s="170"/>
      <c r="EU24" s="170"/>
      <c r="EV24" s="170"/>
      <c r="EW24" s="170"/>
      <c r="EX24" s="170"/>
      <c r="EY24" s="170"/>
      <c r="EZ24" s="170"/>
      <c r="FA24" s="170"/>
      <c r="FB24" s="170"/>
      <c r="FC24" s="170"/>
      <c r="FD24" s="170"/>
      <c r="FE24" s="170"/>
      <c r="FF24" s="170"/>
      <c r="FG24" s="170"/>
      <c r="FH24" s="170"/>
      <c r="FI24" s="170"/>
      <c r="FJ24" s="170"/>
      <c r="FK24" s="170"/>
      <c r="FL24" s="170"/>
      <c r="FM24" s="170"/>
      <c r="FN24" s="170"/>
      <c r="FO24" s="170"/>
      <c r="FP24" s="170"/>
      <c r="FQ24" s="170"/>
      <c r="FR24" s="170"/>
      <c r="FS24" s="170"/>
      <c r="FT24" s="170"/>
      <c r="FU24" s="170"/>
      <c r="FV24" s="170"/>
      <c r="FW24" s="170"/>
      <c r="FX24" s="170"/>
      <c r="FY24" s="170"/>
      <c r="FZ24" s="170"/>
      <c r="GA24" s="170"/>
      <c r="GB24" s="170"/>
      <c r="GC24" s="170"/>
      <c r="GD24" s="170"/>
      <c r="GE24" s="170"/>
      <c r="GF24" s="170"/>
      <c r="GG24" s="170"/>
      <c r="GH24" s="170"/>
      <c r="GI24" s="170"/>
      <c r="GJ24" s="170"/>
      <c r="GK24" s="170"/>
      <c r="GL24" s="170"/>
      <c r="GM24" s="170"/>
      <c r="GN24" s="170"/>
      <c r="GO24" s="170"/>
      <c r="GP24" s="170"/>
      <c r="GQ24" s="170"/>
      <c r="GR24" s="170"/>
      <c r="GS24" s="170"/>
      <c r="GT24" s="170"/>
      <c r="GU24" s="170"/>
      <c r="GV24" s="170"/>
      <c r="GW24" s="170"/>
      <c r="GX24" s="170"/>
      <c r="GY24" s="170"/>
      <c r="GZ24" s="170"/>
      <c r="HA24" s="170"/>
      <c r="HB24" s="170"/>
      <c r="HC24" s="170"/>
      <c r="HD24" s="170"/>
      <c r="HE24" s="170"/>
      <c r="HF24" s="170"/>
      <c r="HG24" s="170"/>
      <c r="HH24" s="170"/>
      <c r="HI24" s="170"/>
      <c r="HJ24" s="170"/>
      <c r="HK24" s="170"/>
      <c r="HL24" s="170"/>
      <c r="HM24" s="170"/>
      <c r="HN24" s="170"/>
      <c r="HO24" s="170"/>
      <c r="HP24" s="170"/>
      <c r="HQ24" s="170"/>
      <c r="HR24" s="170"/>
    </row>
    <row r="25" spans="1:226" s="199" customFormat="1" ht="15" customHeight="1">
      <c r="A25" s="200"/>
      <c r="B25" s="201" t="s">
        <v>315</v>
      </c>
      <c r="C25" s="197"/>
      <c r="D25" s="193">
        <v>1.25</v>
      </c>
      <c r="E25" s="193">
        <f>E13</f>
        <v>139.69999999999999</v>
      </c>
      <c r="F25" s="193">
        <v>0.4</v>
      </c>
      <c r="G25" s="193">
        <v>0.3</v>
      </c>
      <c r="H25" s="193">
        <f>+ROUND(PRODUCT(D25:G25),2)</f>
        <v>20.96</v>
      </c>
      <c r="I25" s="194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  <c r="AK25" s="170"/>
      <c r="AL25" s="170"/>
      <c r="AM25" s="170"/>
      <c r="AN25" s="170"/>
      <c r="AO25" s="170"/>
      <c r="AP25" s="170"/>
      <c r="AQ25" s="170"/>
      <c r="AR25" s="170"/>
      <c r="AS25" s="170"/>
      <c r="AT25" s="170"/>
      <c r="AU25" s="170"/>
      <c r="AV25" s="170"/>
      <c r="AW25" s="170"/>
      <c r="AX25" s="170"/>
      <c r="AY25" s="170"/>
      <c r="AZ25" s="170"/>
      <c r="BA25" s="170"/>
      <c r="BB25" s="170"/>
      <c r="BC25" s="170"/>
      <c r="BD25" s="170"/>
      <c r="BE25" s="170"/>
      <c r="BF25" s="170"/>
      <c r="BG25" s="170"/>
      <c r="BH25" s="170"/>
      <c r="BI25" s="170"/>
      <c r="BJ25" s="170"/>
      <c r="BK25" s="170"/>
      <c r="BL25" s="170"/>
      <c r="BM25" s="170"/>
      <c r="BN25" s="170"/>
      <c r="BO25" s="170"/>
      <c r="BP25" s="170"/>
      <c r="BQ25" s="170"/>
      <c r="BR25" s="170"/>
      <c r="BS25" s="170"/>
      <c r="BT25" s="170"/>
      <c r="BU25" s="170"/>
      <c r="BV25" s="170"/>
      <c r="BW25" s="170"/>
      <c r="BX25" s="170"/>
      <c r="BY25" s="170"/>
      <c r="BZ25" s="170"/>
      <c r="CA25" s="170"/>
      <c r="CB25" s="170"/>
      <c r="CC25" s="170"/>
      <c r="CD25" s="170"/>
      <c r="CE25" s="170"/>
      <c r="CF25" s="170"/>
      <c r="CG25" s="170"/>
      <c r="CH25" s="170"/>
      <c r="CI25" s="170"/>
      <c r="CJ25" s="170"/>
      <c r="CK25" s="170"/>
      <c r="CL25" s="170"/>
      <c r="CM25" s="170"/>
      <c r="CN25" s="170"/>
      <c r="CO25" s="170"/>
      <c r="CP25" s="170"/>
      <c r="CQ25" s="170"/>
      <c r="CR25" s="170"/>
      <c r="CS25" s="170"/>
      <c r="CT25" s="170"/>
      <c r="CU25" s="170"/>
      <c r="CV25" s="170"/>
      <c r="CW25" s="170"/>
      <c r="CX25" s="170"/>
      <c r="CY25" s="170"/>
      <c r="CZ25" s="170"/>
      <c r="DA25" s="170"/>
      <c r="DB25" s="170"/>
      <c r="DC25" s="170"/>
      <c r="DD25" s="170"/>
      <c r="DE25" s="170"/>
      <c r="DF25" s="170"/>
      <c r="DG25" s="170"/>
      <c r="DH25" s="170"/>
      <c r="DI25" s="170"/>
      <c r="DJ25" s="170"/>
      <c r="DK25" s="170"/>
      <c r="DL25" s="170"/>
      <c r="DM25" s="170"/>
      <c r="DN25" s="170"/>
      <c r="DO25" s="170"/>
      <c r="DP25" s="170"/>
      <c r="DQ25" s="170"/>
      <c r="DR25" s="170"/>
      <c r="DS25" s="170"/>
      <c r="DT25" s="170"/>
      <c r="DU25" s="170"/>
      <c r="DV25" s="170"/>
      <c r="DW25" s="170"/>
      <c r="DX25" s="170"/>
      <c r="DY25" s="170"/>
      <c r="DZ25" s="170"/>
      <c r="EA25" s="170"/>
      <c r="EB25" s="170"/>
      <c r="EC25" s="170"/>
      <c r="ED25" s="170"/>
      <c r="EE25" s="170"/>
      <c r="EF25" s="170"/>
      <c r="EG25" s="170"/>
      <c r="EH25" s="170"/>
      <c r="EI25" s="170"/>
      <c r="EJ25" s="170"/>
      <c r="EK25" s="170"/>
      <c r="EL25" s="170"/>
      <c r="EM25" s="170"/>
      <c r="EN25" s="170"/>
      <c r="EO25" s="170"/>
      <c r="EP25" s="170"/>
      <c r="EQ25" s="170"/>
      <c r="ER25" s="170"/>
      <c r="ES25" s="170"/>
      <c r="ET25" s="170"/>
      <c r="EU25" s="170"/>
      <c r="EV25" s="170"/>
      <c r="EW25" s="170"/>
      <c r="EX25" s="170"/>
      <c r="EY25" s="170"/>
      <c r="EZ25" s="170"/>
      <c r="FA25" s="170"/>
      <c r="FB25" s="170"/>
      <c r="FC25" s="170"/>
      <c r="FD25" s="170"/>
      <c r="FE25" s="170"/>
      <c r="FF25" s="170"/>
      <c r="FG25" s="170"/>
      <c r="FH25" s="170"/>
      <c r="FI25" s="170"/>
      <c r="FJ25" s="170"/>
      <c r="FK25" s="170"/>
      <c r="FL25" s="170"/>
      <c r="FM25" s="170"/>
      <c r="FN25" s="170"/>
      <c r="FO25" s="170"/>
      <c r="FP25" s="170"/>
      <c r="FQ25" s="170"/>
      <c r="FR25" s="170"/>
      <c r="FS25" s="170"/>
      <c r="FT25" s="170"/>
      <c r="FU25" s="170"/>
      <c r="FV25" s="170"/>
      <c r="FW25" s="170"/>
      <c r="FX25" s="170"/>
      <c r="FY25" s="170"/>
      <c r="FZ25" s="170"/>
      <c r="GA25" s="170"/>
      <c r="GB25" s="170"/>
      <c r="GC25" s="170"/>
      <c r="GD25" s="170"/>
      <c r="GE25" s="170"/>
      <c r="GF25" s="170"/>
      <c r="GG25" s="170"/>
      <c r="GH25" s="170"/>
      <c r="GI25" s="170"/>
      <c r="GJ25" s="170"/>
      <c r="GK25" s="170"/>
      <c r="GL25" s="170"/>
      <c r="GM25" s="170"/>
      <c r="GN25" s="170"/>
      <c r="GO25" s="170"/>
      <c r="GP25" s="170"/>
      <c r="GQ25" s="170"/>
      <c r="GR25" s="170"/>
      <c r="GS25" s="170"/>
      <c r="GT25" s="170"/>
      <c r="GU25" s="170"/>
      <c r="GV25" s="170"/>
      <c r="GW25" s="170"/>
      <c r="GX25" s="170"/>
      <c r="GY25" s="170"/>
      <c r="GZ25" s="170"/>
      <c r="HA25" s="170"/>
      <c r="HB25" s="170"/>
      <c r="HC25" s="170"/>
      <c r="HD25" s="170"/>
      <c r="HE25" s="170"/>
      <c r="HF25" s="170"/>
      <c r="HG25" s="170"/>
      <c r="HH25" s="170"/>
      <c r="HI25" s="170"/>
      <c r="HJ25" s="170"/>
      <c r="HK25" s="170"/>
      <c r="HL25" s="170"/>
      <c r="HM25" s="170"/>
      <c r="HN25" s="170"/>
      <c r="HO25" s="170"/>
      <c r="HP25" s="170"/>
      <c r="HQ25" s="170"/>
      <c r="HR25" s="170"/>
    </row>
    <row r="26" spans="1:226" s="199" customFormat="1" ht="15" customHeight="1">
      <c r="A26" s="200"/>
      <c r="B26" s="201" t="s">
        <v>314</v>
      </c>
      <c r="C26" s="197"/>
      <c r="D26" s="193">
        <f>-1/0.95</f>
        <v>-1.0526315789473684</v>
      </c>
      <c r="E26" s="193">
        <f>+I22</f>
        <v>139.69999999999999</v>
      </c>
      <c r="F26" s="193">
        <f>+F25</f>
        <v>0.4</v>
      </c>
      <c r="G26" s="193">
        <f>G25</f>
        <v>0.3</v>
      </c>
      <c r="H26" s="193">
        <f>+ROUND(PRODUCT(D26:G26),2)</f>
        <v>-17.649999999999999</v>
      </c>
      <c r="I26" s="194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0"/>
      <c r="AV26" s="170"/>
      <c r="AW26" s="170"/>
      <c r="AX26" s="170"/>
      <c r="AY26" s="170"/>
      <c r="AZ26" s="170"/>
      <c r="BA26" s="170"/>
      <c r="BB26" s="170"/>
      <c r="BC26" s="170"/>
      <c r="BD26" s="170"/>
      <c r="BE26" s="170"/>
      <c r="BF26" s="170"/>
      <c r="BG26" s="170"/>
      <c r="BH26" s="170"/>
      <c r="BI26" s="170"/>
      <c r="BJ26" s="170"/>
      <c r="BK26" s="170"/>
      <c r="BL26" s="170"/>
      <c r="BM26" s="170"/>
      <c r="BN26" s="170"/>
      <c r="BO26" s="170"/>
      <c r="BP26" s="170"/>
      <c r="BQ26" s="170"/>
      <c r="BR26" s="170"/>
      <c r="BS26" s="170"/>
      <c r="BT26" s="170"/>
      <c r="BU26" s="170"/>
      <c r="BV26" s="170"/>
      <c r="BW26" s="170"/>
      <c r="BX26" s="170"/>
      <c r="BY26" s="170"/>
      <c r="BZ26" s="170"/>
      <c r="CA26" s="170"/>
      <c r="CB26" s="170"/>
      <c r="CC26" s="170"/>
      <c r="CD26" s="170"/>
      <c r="CE26" s="170"/>
      <c r="CF26" s="170"/>
      <c r="CG26" s="170"/>
      <c r="CH26" s="170"/>
      <c r="CI26" s="170"/>
      <c r="CJ26" s="170"/>
      <c r="CK26" s="170"/>
      <c r="CL26" s="170"/>
      <c r="CM26" s="170"/>
      <c r="CN26" s="170"/>
      <c r="CO26" s="170"/>
      <c r="CP26" s="170"/>
      <c r="CQ26" s="170"/>
      <c r="CR26" s="170"/>
      <c r="CS26" s="170"/>
      <c r="CT26" s="170"/>
      <c r="CU26" s="170"/>
      <c r="CV26" s="170"/>
      <c r="CW26" s="170"/>
      <c r="CX26" s="170"/>
      <c r="CY26" s="170"/>
      <c r="CZ26" s="170"/>
      <c r="DA26" s="170"/>
      <c r="DB26" s="170"/>
      <c r="DC26" s="170"/>
      <c r="DD26" s="170"/>
      <c r="DE26" s="170"/>
      <c r="DF26" s="170"/>
      <c r="DG26" s="170"/>
      <c r="DH26" s="170"/>
      <c r="DI26" s="170"/>
      <c r="DJ26" s="170"/>
      <c r="DK26" s="170"/>
      <c r="DL26" s="170"/>
      <c r="DM26" s="170"/>
      <c r="DN26" s="170"/>
      <c r="DO26" s="170"/>
      <c r="DP26" s="170"/>
      <c r="DQ26" s="170"/>
      <c r="DR26" s="170"/>
      <c r="DS26" s="170"/>
      <c r="DT26" s="170"/>
      <c r="DU26" s="170"/>
      <c r="DV26" s="170"/>
      <c r="DW26" s="170"/>
      <c r="DX26" s="170"/>
      <c r="DY26" s="170"/>
      <c r="DZ26" s="170"/>
      <c r="EA26" s="170"/>
      <c r="EB26" s="170"/>
      <c r="EC26" s="170"/>
      <c r="ED26" s="170"/>
      <c r="EE26" s="170"/>
      <c r="EF26" s="170"/>
      <c r="EG26" s="170"/>
      <c r="EH26" s="170"/>
      <c r="EI26" s="170"/>
      <c r="EJ26" s="170"/>
      <c r="EK26" s="170"/>
      <c r="EL26" s="170"/>
      <c r="EM26" s="170"/>
      <c r="EN26" s="170"/>
      <c r="EO26" s="170"/>
      <c r="EP26" s="170"/>
      <c r="EQ26" s="170"/>
      <c r="ER26" s="170"/>
      <c r="ES26" s="170"/>
      <c r="ET26" s="170"/>
      <c r="EU26" s="170"/>
      <c r="EV26" s="170"/>
      <c r="EW26" s="170"/>
      <c r="EX26" s="170"/>
      <c r="EY26" s="170"/>
      <c r="EZ26" s="170"/>
      <c r="FA26" s="170"/>
      <c r="FB26" s="170"/>
      <c r="FC26" s="170"/>
      <c r="FD26" s="170"/>
      <c r="FE26" s="170"/>
      <c r="FF26" s="170"/>
      <c r="FG26" s="170"/>
      <c r="FH26" s="170"/>
      <c r="FI26" s="170"/>
      <c r="FJ26" s="170"/>
      <c r="FK26" s="170"/>
      <c r="FL26" s="170"/>
      <c r="FM26" s="170"/>
      <c r="FN26" s="170"/>
      <c r="FO26" s="170"/>
      <c r="FP26" s="170"/>
      <c r="FQ26" s="170"/>
      <c r="FR26" s="170"/>
      <c r="FS26" s="170"/>
      <c r="FT26" s="170"/>
      <c r="FU26" s="170"/>
      <c r="FV26" s="170"/>
      <c r="FW26" s="170"/>
      <c r="FX26" s="170"/>
      <c r="FY26" s="170"/>
      <c r="FZ26" s="170"/>
      <c r="GA26" s="170"/>
      <c r="GB26" s="170"/>
      <c r="GC26" s="170"/>
      <c r="GD26" s="170"/>
      <c r="GE26" s="170"/>
      <c r="GF26" s="170"/>
      <c r="GG26" s="170"/>
      <c r="GH26" s="170"/>
      <c r="GI26" s="170"/>
      <c r="GJ26" s="170"/>
      <c r="GK26" s="170"/>
      <c r="GL26" s="170"/>
      <c r="GM26" s="170"/>
      <c r="GN26" s="170"/>
      <c r="GO26" s="170"/>
      <c r="GP26" s="170"/>
      <c r="GQ26" s="170"/>
      <c r="GR26" s="170"/>
      <c r="GS26" s="170"/>
      <c r="GT26" s="170"/>
      <c r="GU26" s="170"/>
      <c r="GV26" s="170"/>
      <c r="GW26" s="170"/>
      <c r="GX26" s="170"/>
      <c r="GY26" s="170"/>
      <c r="GZ26" s="170"/>
      <c r="HA26" s="170"/>
      <c r="HB26" s="170"/>
      <c r="HC26" s="170"/>
      <c r="HD26" s="170"/>
      <c r="HE26" s="170"/>
      <c r="HF26" s="170"/>
      <c r="HG26" s="170"/>
      <c r="HH26" s="170"/>
      <c r="HI26" s="170"/>
      <c r="HJ26" s="170"/>
      <c r="HK26" s="170"/>
      <c r="HL26" s="170"/>
      <c r="HM26" s="170"/>
      <c r="HN26" s="170"/>
      <c r="HO26" s="170"/>
      <c r="HP26" s="170"/>
      <c r="HQ26" s="170"/>
      <c r="HR26" s="170"/>
    </row>
    <row r="27" spans="1:226" s="199" customFormat="1" ht="15" customHeight="1">
      <c r="A27" s="185"/>
      <c r="B27" s="198"/>
      <c r="C27" s="197"/>
      <c r="D27" s="196"/>
      <c r="E27" s="195"/>
      <c r="F27" s="195"/>
      <c r="G27" s="195"/>
      <c r="H27" s="195"/>
      <c r="I27" s="194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  <c r="EB27" s="170"/>
      <c r="EC27" s="170"/>
      <c r="ED27" s="170"/>
      <c r="EE27" s="170"/>
      <c r="EF27" s="170"/>
      <c r="EG27" s="170"/>
      <c r="EH27" s="170"/>
      <c r="EI27" s="170"/>
      <c r="EJ27" s="170"/>
      <c r="EK27" s="170"/>
      <c r="EL27" s="170"/>
      <c r="EM27" s="170"/>
      <c r="EN27" s="170"/>
      <c r="EO27" s="170"/>
      <c r="EP27" s="170"/>
      <c r="EQ27" s="170"/>
      <c r="ER27" s="170"/>
      <c r="ES27" s="170"/>
      <c r="ET27" s="170"/>
      <c r="EU27" s="170"/>
      <c r="EV27" s="170"/>
      <c r="EW27" s="170"/>
      <c r="EX27" s="170"/>
      <c r="EY27" s="170"/>
      <c r="EZ27" s="170"/>
      <c r="FA27" s="170"/>
      <c r="FB27" s="170"/>
      <c r="FC27" s="170"/>
      <c r="FD27" s="170"/>
      <c r="FE27" s="170"/>
      <c r="FF27" s="170"/>
      <c r="FG27" s="170"/>
      <c r="FH27" s="170"/>
      <c r="FI27" s="170"/>
      <c r="FJ27" s="170"/>
      <c r="FK27" s="170"/>
      <c r="FL27" s="170"/>
      <c r="FM27" s="170"/>
      <c r="FN27" s="170"/>
      <c r="FO27" s="170"/>
      <c r="FP27" s="170"/>
      <c r="FQ27" s="170"/>
      <c r="FR27" s="170"/>
      <c r="FS27" s="170"/>
      <c r="FT27" s="170"/>
      <c r="FU27" s="170"/>
      <c r="FV27" s="170"/>
      <c r="FW27" s="170"/>
      <c r="FX27" s="170"/>
      <c r="FY27" s="170"/>
      <c r="FZ27" s="170"/>
      <c r="GA27" s="170"/>
      <c r="GB27" s="170"/>
      <c r="GC27" s="170"/>
      <c r="GD27" s="170"/>
      <c r="GE27" s="170"/>
      <c r="GF27" s="170"/>
      <c r="GG27" s="170"/>
      <c r="GH27" s="170"/>
      <c r="GI27" s="170"/>
      <c r="GJ27" s="170"/>
      <c r="GK27" s="170"/>
      <c r="GL27" s="170"/>
      <c r="GM27" s="170"/>
      <c r="GN27" s="170"/>
      <c r="GO27" s="170"/>
      <c r="GP27" s="170"/>
      <c r="GQ27" s="170"/>
      <c r="GR27" s="170"/>
      <c r="GS27" s="170"/>
      <c r="GT27" s="170"/>
      <c r="GU27" s="170"/>
      <c r="GV27" s="170"/>
      <c r="GW27" s="170"/>
      <c r="GX27" s="170"/>
      <c r="GY27" s="170"/>
      <c r="GZ27" s="170"/>
      <c r="HA27" s="170"/>
      <c r="HB27" s="170"/>
      <c r="HC27" s="170"/>
      <c r="HD27" s="170"/>
      <c r="HE27" s="170"/>
      <c r="HF27" s="170"/>
      <c r="HG27" s="170"/>
      <c r="HH27" s="170"/>
      <c r="HI27" s="170"/>
      <c r="HJ27" s="170"/>
      <c r="HK27" s="170"/>
      <c r="HL27" s="170"/>
      <c r="HM27" s="170"/>
      <c r="HN27" s="170"/>
      <c r="HO27" s="170"/>
      <c r="HP27" s="170"/>
      <c r="HQ27" s="170"/>
      <c r="HR27" s="170"/>
    </row>
    <row r="28" spans="1:226" s="170" customFormat="1" ht="15" customHeight="1">
      <c r="A28" s="190" t="str">
        <f>A$13 &amp; ".03"</f>
        <v>01.03.03</v>
      </c>
      <c r="B28" s="192" t="s">
        <v>513</v>
      </c>
      <c r="C28" s="188"/>
      <c r="D28" s="188"/>
      <c r="E28" s="187"/>
      <c r="F28" s="193"/>
      <c r="G28" s="187"/>
      <c r="H28" s="187"/>
      <c r="I28" s="186"/>
    </row>
    <row r="29" spans="1:226" s="170" customFormat="1" ht="28.9" customHeight="1">
      <c r="A29" s="185" t="str">
        <f>A28 &amp; ".01"</f>
        <v>01.03.03.01</v>
      </c>
      <c r="B29" s="184" t="s">
        <v>313</v>
      </c>
      <c r="C29" s="183" t="s">
        <v>307</v>
      </c>
      <c r="D29" s="183">
        <v>1</v>
      </c>
      <c r="E29" s="182">
        <f>SUM(E14:E14)</f>
        <v>139.69999999999999</v>
      </c>
      <c r="F29" s="193"/>
      <c r="G29" s="182"/>
      <c r="H29" s="181">
        <f>+ROUND(PRODUCT(D29:G29),2)</f>
        <v>139.69999999999999</v>
      </c>
      <c r="I29" s="180">
        <f>+H29</f>
        <v>139.69999999999999</v>
      </c>
    </row>
    <row r="30" spans="1:226" s="170" customFormat="1" ht="13.5">
      <c r="A30" s="185"/>
      <c r="B30" s="184"/>
      <c r="C30" s="183"/>
      <c r="D30" s="183"/>
      <c r="E30" s="182"/>
      <c r="F30" s="182"/>
      <c r="G30" s="182"/>
      <c r="H30" s="181"/>
      <c r="I30" s="180"/>
    </row>
    <row r="31" spans="1:226" s="170" customFormat="1" ht="15" customHeight="1">
      <c r="A31" s="190" t="str">
        <f>A$13 &amp; ".04"</f>
        <v>01.03.04</v>
      </c>
      <c r="B31" s="192" t="s">
        <v>312</v>
      </c>
      <c r="C31" s="183"/>
      <c r="D31" s="188"/>
      <c r="E31" s="187"/>
      <c r="F31" s="187"/>
      <c r="G31" s="187"/>
      <c r="H31" s="187"/>
      <c r="I31" s="180"/>
    </row>
    <row r="32" spans="1:226" s="170" customFormat="1" ht="16.149999999999999" customHeight="1">
      <c r="A32" s="185" t="str">
        <f>A31 &amp; ".01"</f>
        <v>01.03.04.01</v>
      </c>
      <c r="B32" s="184" t="s">
        <v>311</v>
      </c>
      <c r="C32" s="183" t="s">
        <v>43</v>
      </c>
      <c r="D32" s="183">
        <v>1</v>
      </c>
      <c r="E32" s="182"/>
      <c r="F32" s="182"/>
      <c r="G32" s="182"/>
      <c r="H32" s="191">
        <f>+ROUND(PRODUCT(D32:G32),2)</f>
        <v>1</v>
      </c>
      <c r="I32" s="180">
        <f>+H32</f>
        <v>1</v>
      </c>
    </row>
    <row r="33" spans="1:9" s="170" customFormat="1" ht="18" customHeight="1">
      <c r="A33" s="185"/>
      <c r="B33" s="184"/>
      <c r="C33" s="183"/>
      <c r="D33" s="183"/>
      <c r="E33" s="182"/>
      <c r="F33" s="182"/>
      <c r="G33" s="182"/>
      <c r="H33" s="181"/>
      <c r="I33" s="180"/>
    </row>
    <row r="34" spans="1:9" s="170" customFormat="1" ht="15" customHeight="1">
      <c r="A34" s="190" t="str">
        <f>A$13 &amp; ".05"</f>
        <v>01.03.05</v>
      </c>
      <c r="B34" s="189" t="s">
        <v>309</v>
      </c>
      <c r="C34" s="188"/>
      <c r="D34" s="188"/>
      <c r="E34" s="187"/>
      <c r="F34" s="187"/>
      <c r="G34" s="187"/>
      <c r="H34" s="187"/>
      <c r="I34" s="186"/>
    </row>
    <row r="35" spans="1:9" s="170" customFormat="1" ht="15" customHeight="1">
      <c r="A35" s="185" t="str">
        <f>A34 &amp;".01"</f>
        <v>01.03.05.01</v>
      </c>
      <c r="B35" s="184" t="s">
        <v>308</v>
      </c>
      <c r="C35" s="183" t="s">
        <v>307</v>
      </c>
      <c r="D35" s="183">
        <v>1</v>
      </c>
      <c r="E35" s="182">
        <f>SUM(E14:E14)</f>
        <v>139.69999999999999</v>
      </c>
      <c r="F35" s="182"/>
      <c r="G35" s="182"/>
      <c r="H35" s="181">
        <f>+ROUND(PRODUCT(D35:G35),2)</f>
        <v>139.69999999999999</v>
      </c>
      <c r="I35" s="180">
        <f>+H35</f>
        <v>139.69999999999999</v>
      </c>
    </row>
    <row r="36" spans="1:9" s="170" customFormat="1" ht="15" customHeight="1" thickBot="1">
      <c r="A36" s="179"/>
      <c r="B36" s="178"/>
      <c r="C36" s="177"/>
      <c r="D36" s="177"/>
      <c r="E36" s="175"/>
      <c r="F36" s="175"/>
      <c r="G36" s="176"/>
      <c r="H36" s="175"/>
      <c r="I36" s="174"/>
    </row>
    <row r="37" spans="1:9" s="170" customFormat="1" ht="15" customHeight="1">
      <c r="A37" s="173"/>
      <c r="B37" s="172"/>
      <c r="C37" s="171"/>
      <c r="D37" s="171"/>
      <c r="E37" s="171"/>
      <c r="F37" s="171"/>
      <c r="G37" s="171"/>
      <c r="H37" s="171"/>
      <c r="I37" s="171"/>
    </row>
    <row r="38" spans="1:9" s="170" customFormat="1" ht="15" customHeight="1">
      <c r="A38" s="173"/>
      <c r="B38" s="172"/>
      <c r="C38" s="171"/>
      <c r="D38" s="171"/>
      <c r="E38" s="171"/>
      <c r="F38" s="171"/>
      <c r="G38" s="171"/>
      <c r="H38" s="171"/>
      <c r="I38" s="171"/>
    </row>
    <row r="39" spans="1:9" s="170" customFormat="1" ht="15" customHeight="1">
      <c r="A39" s="169"/>
      <c r="B39" s="168"/>
      <c r="C39" s="168"/>
      <c r="D39" s="168"/>
      <c r="E39" s="168"/>
      <c r="F39" s="168"/>
      <c r="G39" s="168"/>
      <c r="H39" s="168"/>
      <c r="I39" s="168"/>
    </row>
    <row r="40" spans="1:9" ht="15" customHeight="1"/>
    <row r="41" spans="1:9" ht="15" customHeight="1"/>
    <row r="42" spans="1:9" ht="15" customHeight="1"/>
    <row r="43" spans="1:9" ht="15" customHeight="1"/>
    <row r="44" spans="1:9" ht="15" customHeight="1"/>
    <row r="45" spans="1:9" ht="15" customHeight="1"/>
    <row r="46" spans="1:9" ht="15" customHeight="1"/>
    <row r="47" spans="1:9" ht="15" customHeight="1"/>
    <row r="48" spans="1:9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</sheetData>
  <mergeCells count="6">
    <mergeCell ref="E6:H6"/>
    <mergeCell ref="E7:G7"/>
    <mergeCell ref="A1:I1"/>
    <mergeCell ref="A2:I2"/>
    <mergeCell ref="A4:I4"/>
    <mergeCell ref="A3:I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4" orientation="portrait" r:id="rId1"/>
  <headerFooter>
    <oddFooter>Página &amp;P&amp;R&amp;A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EF42-75F6-41AE-9A12-1AF66CC9CF34}">
  <sheetPr codeName="Hoja5">
    <pageSetUpPr fitToPage="1"/>
  </sheetPr>
  <dimension ref="A1:J512"/>
  <sheetViews>
    <sheetView showGridLines="0" view="pageBreakPreview" zoomScale="65" zoomScaleNormal="100" zoomScaleSheetLayoutView="65" workbookViewId="0">
      <selection activeCell="M14" sqref="M14"/>
    </sheetView>
  </sheetViews>
  <sheetFormatPr baseColWidth="10" defaultColWidth="16.33203125" defaultRowHeight="15" customHeight="1"/>
  <cols>
    <col min="1" max="1" width="28.5" style="237" customWidth="1"/>
    <col min="2" max="2" width="104.1640625" style="233" customWidth="1"/>
    <col min="3" max="3" width="7.33203125" style="236" customWidth="1"/>
    <col min="4" max="4" width="9.1640625" style="233" customWidth="1"/>
    <col min="5" max="5" width="9.6640625" style="233" bestFit="1" customWidth="1"/>
    <col min="6" max="6" width="13.5" style="233" bestFit="1" customWidth="1"/>
    <col min="7" max="7" width="12.1640625" style="233" bestFit="1" customWidth="1"/>
    <col min="8" max="8" width="12.6640625" style="235" bestFit="1" customWidth="1"/>
    <col min="9" max="9" width="10.83203125" style="234" bestFit="1" customWidth="1"/>
    <col min="10" max="10" width="7.1640625" style="234" customWidth="1"/>
    <col min="11" max="16384" width="16.33203125" style="233"/>
  </cols>
  <sheetData>
    <row r="1" spans="1:10" s="289" customFormat="1" ht="15" customHeight="1">
      <c r="A1" s="404"/>
      <c r="B1" s="402"/>
      <c r="C1" s="403"/>
      <c r="D1" s="402"/>
      <c r="E1" s="402"/>
      <c r="F1" s="402"/>
      <c r="G1" s="402"/>
      <c r="H1" s="401"/>
      <c r="I1" s="400"/>
      <c r="J1" s="400"/>
    </row>
    <row r="2" spans="1:10" s="289" customFormat="1" ht="15" customHeight="1">
      <c r="A2" s="1025" t="s">
        <v>497</v>
      </c>
      <c r="B2" s="1025"/>
      <c r="C2" s="1025"/>
      <c r="D2" s="1025"/>
      <c r="E2" s="1025"/>
      <c r="F2" s="1025"/>
      <c r="G2" s="1025"/>
      <c r="H2" s="1025"/>
      <c r="I2" s="1025"/>
      <c r="J2" s="399"/>
    </row>
    <row r="3" spans="1:10" s="289" customFormat="1" ht="51.6" customHeight="1">
      <c r="A3" s="1026" t="s">
        <v>1086</v>
      </c>
      <c r="B3" s="1027"/>
      <c r="C3" s="1027"/>
      <c r="D3" s="1027"/>
      <c r="E3" s="1027"/>
      <c r="F3" s="1027"/>
      <c r="G3" s="1027"/>
      <c r="H3" s="1027"/>
      <c r="I3" s="1027"/>
      <c r="J3" s="398"/>
    </row>
    <row r="4" spans="1:10" s="289" customFormat="1" ht="9" customHeight="1">
      <c r="A4" s="386"/>
      <c r="B4" s="397"/>
      <c r="C4" s="396"/>
      <c r="D4" s="45"/>
      <c r="E4" s="43"/>
      <c r="F4" s="43"/>
      <c r="G4" s="43"/>
      <c r="H4" s="395"/>
      <c r="I4" s="385"/>
      <c r="J4" s="385"/>
    </row>
    <row r="5" spans="1:10" s="289" customFormat="1" ht="15" customHeight="1" thickBot="1">
      <c r="A5" s="961" t="s">
        <v>496</v>
      </c>
      <c r="B5" s="961"/>
      <c r="C5" s="961"/>
      <c r="D5" s="961"/>
      <c r="E5" s="961"/>
      <c r="F5" s="961"/>
      <c r="G5" s="961"/>
      <c r="H5" s="961"/>
      <c r="I5" s="961"/>
      <c r="J5" s="394"/>
    </row>
    <row r="6" spans="1:10" s="289" customFormat="1" ht="15" customHeight="1">
      <c r="A6" s="393"/>
      <c r="B6" s="392"/>
      <c r="C6" s="391"/>
      <c r="D6" s="390"/>
      <c r="E6" s="389"/>
      <c r="F6" s="389"/>
      <c r="G6" s="389"/>
      <c r="H6" s="388"/>
      <c r="I6" s="387"/>
      <c r="J6" s="385"/>
    </row>
    <row r="7" spans="1:10" s="289" customFormat="1" ht="15" customHeight="1">
      <c r="A7" s="386"/>
      <c r="B7" s="1028"/>
      <c r="C7" s="1029"/>
      <c r="D7" s="1029"/>
      <c r="E7" s="1029"/>
      <c r="F7" s="1029"/>
      <c r="G7" s="1029"/>
      <c r="H7" s="1030"/>
      <c r="I7" s="385"/>
      <c r="J7" s="385"/>
    </row>
    <row r="8" spans="1:10" s="289" customFormat="1" ht="15" customHeight="1">
      <c r="A8" s="386"/>
      <c r="B8" s="1031"/>
      <c r="C8" s="1032"/>
      <c r="D8" s="1032"/>
      <c r="E8" s="1032"/>
      <c r="F8" s="1032"/>
      <c r="G8" s="1032"/>
      <c r="H8" s="1033"/>
      <c r="I8" s="385"/>
      <c r="J8" s="385"/>
    </row>
    <row r="9" spans="1:10" s="289" customFormat="1" ht="15" customHeight="1">
      <c r="A9" s="386"/>
      <c r="B9" s="1031"/>
      <c r="C9" s="1032"/>
      <c r="D9" s="1032"/>
      <c r="E9" s="1032"/>
      <c r="F9" s="1032"/>
      <c r="G9" s="1032"/>
      <c r="H9" s="1033"/>
      <c r="I9" s="385"/>
      <c r="J9" s="385"/>
    </row>
    <row r="10" spans="1:10" s="289" customFormat="1" ht="15" customHeight="1">
      <c r="A10" s="386"/>
      <c r="B10" s="1031"/>
      <c r="C10" s="1032"/>
      <c r="D10" s="1032"/>
      <c r="E10" s="1032"/>
      <c r="F10" s="1032"/>
      <c r="G10" s="1032"/>
      <c r="H10" s="1033"/>
      <c r="I10" s="385"/>
      <c r="J10" s="385"/>
    </row>
    <row r="11" spans="1:10" s="289" customFormat="1" ht="15" customHeight="1">
      <c r="A11" s="386"/>
      <c r="B11" s="1031"/>
      <c r="C11" s="1032"/>
      <c r="D11" s="1032"/>
      <c r="E11" s="1032"/>
      <c r="F11" s="1032"/>
      <c r="G11" s="1032"/>
      <c r="H11" s="1033"/>
      <c r="I11" s="385"/>
      <c r="J11" s="385"/>
    </row>
    <row r="12" spans="1:10" s="289" customFormat="1" ht="15" customHeight="1">
      <c r="A12" s="386"/>
      <c r="B12" s="1031"/>
      <c r="C12" s="1032"/>
      <c r="D12" s="1032"/>
      <c r="E12" s="1032"/>
      <c r="F12" s="1032"/>
      <c r="G12" s="1032"/>
      <c r="H12" s="1033"/>
      <c r="I12" s="385"/>
      <c r="J12" s="385"/>
    </row>
    <row r="13" spans="1:10" s="289" customFormat="1" ht="15" customHeight="1">
      <c r="A13" s="386"/>
      <c r="B13" s="1031"/>
      <c r="C13" s="1032"/>
      <c r="D13" s="1032"/>
      <c r="E13" s="1032"/>
      <c r="F13" s="1032"/>
      <c r="G13" s="1032"/>
      <c r="H13" s="1033"/>
      <c r="I13" s="385"/>
      <c r="J13" s="385"/>
    </row>
    <row r="14" spans="1:10" s="289" customFormat="1" ht="15" customHeight="1">
      <c r="A14" s="386"/>
      <c r="B14" s="1031"/>
      <c r="C14" s="1032"/>
      <c r="D14" s="1032"/>
      <c r="E14" s="1032"/>
      <c r="F14" s="1032"/>
      <c r="G14" s="1032"/>
      <c r="H14" s="1033"/>
      <c r="I14" s="385"/>
      <c r="J14" s="385"/>
    </row>
    <row r="15" spans="1:10" s="289" customFormat="1" ht="15" customHeight="1">
      <c r="A15" s="386"/>
      <c r="B15" s="1031"/>
      <c r="C15" s="1032"/>
      <c r="D15" s="1032"/>
      <c r="E15" s="1032"/>
      <c r="F15" s="1032"/>
      <c r="G15" s="1032"/>
      <c r="H15" s="1033"/>
      <c r="I15" s="385"/>
      <c r="J15" s="385"/>
    </row>
    <row r="16" spans="1:10" s="289" customFormat="1" ht="15" customHeight="1">
      <c r="A16" s="386"/>
      <c r="B16" s="1031"/>
      <c r="C16" s="1032"/>
      <c r="D16" s="1032"/>
      <c r="E16" s="1032"/>
      <c r="F16" s="1032"/>
      <c r="G16" s="1032"/>
      <c r="H16" s="1033"/>
      <c r="I16" s="385"/>
      <c r="J16" s="385"/>
    </row>
    <row r="17" spans="1:10" s="289" customFormat="1" ht="15" customHeight="1">
      <c r="A17" s="386"/>
      <c r="B17" s="1031"/>
      <c r="C17" s="1032"/>
      <c r="D17" s="1032"/>
      <c r="E17" s="1032"/>
      <c r="F17" s="1032"/>
      <c r="G17" s="1032"/>
      <c r="H17" s="1033"/>
      <c r="I17" s="385"/>
      <c r="J17" s="385"/>
    </row>
    <row r="18" spans="1:10" s="289" customFormat="1" ht="15" customHeight="1">
      <c r="A18" s="386"/>
      <c r="B18" s="1031"/>
      <c r="C18" s="1032"/>
      <c r="D18" s="1032"/>
      <c r="E18" s="1032"/>
      <c r="F18" s="1032"/>
      <c r="G18" s="1032"/>
      <c r="H18" s="1033"/>
      <c r="I18" s="385"/>
      <c r="J18" s="385"/>
    </row>
    <row r="19" spans="1:10" s="289" customFormat="1" ht="15" customHeight="1">
      <c r="A19" s="386"/>
      <c r="B19" s="1031"/>
      <c r="C19" s="1032"/>
      <c r="D19" s="1032"/>
      <c r="E19" s="1032"/>
      <c r="F19" s="1032"/>
      <c r="G19" s="1032"/>
      <c r="H19" s="1033"/>
      <c r="I19" s="385"/>
      <c r="J19" s="385"/>
    </row>
    <row r="20" spans="1:10" s="289" customFormat="1" ht="15" customHeight="1">
      <c r="A20" s="386"/>
      <c r="B20" s="1031"/>
      <c r="C20" s="1032"/>
      <c r="D20" s="1032"/>
      <c r="E20" s="1032"/>
      <c r="F20" s="1032"/>
      <c r="G20" s="1032"/>
      <c r="H20" s="1033"/>
      <c r="I20" s="385"/>
      <c r="J20" s="385"/>
    </row>
    <row r="21" spans="1:10" s="289" customFormat="1" ht="15" customHeight="1">
      <c r="A21" s="386"/>
      <c r="B21" s="1031"/>
      <c r="C21" s="1032"/>
      <c r="D21" s="1032"/>
      <c r="E21" s="1032"/>
      <c r="F21" s="1032"/>
      <c r="G21" s="1032"/>
      <c r="H21" s="1033"/>
      <c r="I21" s="385"/>
      <c r="J21" s="385"/>
    </row>
    <row r="22" spans="1:10" s="289" customFormat="1" ht="15" customHeight="1">
      <c r="A22" s="386"/>
      <c r="B22" s="1031"/>
      <c r="C22" s="1032"/>
      <c r="D22" s="1032"/>
      <c r="E22" s="1032"/>
      <c r="F22" s="1032"/>
      <c r="G22" s="1032"/>
      <c r="H22" s="1033"/>
      <c r="I22" s="385"/>
      <c r="J22" s="385"/>
    </row>
    <row r="23" spans="1:10" s="289" customFormat="1" ht="15" customHeight="1">
      <c r="A23" s="386"/>
      <c r="B23" s="1034"/>
      <c r="C23" s="1035"/>
      <c r="D23" s="1035"/>
      <c r="E23" s="1035"/>
      <c r="F23" s="1035"/>
      <c r="G23" s="1035"/>
      <c r="H23" s="1036"/>
      <c r="I23" s="385"/>
      <c r="J23" s="385"/>
    </row>
    <row r="24" spans="1:10" s="337" customFormat="1" ht="15" customHeight="1">
      <c r="A24" s="384"/>
      <c r="B24" s="381"/>
      <c r="C24" s="383"/>
      <c r="D24" s="382"/>
      <c r="E24" s="381"/>
      <c r="F24" s="381"/>
      <c r="G24" s="381"/>
      <c r="H24" s="380"/>
      <c r="I24" s="379"/>
      <c r="J24" s="379"/>
    </row>
    <row r="25" spans="1:10" s="289" customFormat="1" ht="15" customHeight="1" thickBot="1">
      <c r="A25" s="378" t="s">
        <v>1</v>
      </c>
      <c r="B25" s="218" t="s">
        <v>2</v>
      </c>
      <c r="C25" s="217" t="s">
        <v>9</v>
      </c>
      <c r="D25" s="217" t="s">
        <v>3</v>
      </c>
      <c r="E25" s="217" t="s">
        <v>4</v>
      </c>
      <c r="F25" s="217" t="s">
        <v>495</v>
      </c>
      <c r="G25" s="217" t="s">
        <v>6</v>
      </c>
      <c r="H25" s="377" t="s">
        <v>7</v>
      </c>
      <c r="I25" s="376" t="s">
        <v>8</v>
      </c>
      <c r="J25" s="375"/>
    </row>
    <row r="26" spans="1:10" s="289" customFormat="1" ht="15" customHeight="1" thickTop="1">
      <c r="A26" s="113" t="s">
        <v>494</v>
      </c>
      <c r="B26" s="114" t="str">
        <f>+A5</f>
        <v xml:space="preserve">RESERVORIO CUADRADO APOYADO DE V=5 m3 </v>
      </c>
      <c r="C26" s="374"/>
      <c r="D26" s="271">
        <v>1</v>
      </c>
      <c r="E26" s="373"/>
      <c r="F26" s="353"/>
      <c r="G26" s="353"/>
      <c r="H26" s="353"/>
      <c r="I26" s="246"/>
      <c r="J26" s="297"/>
    </row>
    <row r="27" spans="1:10" s="289" customFormat="1" ht="15" customHeight="1">
      <c r="A27" s="81" t="str">
        <f>A$26 &amp; ".01"</f>
        <v>01.04.01</v>
      </c>
      <c r="B27" s="81" t="s">
        <v>250</v>
      </c>
      <c r="C27" s="374"/>
      <c r="D27" s="271"/>
      <c r="E27" s="373"/>
      <c r="F27" s="353"/>
      <c r="G27" s="353"/>
      <c r="H27" s="353"/>
      <c r="I27" s="246"/>
      <c r="J27" s="297"/>
    </row>
    <row r="28" spans="1:10" s="289" customFormat="1" ht="15" customHeight="1">
      <c r="A28" s="64" t="str">
        <f>A$27 &amp; ".01"</f>
        <v>01.04.01.01</v>
      </c>
      <c r="B28" s="64" t="s">
        <v>107</v>
      </c>
      <c r="C28" s="196"/>
      <c r="D28" s="271"/>
      <c r="E28" s="364"/>
      <c r="F28" s="246"/>
      <c r="G28" s="246"/>
      <c r="H28" s="246"/>
      <c r="I28" s="246"/>
      <c r="J28" s="359"/>
    </row>
    <row r="29" spans="1:10" s="289" customFormat="1" ht="15" customHeight="1">
      <c r="A29" s="372"/>
      <c r="B29" s="371"/>
      <c r="C29" s="196"/>
      <c r="D29" s="271"/>
      <c r="E29" s="364"/>
      <c r="F29" s="246"/>
      <c r="G29" s="246"/>
      <c r="H29" s="246"/>
      <c r="I29" s="246"/>
      <c r="J29" s="359"/>
    </row>
    <row r="30" spans="1:10" s="289" customFormat="1" ht="15" customHeight="1">
      <c r="A30" s="303" t="str">
        <f>A$28 &amp; ".01"</f>
        <v>01.04.01.01.01</v>
      </c>
      <c r="B30" s="369" t="s">
        <v>493</v>
      </c>
      <c r="C30" s="278" t="s">
        <v>55</v>
      </c>
      <c r="D30" s="271"/>
      <c r="E30" s="271"/>
      <c r="F30" s="271"/>
      <c r="G30" s="271"/>
      <c r="H30" s="336"/>
      <c r="I30" s="339">
        <f>+SUM(H31:H31)</f>
        <v>47.88</v>
      </c>
      <c r="J30" s="290"/>
    </row>
    <row r="31" spans="1:10" s="289" customFormat="1" ht="15" customHeight="1">
      <c r="A31" s="303"/>
      <c r="B31" s="367"/>
      <c r="C31" s="278"/>
      <c r="D31" s="271">
        <v>1</v>
      </c>
      <c r="E31" s="103">
        <v>7.6</v>
      </c>
      <c r="F31" s="103">
        <v>6.3</v>
      </c>
      <c r="G31" s="271"/>
      <c r="H31" s="336">
        <f>+ROUND(PRODUCT(D31:G31),2)</f>
        <v>47.88</v>
      </c>
      <c r="I31" s="339"/>
      <c r="J31" s="290"/>
    </row>
    <row r="32" spans="1:10" s="289" customFormat="1" ht="15" customHeight="1">
      <c r="A32" s="303"/>
      <c r="B32" s="367"/>
      <c r="C32" s="278"/>
      <c r="D32" s="271"/>
      <c r="E32" s="271"/>
      <c r="F32" s="271"/>
      <c r="G32" s="271"/>
      <c r="H32" s="336"/>
      <c r="I32" s="339"/>
      <c r="J32" s="290"/>
    </row>
    <row r="33" spans="1:10" s="289" customFormat="1" ht="15" customHeight="1">
      <c r="A33" s="303" t="str">
        <f>A$28 &amp; ".02"</f>
        <v>01.04.01.01.02</v>
      </c>
      <c r="B33" s="367" t="s">
        <v>492</v>
      </c>
      <c r="C33" s="278" t="s">
        <v>55</v>
      </c>
      <c r="D33" s="271"/>
      <c r="E33" s="271"/>
      <c r="F33" s="271"/>
      <c r="G33" s="271"/>
      <c r="H33" s="336"/>
      <c r="I33" s="339">
        <f>+SUM(H34:H34)</f>
        <v>47.88</v>
      </c>
      <c r="J33" s="290"/>
    </row>
    <row r="34" spans="1:10" s="289" customFormat="1" ht="15" customHeight="1">
      <c r="A34" s="303"/>
      <c r="B34" s="367"/>
      <c r="C34" s="278"/>
      <c r="D34" s="271">
        <v>1</v>
      </c>
      <c r="E34" s="271">
        <f>+E31</f>
        <v>7.6</v>
      </c>
      <c r="F34" s="271">
        <f>+F31</f>
        <v>6.3</v>
      </c>
      <c r="G34" s="271"/>
      <c r="H34" s="336">
        <f>+ROUND(PRODUCT(D34:G34),2)</f>
        <v>47.88</v>
      </c>
      <c r="I34" s="339"/>
      <c r="J34" s="290"/>
    </row>
    <row r="35" spans="1:10" s="289" customFormat="1" ht="15" customHeight="1">
      <c r="A35" s="303"/>
      <c r="B35" s="367"/>
      <c r="C35" s="278"/>
      <c r="D35" s="271"/>
      <c r="E35" s="271"/>
      <c r="F35" s="271"/>
      <c r="G35" s="271"/>
      <c r="H35" s="336"/>
      <c r="I35" s="339"/>
      <c r="J35" s="290"/>
    </row>
    <row r="36" spans="1:10" s="289" customFormat="1" ht="15" customHeight="1">
      <c r="A36" s="303" t="str">
        <f>A$28 &amp; ".03"</f>
        <v>01.04.01.01.03</v>
      </c>
      <c r="B36" s="367" t="s">
        <v>247</v>
      </c>
      <c r="C36" s="278" t="s">
        <v>55</v>
      </c>
      <c r="D36" s="271"/>
      <c r="E36" s="271"/>
      <c r="F36" s="271"/>
      <c r="G36" s="271"/>
      <c r="H36" s="336"/>
      <c r="I36" s="339">
        <f>SUM(H37:H39)</f>
        <v>22.89</v>
      </c>
      <c r="J36" s="290"/>
    </row>
    <row r="37" spans="1:10" s="289" customFormat="1" ht="15" customHeight="1">
      <c r="A37" s="303"/>
      <c r="B37" s="370" t="s">
        <v>241</v>
      </c>
      <c r="C37" s="278"/>
      <c r="D37" s="271">
        <v>1</v>
      </c>
      <c r="E37" s="271">
        <v>2.8</v>
      </c>
      <c r="F37" s="271">
        <v>2.8</v>
      </c>
      <c r="G37" s="271"/>
      <c r="H37" s="336">
        <f>+ROUND(PRODUCT(D37:G37),2)</f>
        <v>7.84</v>
      </c>
      <c r="I37" s="339"/>
      <c r="J37" s="290"/>
    </row>
    <row r="38" spans="1:10" s="289" customFormat="1" ht="15" customHeight="1">
      <c r="A38" s="303"/>
      <c r="B38" s="370" t="s">
        <v>489</v>
      </c>
      <c r="C38" s="278"/>
      <c r="D38" s="271">
        <v>1</v>
      </c>
      <c r="E38" s="271">
        <v>1.6</v>
      </c>
      <c r="F38" s="271">
        <v>1.4</v>
      </c>
      <c r="G38" s="271"/>
      <c r="H38" s="336">
        <f>+ROUND(PRODUCT(D38:G38),2)</f>
        <v>2.2400000000000002</v>
      </c>
      <c r="I38" s="339"/>
      <c r="J38" s="290"/>
    </row>
    <row r="39" spans="1:10" s="289" customFormat="1" ht="15" customHeight="1">
      <c r="A39" s="303"/>
      <c r="B39" s="370" t="s">
        <v>359</v>
      </c>
      <c r="C39" s="278"/>
      <c r="D39" s="271">
        <v>1</v>
      </c>
      <c r="E39" s="271" t="s">
        <v>61</v>
      </c>
      <c r="F39" s="271">
        <v>12.81</v>
      </c>
      <c r="G39" s="271"/>
      <c r="H39" s="336">
        <f>+ROUND(PRODUCT(D39:G39),2)</f>
        <v>12.81</v>
      </c>
      <c r="I39" s="339"/>
      <c r="J39" s="290"/>
    </row>
    <row r="40" spans="1:10" s="289" customFormat="1" ht="15" customHeight="1">
      <c r="A40" s="303"/>
      <c r="B40" s="367"/>
      <c r="C40" s="278"/>
      <c r="D40" s="271"/>
      <c r="E40" s="271"/>
      <c r="F40" s="271"/>
      <c r="G40" s="271"/>
      <c r="H40" s="336"/>
      <c r="I40" s="339"/>
      <c r="J40" s="290"/>
    </row>
    <row r="41" spans="1:10" s="289" customFormat="1" ht="15" customHeight="1">
      <c r="A41" s="64" t="str">
        <f>A$27 &amp; ".02"</f>
        <v>01.04.01.02</v>
      </c>
      <c r="B41" s="64" t="s">
        <v>101</v>
      </c>
      <c r="C41" s="278"/>
      <c r="D41" s="271"/>
      <c r="E41" s="271"/>
      <c r="F41" s="271"/>
      <c r="G41" s="271"/>
      <c r="H41" s="336"/>
      <c r="I41" s="339"/>
      <c r="J41" s="290"/>
    </row>
    <row r="42" spans="1:10" s="289" customFormat="1" ht="15" customHeight="1">
      <c r="A42" s="303"/>
      <c r="B42" s="367"/>
      <c r="C42" s="278"/>
      <c r="D42" s="271"/>
      <c r="E42" s="271"/>
      <c r="F42" s="271"/>
      <c r="G42" s="271"/>
      <c r="H42" s="336"/>
      <c r="I42" s="339"/>
      <c r="J42" s="290"/>
    </row>
    <row r="43" spans="1:10" s="289" customFormat="1" ht="15" customHeight="1">
      <c r="A43" s="303" t="str">
        <f>A41&amp; ".01"</f>
        <v>01.04.01.02.01</v>
      </c>
      <c r="B43" s="369" t="s">
        <v>246</v>
      </c>
      <c r="C43" s="20" t="s">
        <v>93</v>
      </c>
      <c r="D43" s="103"/>
      <c r="E43" s="103"/>
      <c r="F43" s="103"/>
      <c r="G43" s="103"/>
      <c r="H43" s="349"/>
      <c r="I43" s="339">
        <f>+SUM(H44:H44)</f>
        <v>13.37</v>
      </c>
      <c r="J43" s="297"/>
    </row>
    <row r="44" spans="1:10" s="289" customFormat="1" ht="15" customHeight="1">
      <c r="A44" s="303"/>
      <c r="B44" s="368" t="s">
        <v>491</v>
      </c>
      <c r="C44" s="20"/>
      <c r="D44" s="103">
        <v>1</v>
      </c>
      <c r="E44" s="103"/>
      <c r="F44" s="103"/>
      <c r="G44" s="103" t="s">
        <v>236</v>
      </c>
      <c r="H44" s="349">
        <v>13.37</v>
      </c>
      <c r="I44" s="339"/>
      <c r="J44" s="297"/>
    </row>
    <row r="45" spans="1:10" s="289" customFormat="1" ht="15" customHeight="1">
      <c r="A45" s="303"/>
      <c r="B45" s="367"/>
      <c r="C45" s="278"/>
      <c r="D45" s="271"/>
      <c r="E45" s="271"/>
      <c r="F45" s="271"/>
      <c r="G45" s="271"/>
      <c r="H45" s="336"/>
      <c r="I45" s="339"/>
      <c r="J45" s="297"/>
    </row>
    <row r="46" spans="1:10" s="289" customFormat="1" ht="15" customHeight="1">
      <c r="A46" s="303" t="str">
        <f>A41&amp; ".02"</f>
        <v>01.04.01.02.02</v>
      </c>
      <c r="B46" s="367" t="s">
        <v>490</v>
      </c>
      <c r="C46" s="278" t="s">
        <v>55</v>
      </c>
      <c r="D46" s="271"/>
      <c r="E46" s="271"/>
      <c r="F46" s="271"/>
      <c r="G46" s="271"/>
      <c r="H46" s="336"/>
      <c r="I46" s="339">
        <f>+SUM(H47:H49)</f>
        <v>22.89</v>
      </c>
      <c r="J46" s="297"/>
    </row>
    <row r="47" spans="1:10" s="289" customFormat="1" ht="15" customHeight="1">
      <c r="A47" s="303"/>
      <c r="B47" s="370" t="s">
        <v>241</v>
      </c>
      <c r="C47" s="278"/>
      <c r="D47" s="271">
        <v>1</v>
      </c>
      <c r="E47" s="271">
        <v>2.8</v>
      </c>
      <c r="F47" s="271">
        <v>2.8</v>
      </c>
      <c r="G47" s="271"/>
      <c r="H47" s="336">
        <f>+ROUND(PRODUCT(D47:G47),2)</f>
        <v>7.84</v>
      </c>
      <c r="I47" s="339"/>
      <c r="J47" s="297"/>
    </row>
    <row r="48" spans="1:10" s="289" customFormat="1" ht="15" customHeight="1">
      <c r="A48" s="303"/>
      <c r="B48" s="370" t="s">
        <v>489</v>
      </c>
      <c r="C48" s="278"/>
      <c r="D48" s="271">
        <v>1</v>
      </c>
      <c r="E48" s="271">
        <v>1.6</v>
      </c>
      <c r="F48" s="271">
        <v>1.4</v>
      </c>
      <c r="G48" s="271"/>
      <c r="H48" s="336">
        <f>+ROUND(PRODUCT(D48:G48),2)</f>
        <v>2.2400000000000002</v>
      </c>
      <c r="I48" s="339"/>
      <c r="J48" s="297"/>
    </row>
    <row r="49" spans="1:10" s="289" customFormat="1" ht="15" customHeight="1">
      <c r="A49" s="303"/>
      <c r="B49" s="370" t="s">
        <v>359</v>
      </c>
      <c r="C49" s="278"/>
      <c r="D49" s="271">
        <v>1</v>
      </c>
      <c r="E49" s="271" t="s">
        <v>61</v>
      </c>
      <c r="F49" s="271">
        <v>12.81</v>
      </c>
      <c r="G49" s="271"/>
      <c r="H49" s="336">
        <f>+ROUND(PRODUCT(D49:G49),2)</f>
        <v>12.81</v>
      </c>
      <c r="I49" s="339"/>
      <c r="J49" s="297"/>
    </row>
    <row r="50" spans="1:10" s="289" customFormat="1" ht="15" customHeight="1">
      <c r="A50" s="303"/>
      <c r="B50" s="367"/>
      <c r="C50" s="278"/>
      <c r="D50" s="271"/>
      <c r="E50" s="271"/>
      <c r="F50" s="271"/>
      <c r="G50" s="271"/>
      <c r="H50" s="336"/>
      <c r="I50" s="339"/>
      <c r="J50" s="297"/>
    </row>
    <row r="51" spans="1:10" s="289" customFormat="1" ht="15" customHeight="1">
      <c r="A51" s="303" t="str">
        <f>A41&amp; ".03"</f>
        <v>01.04.01.02.03</v>
      </c>
      <c r="B51" s="369" t="s">
        <v>240</v>
      </c>
      <c r="C51" s="20" t="s">
        <v>93</v>
      </c>
      <c r="D51" s="103"/>
      <c r="E51" s="103"/>
      <c r="F51" s="103"/>
      <c r="G51" s="103"/>
      <c r="H51" s="349"/>
      <c r="I51" s="339">
        <f>+SUM(H52)</f>
        <v>2.57</v>
      </c>
      <c r="J51" s="297"/>
    </row>
    <row r="52" spans="1:10" s="289" customFormat="1" ht="15" customHeight="1">
      <c r="A52" s="303"/>
      <c r="B52" s="368" t="s">
        <v>488</v>
      </c>
      <c r="C52" s="20"/>
      <c r="D52" s="103">
        <v>1</v>
      </c>
      <c r="E52" s="103"/>
      <c r="F52" s="103"/>
      <c r="G52" s="103" t="s">
        <v>236</v>
      </c>
      <c r="H52" s="349">
        <v>2.57</v>
      </c>
      <c r="I52" s="339"/>
      <c r="J52" s="297"/>
    </row>
    <row r="53" spans="1:10" s="289" customFormat="1" ht="15" customHeight="1">
      <c r="A53" s="303"/>
      <c r="B53" s="367"/>
      <c r="C53" s="278"/>
      <c r="D53" s="271"/>
      <c r="E53" s="271"/>
      <c r="F53" s="365"/>
      <c r="G53" s="271"/>
      <c r="H53" s="336"/>
      <c r="I53" s="339"/>
      <c r="J53" s="297"/>
    </row>
    <row r="54" spans="1:10" s="289" customFormat="1" ht="15" customHeight="1">
      <c r="A54" s="303" t="str">
        <f>A41&amp; ".04"</f>
        <v>01.04.01.02.04</v>
      </c>
      <c r="B54" s="367" t="s">
        <v>487</v>
      </c>
      <c r="C54" s="278" t="s">
        <v>93</v>
      </c>
      <c r="D54" s="271"/>
      <c r="E54" s="271"/>
      <c r="F54" s="271"/>
      <c r="G54" s="271"/>
      <c r="H54" s="336"/>
      <c r="I54" s="339">
        <f>+SUM(H55:H56)</f>
        <v>13.079999999999998</v>
      </c>
      <c r="J54" s="297"/>
    </row>
    <row r="55" spans="1:10" s="289" customFormat="1" ht="15" customHeight="1">
      <c r="A55" s="303"/>
      <c r="B55" s="366" t="s">
        <v>238</v>
      </c>
      <c r="C55" s="278"/>
      <c r="D55" s="271">
        <v>1</v>
      </c>
      <c r="E55" s="271"/>
      <c r="F55" s="271">
        <v>1.2</v>
      </c>
      <c r="G55" s="271">
        <f>+I43</f>
        <v>13.37</v>
      </c>
      <c r="H55" s="336">
        <f>+ROUND(PRODUCT(D55:G55),2)</f>
        <v>16.04</v>
      </c>
      <c r="I55" s="339"/>
      <c r="J55" s="297"/>
    </row>
    <row r="56" spans="1:10" s="289" customFormat="1" ht="15" customHeight="1">
      <c r="A56" s="303"/>
      <c r="B56" s="366" t="s">
        <v>486</v>
      </c>
      <c r="C56" s="278"/>
      <c r="D56" s="271">
        <v>-1</v>
      </c>
      <c r="E56" s="271"/>
      <c r="F56" s="365">
        <v>1.1499999999999999</v>
      </c>
      <c r="G56" s="271">
        <f>+I51</f>
        <v>2.57</v>
      </c>
      <c r="H56" s="336">
        <f>+ROUND(PRODUCT(D56:G56),2)</f>
        <v>-2.96</v>
      </c>
      <c r="I56" s="339"/>
      <c r="J56" s="297"/>
    </row>
    <row r="57" spans="1:10" s="289" customFormat="1" ht="15" customHeight="1">
      <c r="A57" s="303"/>
      <c r="B57" s="366"/>
      <c r="C57" s="278"/>
      <c r="D57" s="271"/>
      <c r="E57" s="271"/>
      <c r="F57" s="365"/>
      <c r="G57" s="271"/>
      <c r="H57" s="336"/>
      <c r="I57" s="339"/>
      <c r="J57" s="297"/>
    </row>
    <row r="58" spans="1:10" s="289" customFormat="1" ht="15" customHeight="1">
      <c r="A58" s="81" t="str">
        <f>A$26 &amp; ".02"</f>
        <v>01.04.02</v>
      </c>
      <c r="B58" s="81" t="s">
        <v>485</v>
      </c>
      <c r="C58" s="278"/>
      <c r="D58" s="271"/>
      <c r="E58" s="271"/>
      <c r="F58" s="365"/>
      <c r="G58" s="271"/>
      <c r="H58" s="336"/>
      <c r="I58" s="339"/>
      <c r="J58" s="297"/>
    </row>
    <row r="59" spans="1:10" s="337" customFormat="1" ht="15" customHeight="1">
      <c r="A59" s="294" t="str">
        <f>A$58&amp; ".01"</f>
        <v>01.04.02.01</v>
      </c>
      <c r="B59" s="293" t="s">
        <v>95</v>
      </c>
      <c r="C59" s="188"/>
      <c r="D59" s="271"/>
      <c r="E59" s="354"/>
      <c r="F59" s="353"/>
      <c r="G59" s="353"/>
      <c r="H59" s="353"/>
      <c r="I59" s="364"/>
      <c r="J59" s="338"/>
    </row>
    <row r="60" spans="1:10" s="289" customFormat="1" ht="15" customHeight="1">
      <c r="A60" s="303" t="str">
        <f>A$59&amp; ".01"</f>
        <v>01.04.02.01.01</v>
      </c>
      <c r="B60" s="282" t="s">
        <v>484</v>
      </c>
      <c r="C60" s="278" t="s">
        <v>55</v>
      </c>
      <c r="D60" s="271"/>
      <c r="E60" s="271"/>
      <c r="F60" s="271"/>
      <c r="G60" s="271"/>
      <c r="H60" s="336"/>
      <c r="I60" s="339">
        <f>+SUM(H61:H61)</f>
        <v>7.839999999999999</v>
      </c>
      <c r="J60" s="363"/>
    </row>
    <row r="61" spans="1:10" s="289" customFormat="1" ht="15" customHeight="1">
      <c r="A61" s="303"/>
      <c r="B61" s="352" t="s">
        <v>478</v>
      </c>
      <c r="C61" s="278"/>
      <c r="D61" s="271">
        <v>1</v>
      </c>
      <c r="E61" s="271">
        <v>2.8</v>
      </c>
      <c r="F61" s="271">
        <v>2.8</v>
      </c>
      <c r="G61" s="271"/>
      <c r="H61" s="336">
        <f>+PRODUCT(D61:G61)</f>
        <v>7.839999999999999</v>
      </c>
      <c r="I61" s="339"/>
      <c r="J61" s="290"/>
    </row>
    <row r="62" spans="1:10" s="289" customFormat="1" ht="15" customHeight="1">
      <c r="A62" s="303"/>
      <c r="B62" s="352"/>
      <c r="C62" s="278"/>
      <c r="D62" s="271"/>
      <c r="E62" s="271"/>
      <c r="F62" s="271"/>
      <c r="G62" s="271"/>
      <c r="H62" s="336"/>
      <c r="I62" s="339"/>
      <c r="J62" s="290"/>
    </row>
    <row r="63" spans="1:10" s="289" customFormat="1" ht="15" customHeight="1">
      <c r="A63" s="294" t="str">
        <f>A$58&amp; ".02"</f>
        <v>01.04.02.02</v>
      </c>
      <c r="B63" s="274" t="s">
        <v>467</v>
      </c>
      <c r="C63" s="188"/>
      <c r="D63" s="271"/>
      <c r="E63" s="354"/>
      <c r="F63" s="353"/>
      <c r="G63" s="353"/>
      <c r="H63" s="353"/>
      <c r="I63" s="364"/>
      <c r="J63" s="290"/>
    </row>
    <row r="64" spans="1:10" s="289" customFormat="1" ht="15" customHeight="1">
      <c r="A64" s="303" t="str">
        <f>A$63&amp; ".01"</f>
        <v>01.04.02.02.01</v>
      </c>
      <c r="B64" s="842" t="s">
        <v>1041</v>
      </c>
      <c r="C64" s="278" t="s">
        <v>93</v>
      </c>
      <c r="D64" s="271"/>
      <c r="E64" s="271"/>
      <c r="F64" s="271"/>
      <c r="G64" s="271"/>
      <c r="H64" s="271"/>
      <c r="I64" s="339">
        <f>+SUM(H65:H79)</f>
        <v>2.2399999999999998</v>
      </c>
      <c r="J64" s="363"/>
    </row>
    <row r="65" spans="1:10" s="289" customFormat="1" ht="15" customHeight="1">
      <c r="A65" s="362"/>
      <c r="B65" s="351" t="s">
        <v>483</v>
      </c>
      <c r="C65" s="278"/>
      <c r="D65" s="271">
        <v>1</v>
      </c>
      <c r="E65" s="271">
        <v>11.2</v>
      </c>
      <c r="F65" s="271">
        <v>0.5</v>
      </c>
      <c r="G65" s="271">
        <v>0.25</v>
      </c>
      <c r="H65" s="336">
        <f>+PRODUCT(D65:G65)</f>
        <v>1.4</v>
      </c>
      <c r="I65" s="358"/>
      <c r="J65" s="290"/>
    </row>
    <row r="66" spans="1:10" s="289" customFormat="1" ht="15" customHeight="1">
      <c r="A66" s="362"/>
      <c r="B66" s="361"/>
      <c r="C66" s="278"/>
      <c r="D66" s="271"/>
      <c r="E66" s="271"/>
      <c r="F66" s="271"/>
      <c r="G66" s="271"/>
      <c r="H66" s="336"/>
      <c r="I66" s="358"/>
      <c r="J66" s="290"/>
    </row>
    <row r="67" spans="1:10" s="289" customFormat="1" ht="15" customHeight="1">
      <c r="A67" s="362"/>
      <c r="B67" s="361"/>
      <c r="C67" s="278"/>
      <c r="D67" s="271"/>
      <c r="E67" s="271"/>
      <c r="F67" s="271"/>
      <c r="G67" s="271"/>
      <c r="H67" s="336"/>
      <c r="I67" s="358"/>
      <c r="J67" s="290"/>
    </row>
    <row r="68" spans="1:10" s="289" customFormat="1" ht="15" customHeight="1">
      <c r="A68" s="362"/>
      <c r="B68" s="361"/>
      <c r="C68" s="278"/>
      <c r="D68" s="271"/>
      <c r="E68" s="271"/>
      <c r="F68" s="271"/>
      <c r="G68" s="271"/>
      <c r="H68" s="336"/>
      <c r="I68" s="358"/>
      <c r="J68" s="290"/>
    </row>
    <row r="69" spans="1:10" s="289" customFormat="1" ht="15" customHeight="1">
      <c r="A69" s="362"/>
      <c r="B69" s="361"/>
      <c r="C69" s="278"/>
      <c r="D69" s="271"/>
      <c r="E69" s="271"/>
      <c r="F69" s="271"/>
      <c r="G69" s="271"/>
      <c r="H69" s="336"/>
      <c r="I69" s="358"/>
      <c r="J69" s="290"/>
    </row>
    <row r="70" spans="1:10" s="289" customFormat="1" ht="15" customHeight="1">
      <c r="A70" s="362"/>
      <c r="B70" s="351" t="s">
        <v>482</v>
      </c>
      <c r="C70" s="278"/>
      <c r="D70" s="271"/>
      <c r="E70" s="271"/>
      <c r="F70" s="271"/>
      <c r="G70" s="271"/>
      <c r="H70" s="336"/>
      <c r="I70" s="358"/>
      <c r="J70" s="290"/>
    </row>
    <row r="71" spans="1:10" s="289" customFormat="1" ht="15" customHeight="1">
      <c r="A71" s="362"/>
      <c r="B71" s="361"/>
      <c r="C71" s="278"/>
      <c r="D71" s="271">
        <v>1</v>
      </c>
      <c r="E71" s="271">
        <v>11.2</v>
      </c>
      <c r="F71" s="271">
        <v>0.1</v>
      </c>
      <c r="G71" s="271">
        <v>0.15</v>
      </c>
      <c r="H71" s="336">
        <f>+PRODUCT(D71:G71)</f>
        <v>0.16799999999999998</v>
      </c>
      <c r="I71" s="358"/>
      <c r="J71" s="290"/>
    </row>
    <row r="72" spans="1:10" s="289" customFormat="1" ht="15" customHeight="1">
      <c r="A72" s="362"/>
      <c r="B72" s="361"/>
      <c r="C72" s="278"/>
      <c r="D72" s="271"/>
      <c r="E72" s="271"/>
      <c r="G72" s="271"/>
      <c r="I72" s="358"/>
      <c r="J72" s="290"/>
    </row>
    <row r="73" spans="1:10" s="289" customFormat="1" ht="15" customHeight="1">
      <c r="A73" s="362"/>
      <c r="B73" s="361"/>
      <c r="C73" s="278"/>
      <c r="D73" s="271"/>
      <c r="E73" s="271"/>
      <c r="G73" s="271"/>
      <c r="I73" s="358"/>
      <c r="J73" s="290"/>
    </row>
    <row r="74" spans="1:10" s="289" customFormat="1" ht="15" customHeight="1">
      <c r="A74" s="362"/>
      <c r="B74" s="361"/>
      <c r="C74" s="278"/>
      <c r="D74" s="271"/>
      <c r="E74" s="271"/>
      <c r="F74" s="271"/>
      <c r="G74" s="271"/>
      <c r="H74" s="336"/>
      <c r="I74" s="358"/>
      <c r="J74" s="290"/>
    </row>
    <row r="75" spans="1:10" s="289" customFormat="1" ht="15" customHeight="1">
      <c r="A75" s="362"/>
      <c r="B75" s="351" t="s">
        <v>481</v>
      </c>
      <c r="C75" s="278"/>
      <c r="D75" s="271">
        <v>1</v>
      </c>
      <c r="E75" s="271">
        <v>2.8</v>
      </c>
      <c r="F75" s="271">
        <v>1.6</v>
      </c>
      <c r="G75" s="271">
        <v>0.15</v>
      </c>
      <c r="H75" s="336">
        <f>+PRODUCT(D75:G75)</f>
        <v>0.67199999999999993</v>
      </c>
      <c r="I75" s="358"/>
      <c r="J75" s="338"/>
    </row>
    <row r="76" spans="1:10" s="289" customFormat="1" ht="15" customHeight="1">
      <c r="A76" s="362"/>
      <c r="B76" s="361"/>
      <c r="C76" s="278"/>
      <c r="D76" s="271"/>
      <c r="E76" s="271"/>
      <c r="F76" s="271"/>
      <c r="G76" s="271"/>
      <c r="H76" s="336"/>
      <c r="I76" s="358"/>
      <c r="J76" s="338"/>
    </row>
    <row r="77" spans="1:10" s="289" customFormat="1" ht="15" customHeight="1">
      <c r="A77" s="362"/>
      <c r="B77" s="361"/>
      <c r="C77" s="278"/>
      <c r="D77" s="271"/>
      <c r="E77" s="271"/>
      <c r="F77" s="271"/>
      <c r="G77" s="271"/>
      <c r="H77" s="336"/>
      <c r="I77" s="358"/>
      <c r="J77" s="338"/>
    </row>
    <row r="78" spans="1:10" s="289" customFormat="1" ht="15" customHeight="1">
      <c r="A78" s="362"/>
      <c r="B78" s="361"/>
      <c r="C78" s="278"/>
      <c r="D78" s="271"/>
      <c r="E78" s="271"/>
      <c r="F78" s="271"/>
      <c r="G78" s="271"/>
      <c r="H78" s="336"/>
      <c r="I78" s="358"/>
      <c r="J78" s="338"/>
    </row>
    <row r="79" spans="1:10" s="289" customFormat="1" ht="15" customHeight="1">
      <c r="A79" s="362"/>
      <c r="B79" s="361"/>
      <c r="C79" s="278"/>
      <c r="D79" s="271"/>
      <c r="E79" s="271"/>
      <c r="F79" s="271"/>
      <c r="G79" s="271"/>
      <c r="H79" s="336"/>
      <c r="I79" s="358"/>
      <c r="J79" s="338"/>
    </row>
    <row r="80" spans="1:10" s="289" customFormat="1" ht="15" customHeight="1">
      <c r="A80" s="362"/>
      <c r="B80" s="361"/>
      <c r="C80" s="278"/>
      <c r="D80" s="271"/>
      <c r="E80" s="271"/>
      <c r="F80" s="271"/>
      <c r="G80" s="271"/>
      <c r="H80" s="336"/>
      <c r="I80" s="358"/>
      <c r="J80" s="338"/>
    </row>
    <row r="81" spans="1:10" s="289" customFormat="1" ht="15" customHeight="1">
      <c r="A81" s="303" t="str">
        <f>A$63&amp; ".02"</f>
        <v>01.04.02.02.02</v>
      </c>
      <c r="B81" s="842" t="s">
        <v>1042</v>
      </c>
      <c r="C81" s="278" t="s">
        <v>93</v>
      </c>
      <c r="D81" s="271"/>
      <c r="E81" s="271"/>
      <c r="F81" s="271"/>
      <c r="G81" s="271"/>
      <c r="H81" s="336"/>
      <c r="I81" s="358">
        <f>SUM(H82:H83)</f>
        <v>1.9035000000000002</v>
      </c>
      <c r="J81" s="338"/>
    </row>
    <row r="82" spans="1:10" s="289" customFormat="1" ht="15" customHeight="1">
      <c r="A82" s="296"/>
      <c r="B82" s="351" t="s">
        <v>215</v>
      </c>
      <c r="C82" s="278"/>
      <c r="D82" s="271">
        <v>2</v>
      </c>
      <c r="E82" s="271">
        <v>2.5</v>
      </c>
      <c r="F82" s="271">
        <v>0.15</v>
      </c>
      <c r="G82" s="271">
        <v>1.35</v>
      </c>
      <c r="H82" s="336">
        <f>+PRODUCT(D82:G82)</f>
        <v>1.0125000000000002</v>
      </c>
      <c r="I82" s="358"/>
      <c r="J82" s="338"/>
    </row>
    <row r="83" spans="1:10" s="289" customFormat="1" ht="15" customHeight="1">
      <c r="A83" s="296"/>
      <c r="B83" s="351" t="s">
        <v>480</v>
      </c>
      <c r="C83" s="278"/>
      <c r="D83" s="271">
        <v>2</v>
      </c>
      <c r="E83" s="271">
        <v>2.2000000000000002</v>
      </c>
      <c r="F83" s="271">
        <v>0.15</v>
      </c>
      <c r="G83" s="271">
        <v>1.35</v>
      </c>
      <c r="H83" s="336">
        <f>+PRODUCT(D83:G83)</f>
        <v>0.89100000000000013</v>
      </c>
      <c r="I83" s="358"/>
      <c r="J83" s="338"/>
    </row>
    <row r="84" spans="1:10" s="289" customFormat="1" ht="15" customHeight="1">
      <c r="A84" s="296"/>
      <c r="B84" s="351"/>
      <c r="C84" s="278"/>
      <c r="D84" s="271"/>
      <c r="E84" s="271"/>
      <c r="F84" s="271"/>
      <c r="G84" s="271"/>
      <c r="H84" s="336"/>
      <c r="I84" s="358"/>
      <c r="J84" s="338"/>
    </row>
    <row r="85" spans="1:10" s="289" customFormat="1" ht="15" customHeight="1">
      <c r="A85" s="303" t="str">
        <f>A$63&amp; ".03"</f>
        <v>01.04.02.02.03</v>
      </c>
      <c r="B85" s="842" t="s">
        <v>1043</v>
      </c>
      <c r="C85" s="278" t="s">
        <v>93</v>
      </c>
      <c r="D85" s="271"/>
      <c r="E85" s="271"/>
      <c r="F85" s="271"/>
      <c r="G85" s="271"/>
      <c r="H85" s="336"/>
      <c r="I85" s="358">
        <f>SUM(H86:H88)</f>
        <v>0.70100000000000007</v>
      </c>
      <c r="J85" s="338"/>
    </row>
    <row r="86" spans="1:10" s="289" customFormat="1" ht="15" customHeight="1">
      <c r="A86" s="296"/>
      <c r="B86" s="352" t="s">
        <v>464</v>
      </c>
      <c r="C86" s="278"/>
      <c r="D86" s="271">
        <v>1</v>
      </c>
      <c r="E86" s="271">
        <v>2.7</v>
      </c>
      <c r="F86" s="271">
        <v>2.7</v>
      </c>
      <c r="G86" s="271">
        <v>0.1</v>
      </c>
      <c r="H86" s="336">
        <f>+PRODUCT(D86:G86)</f>
        <v>0.72900000000000009</v>
      </c>
      <c r="I86" s="358"/>
      <c r="J86" s="338"/>
    </row>
    <row r="87" spans="1:10" s="289" customFormat="1" ht="15" customHeight="1">
      <c r="A87" s="296"/>
      <c r="B87" s="352" t="s">
        <v>141</v>
      </c>
      <c r="C87" s="278"/>
      <c r="D87" s="271">
        <v>-1</v>
      </c>
      <c r="E87" s="271">
        <v>0.6</v>
      </c>
      <c r="F87" s="271">
        <v>0.6</v>
      </c>
      <c r="G87" s="271">
        <v>0.1</v>
      </c>
      <c r="H87" s="336">
        <f>+PRODUCT(D87:G87)</f>
        <v>-3.5999999999999997E-2</v>
      </c>
      <c r="I87" s="358"/>
      <c r="J87" s="338"/>
    </row>
    <row r="88" spans="1:10" s="289" customFormat="1" ht="15" customHeight="1">
      <c r="A88" s="296"/>
      <c r="B88" s="352" t="s">
        <v>463</v>
      </c>
      <c r="C88" s="278"/>
      <c r="D88" s="271">
        <v>2</v>
      </c>
      <c r="E88" s="271">
        <v>0.8</v>
      </c>
      <c r="F88" s="271">
        <v>0.1</v>
      </c>
      <c r="G88" s="271">
        <v>0.05</v>
      </c>
      <c r="H88" s="336">
        <f>+PRODUCT(D88:G88)</f>
        <v>8.0000000000000019E-3</v>
      </c>
      <c r="I88" s="358"/>
      <c r="J88" s="338"/>
    </row>
    <row r="89" spans="1:10" s="289" customFormat="1" ht="15" customHeight="1">
      <c r="A89" s="296"/>
      <c r="B89" s="352"/>
      <c r="C89" s="278"/>
      <c r="D89" s="271"/>
      <c r="E89" s="271"/>
      <c r="F89" s="271"/>
      <c r="G89" s="271"/>
      <c r="H89" s="336"/>
      <c r="I89" s="358"/>
      <c r="J89" s="338"/>
    </row>
    <row r="90" spans="1:10" s="289" customFormat="1" ht="15" customHeight="1">
      <c r="A90" s="303" t="str">
        <f>A$63&amp; ".04"</f>
        <v>01.04.02.02.04</v>
      </c>
      <c r="B90" s="340" t="s">
        <v>462</v>
      </c>
      <c r="C90" s="278" t="s">
        <v>55</v>
      </c>
      <c r="D90" s="271"/>
      <c r="E90" s="271"/>
      <c r="F90" s="271"/>
      <c r="G90" s="271"/>
      <c r="H90" s="336"/>
      <c r="I90" s="339">
        <f>SUM(H91:H91)</f>
        <v>2.8</v>
      </c>
      <c r="J90" s="338"/>
    </row>
    <row r="91" spans="1:10" s="289" customFormat="1" ht="15" customHeight="1">
      <c r="A91" s="296"/>
      <c r="B91" s="351" t="s">
        <v>461</v>
      </c>
      <c r="C91" s="278"/>
      <c r="D91" s="271">
        <v>1</v>
      </c>
      <c r="E91" s="271">
        <v>11.2</v>
      </c>
      <c r="F91" s="271"/>
      <c r="G91" s="271">
        <v>0.25</v>
      </c>
      <c r="H91" s="336">
        <f>+PRODUCT(D91:G91)</f>
        <v>2.8</v>
      </c>
      <c r="I91" s="358"/>
      <c r="J91" s="338"/>
    </row>
    <row r="92" spans="1:10" s="289" customFormat="1" ht="15" customHeight="1">
      <c r="A92" s="296"/>
      <c r="B92" s="361"/>
      <c r="C92" s="278"/>
      <c r="D92" s="271"/>
      <c r="E92" s="271"/>
      <c r="F92" s="271"/>
      <c r="G92" s="271"/>
      <c r="H92" s="336"/>
      <c r="I92" s="358"/>
      <c r="J92" s="338"/>
    </row>
    <row r="93" spans="1:10" s="289" customFormat="1" ht="15" customHeight="1">
      <c r="A93" s="303" t="str">
        <f>A$63&amp; ".05"</f>
        <v>01.04.02.02.05</v>
      </c>
      <c r="B93" s="340" t="s">
        <v>205</v>
      </c>
      <c r="C93" s="278" t="s">
        <v>55</v>
      </c>
      <c r="D93" s="271"/>
      <c r="E93" s="271"/>
      <c r="F93" s="271"/>
      <c r="G93" s="271"/>
      <c r="H93" s="336"/>
      <c r="I93" s="339">
        <f>SUM(H94:H95)</f>
        <v>25.380000000000003</v>
      </c>
      <c r="J93" s="338"/>
    </row>
    <row r="94" spans="1:10" s="289" customFormat="1" ht="15" customHeight="1">
      <c r="A94" s="296"/>
      <c r="B94" s="351" t="s">
        <v>453</v>
      </c>
      <c r="C94" s="278"/>
      <c r="D94" s="271">
        <v>4</v>
      </c>
      <c r="E94" s="271">
        <v>2.2000000000000002</v>
      </c>
      <c r="F94" s="271"/>
      <c r="G94" s="271">
        <v>1.35</v>
      </c>
      <c r="H94" s="336">
        <f>+PRODUCT(D94:G94)</f>
        <v>11.880000000000003</v>
      </c>
      <c r="I94" s="358"/>
      <c r="J94" s="338"/>
    </row>
    <row r="95" spans="1:10" s="289" customFormat="1" ht="15" customHeight="1">
      <c r="A95" s="296"/>
      <c r="B95" s="351" t="s">
        <v>140</v>
      </c>
      <c r="C95" s="278"/>
      <c r="D95" s="271">
        <v>4</v>
      </c>
      <c r="E95" s="271">
        <v>2.5</v>
      </c>
      <c r="F95" s="271"/>
      <c r="G95" s="271">
        <v>1.35</v>
      </c>
      <c r="H95" s="336">
        <f>+PRODUCT(D95:G95)</f>
        <v>13.5</v>
      </c>
      <c r="I95" s="358"/>
      <c r="J95" s="338"/>
    </row>
    <row r="96" spans="1:10" s="289" customFormat="1" ht="15" customHeight="1">
      <c r="A96" s="296"/>
      <c r="B96" s="352"/>
      <c r="C96" s="278"/>
      <c r="D96" s="271"/>
      <c r="E96" s="271"/>
      <c r="F96" s="271"/>
      <c r="G96" s="271"/>
      <c r="H96" s="336"/>
      <c r="I96" s="358"/>
      <c r="J96" s="338"/>
    </row>
    <row r="97" spans="1:10" s="289" customFormat="1" ht="15" customHeight="1">
      <c r="A97" s="303" t="str">
        <f>A$63&amp; ".06"</f>
        <v>01.04.02.02.06</v>
      </c>
      <c r="B97" s="340" t="s">
        <v>460</v>
      </c>
      <c r="C97" s="278" t="s">
        <v>55</v>
      </c>
      <c r="D97" s="271"/>
      <c r="E97" s="271"/>
      <c r="F97" s="271"/>
      <c r="G97" s="271"/>
      <c r="H97" s="336"/>
      <c r="I97" s="339">
        <f>SUM(H98:H104)</f>
        <v>7.120000000000001</v>
      </c>
      <c r="J97" s="338"/>
    </row>
    <row r="98" spans="1:10" s="289" customFormat="1" ht="15" customHeight="1">
      <c r="A98" s="303"/>
      <c r="B98" s="295" t="s">
        <v>459</v>
      </c>
      <c r="C98" s="278"/>
      <c r="D98" s="271">
        <v>1</v>
      </c>
      <c r="E98" s="271">
        <v>2.2000000000000002</v>
      </c>
      <c r="F98" s="271">
        <v>2.2000000000000002</v>
      </c>
      <c r="G98" s="350"/>
      <c r="H98" s="336">
        <f t="shared" ref="H98:H104" si="0">+PRODUCT(D98:G98)</f>
        <v>4.8400000000000007</v>
      </c>
      <c r="I98" s="358"/>
      <c r="J98" s="338"/>
    </row>
    <row r="99" spans="1:10" s="289" customFormat="1" ht="15" customHeight="1">
      <c r="A99" s="303"/>
      <c r="B99" s="295" t="s">
        <v>479</v>
      </c>
      <c r="C99" s="278"/>
      <c r="D99" s="271">
        <v>2</v>
      </c>
      <c r="E99" s="271">
        <v>2.7</v>
      </c>
      <c r="F99" s="271">
        <v>0.1</v>
      </c>
      <c r="G99" s="350"/>
      <c r="H99" s="336">
        <f t="shared" si="0"/>
        <v>0.54</v>
      </c>
      <c r="I99" s="358"/>
      <c r="J99" s="338"/>
    </row>
    <row r="100" spans="1:10" s="289" customFormat="1" ht="15" customHeight="1">
      <c r="A100" s="303"/>
      <c r="B100" s="340"/>
      <c r="C100" s="278"/>
      <c r="D100" s="271">
        <v>2</v>
      </c>
      <c r="E100" s="271">
        <v>2.5</v>
      </c>
      <c r="F100" s="271">
        <v>0.1</v>
      </c>
      <c r="G100" s="350"/>
      <c r="H100" s="336">
        <f t="shared" si="0"/>
        <v>0.5</v>
      </c>
      <c r="I100" s="358"/>
      <c r="J100" s="338"/>
    </row>
    <row r="101" spans="1:10" s="289" customFormat="1" ht="15" customHeight="1">
      <c r="A101" s="303"/>
      <c r="B101" s="295" t="s">
        <v>141</v>
      </c>
      <c r="C101" s="278"/>
      <c r="D101" s="271">
        <v>-1</v>
      </c>
      <c r="E101" s="271">
        <v>0.6</v>
      </c>
      <c r="F101" s="271">
        <v>0.6</v>
      </c>
      <c r="G101" s="350"/>
      <c r="H101" s="336">
        <f t="shared" si="0"/>
        <v>-0.36</v>
      </c>
      <c r="I101" s="358"/>
      <c r="J101" s="338"/>
    </row>
    <row r="102" spans="1:10" s="289" customFormat="1" ht="15" customHeight="1">
      <c r="A102" s="303"/>
      <c r="B102" s="295" t="s">
        <v>451</v>
      </c>
      <c r="C102" s="278"/>
      <c r="D102" s="271">
        <v>4</v>
      </c>
      <c r="E102" s="271">
        <v>0.6</v>
      </c>
      <c r="F102" s="271"/>
      <c r="G102" s="350">
        <v>0.15</v>
      </c>
      <c r="H102" s="336">
        <f t="shared" si="0"/>
        <v>0.36</v>
      </c>
      <c r="I102" s="358"/>
      <c r="J102" s="338"/>
    </row>
    <row r="103" spans="1:10" s="289" customFormat="1" ht="15" customHeight="1">
      <c r="A103" s="303"/>
      <c r="B103" s="295" t="s">
        <v>447</v>
      </c>
      <c r="C103" s="278"/>
      <c r="D103" s="271">
        <v>4</v>
      </c>
      <c r="E103" s="271">
        <v>0.8</v>
      </c>
      <c r="F103" s="271"/>
      <c r="G103" s="350">
        <v>0.05</v>
      </c>
      <c r="H103" s="336">
        <f t="shared" si="0"/>
        <v>0.16000000000000003</v>
      </c>
      <c r="I103" s="358"/>
      <c r="J103" s="338"/>
    </row>
    <row r="104" spans="1:10" s="289" customFormat="1" ht="15" customHeight="1">
      <c r="A104" s="303"/>
      <c r="B104" s="295" t="s">
        <v>142</v>
      </c>
      <c r="C104" s="278"/>
      <c r="D104" s="271">
        <v>4</v>
      </c>
      <c r="E104" s="271">
        <v>2.7</v>
      </c>
      <c r="F104" s="271"/>
      <c r="G104" s="350">
        <v>0.1</v>
      </c>
      <c r="H104" s="336">
        <f t="shared" si="0"/>
        <v>1.08</v>
      </c>
      <c r="I104" s="358"/>
      <c r="J104" s="338"/>
    </row>
    <row r="105" spans="1:10" s="289" customFormat="1" ht="15" customHeight="1">
      <c r="A105" s="303"/>
      <c r="B105" s="295"/>
      <c r="C105" s="278"/>
      <c r="D105" s="271"/>
      <c r="E105" s="271"/>
      <c r="F105" s="271"/>
      <c r="G105" s="350"/>
      <c r="H105" s="336"/>
      <c r="I105" s="358"/>
      <c r="J105" s="338"/>
    </row>
    <row r="106" spans="1:10" s="289" customFormat="1" ht="15" customHeight="1">
      <c r="A106" s="303" t="str">
        <f>A$63&amp; ".07"</f>
        <v>01.04.02.02.07</v>
      </c>
      <c r="B106" s="842" t="s">
        <v>1044</v>
      </c>
      <c r="C106" s="278" t="s">
        <v>187</v>
      </c>
      <c r="D106" s="271"/>
      <c r="E106" s="271"/>
      <c r="F106" s="271"/>
      <c r="H106" s="271"/>
      <c r="I106" s="358">
        <f>SUM(H107:H107)</f>
        <v>331.52</v>
      </c>
      <c r="J106" s="338"/>
    </row>
    <row r="107" spans="1:10" s="289" customFormat="1" ht="15" customHeight="1">
      <c r="A107" s="303"/>
      <c r="B107" s="295" t="s">
        <v>185</v>
      </c>
      <c r="C107" s="20"/>
      <c r="D107" s="103">
        <v>1</v>
      </c>
      <c r="E107" s="103"/>
      <c r="F107" s="103"/>
      <c r="H107" s="103">
        <v>331.52</v>
      </c>
      <c r="I107" s="358"/>
      <c r="J107" s="338"/>
    </row>
    <row r="108" spans="1:10" s="289" customFormat="1" ht="15" customHeight="1">
      <c r="A108" s="303"/>
      <c r="B108" s="65"/>
      <c r="C108" s="20"/>
      <c r="D108" s="103"/>
      <c r="E108" s="103"/>
      <c r="F108" s="103"/>
      <c r="G108" s="103"/>
      <c r="H108" s="280"/>
      <c r="I108" s="339"/>
      <c r="J108" s="338"/>
    </row>
    <row r="109" spans="1:10" s="289" customFormat="1" ht="15" customHeight="1">
      <c r="A109" s="294" t="str">
        <f>A$58&amp; ".03"</f>
        <v>01.04.02.03</v>
      </c>
      <c r="B109" s="293" t="s">
        <v>182</v>
      </c>
      <c r="C109" s="188"/>
      <c r="D109" s="360"/>
      <c r="E109" s="354"/>
      <c r="F109" s="353"/>
      <c r="G109" s="353"/>
      <c r="H109" s="336"/>
      <c r="I109" s="246"/>
      <c r="J109" s="359"/>
    </row>
    <row r="110" spans="1:10" s="289" customFormat="1" ht="15" customHeight="1">
      <c r="A110" s="303" t="str">
        <f>A$109&amp; ".01"</f>
        <v>01.04.02.03.01</v>
      </c>
      <c r="B110" s="842" t="s">
        <v>1045</v>
      </c>
      <c r="C110" s="278" t="s">
        <v>55</v>
      </c>
      <c r="D110" s="292"/>
      <c r="E110" s="271"/>
      <c r="F110" s="271"/>
      <c r="G110" s="271"/>
      <c r="H110" s="336"/>
      <c r="I110" s="339">
        <f>+SUM(H111:H115)</f>
        <v>21.56</v>
      </c>
      <c r="J110" s="297"/>
    </row>
    <row r="111" spans="1:10" s="289" customFormat="1" ht="15" customHeight="1">
      <c r="A111" s="303"/>
      <c r="B111" s="295" t="s">
        <v>453</v>
      </c>
      <c r="C111" s="278"/>
      <c r="D111" s="271">
        <v>4</v>
      </c>
      <c r="E111" s="271">
        <v>2.2000000000000002</v>
      </c>
      <c r="F111" s="271"/>
      <c r="G111" s="271">
        <v>1.35</v>
      </c>
      <c r="H111" s="336">
        <f>+ROUND(PRODUCT(D111:G111),2)</f>
        <v>11.88</v>
      </c>
      <c r="I111" s="339"/>
      <c r="J111" s="297"/>
    </row>
    <row r="112" spans="1:10" s="289" customFormat="1" ht="15" customHeight="1">
      <c r="A112" s="303"/>
      <c r="B112" s="295" t="s">
        <v>478</v>
      </c>
      <c r="C112" s="278"/>
      <c r="D112" s="271">
        <v>1</v>
      </c>
      <c r="E112" s="271">
        <v>2.2000000000000002</v>
      </c>
      <c r="F112" s="271">
        <v>2.2000000000000002</v>
      </c>
      <c r="G112" s="271"/>
      <c r="H112" s="336">
        <f>+ROUND(PRODUCT(D112:G112),2)</f>
        <v>4.84</v>
      </c>
      <c r="I112" s="339"/>
      <c r="J112" s="297"/>
    </row>
    <row r="113" spans="1:10" s="289" customFormat="1" ht="15" customHeight="1">
      <c r="A113" s="303"/>
      <c r="B113" s="295" t="s">
        <v>452</v>
      </c>
      <c r="C113" s="278"/>
      <c r="D113" s="271">
        <v>1</v>
      </c>
      <c r="E113" s="271">
        <v>2.2000000000000002</v>
      </c>
      <c r="F113" s="271">
        <v>2.2000000000000002</v>
      </c>
      <c r="G113" s="271"/>
      <c r="H113" s="336">
        <f>+ROUND(PRODUCT(D113:G113),2)</f>
        <v>4.84</v>
      </c>
      <c r="I113" s="339"/>
      <c r="J113" s="297"/>
    </row>
    <row r="114" spans="1:10" s="289" customFormat="1" ht="15" customHeight="1">
      <c r="A114" s="303"/>
      <c r="B114" s="295" t="s">
        <v>141</v>
      </c>
      <c r="C114" s="278"/>
      <c r="D114" s="271">
        <v>-1</v>
      </c>
      <c r="E114" s="271">
        <v>0.6</v>
      </c>
      <c r="F114" s="271">
        <v>0.6</v>
      </c>
      <c r="G114" s="271"/>
      <c r="H114" s="336">
        <f>+ROUND(PRODUCT(D114:G114),2)</f>
        <v>-0.36</v>
      </c>
      <c r="I114" s="339"/>
      <c r="J114" s="297"/>
    </row>
    <row r="115" spans="1:10" s="289" customFormat="1" ht="15" customHeight="1">
      <c r="A115" s="303"/>
      <c r="B115" s="295" t="s">
        <v>451</v>
      </c>
      <c r="C115" s="278"/>
      <c r="D115" s="271">
        <v>4</v>
      </c>
      <c r="E115" s="271">
        <v>0.6</v>
      </c>
      <c r="F115" s="271"/>
      <c r="G115" s="271">
        <v>0.15</v>
      </c>
      <c r="H115" s="336">
        <f>+ROUND(PRODUCT(D115:G115),2)</f>
        <v>0.36</v>
      </c>
      <c r="I115" s="339"/>
      <c r="J115" s="297"/>
    </row>
    <row r="116" spans="1:10" s="289" customFormat="1" ht="15" customHeight="1">
      <c r="A116" s="296"/>
      <c r="B116" s="356"/>
      <c r="C116" s="278"/>
      <c r="D116" s="271"/>
      <c r="E116" s="271"/>
      <c r="F116" s="271"/>
      <c r="G116" s="271"/>
      <c r="H116" s="336"/>
      <c r="I116" s="358"/>
      <c r="J116" s="290"/>
    </row>
    <row r="117" spans="1:10" s="289" customFormat="1" ht="15" customHeight="1">
      <c r="A117" s="303" t="str">
        <f>A$109&amp; ".02"</f>
        <v>01.04.02.03.02</v>
      </c>
      <c r="B117" s="340" t="s">
        <v>455</v>
      </c>
      <c r="C117" s="278" t="s">
        <v>55</v>
      </c>
      <c r="D117" s="271"/>
      <c r="E117" s="271"/>
      <c r="F117" s="271"/>
      <c r="G117" s="271"/>
      <c r="H117" s="336"/>
      <c r="I117" s="339">
        <f>+SUM(H118:H126)</f>
        <v>22.990000000000002</v>
      </c>
      <c r="J117" s="338"/>
    </row>
    <row r="118" spans="1:10" s="289" customFormat="1" ht="15" customHeight="1">
      <c r="A118" s="296"/>
      <c r="B118" s="295" t="s">
        <v>140</v>
      </c>
      <c r="C118" s="278"/>
      <c r="D118" s="271">
        <v>4</v>
      </c>
      <c r="E118" s="271">
        <v>2.5</v>
      </c>
      <c r="F118" s="271"/>
      <c r="G118" s="271">
        <v>1.35</v>
      </c>
      <c r="H118" s="336">
        <f t="shared" ref="H118:H126" si="1">+ROUND(PRODUCT(D118:G118),2)</f>
        <v>13.5</v>
      </c>
      <c r="I118" s="358"/>
      <c r="J118" s="290"/>
    </row>
    <row r="119" spans="1:10" s="289" customFormat="1" ht="15" customHeight="1">
      <c r="A119" s="296"/>
      <c r="B119" s="295" t="s">
        <v>474</v>
      </c>
      <c r="C119" s="278"/>
      <c r="D119" s="271">
        <v>2</v>
      </c>
      <c r="E119" s="271">
        <v>2.7</v>
      </c>
      <c r="F119" s="271">
        <v>0.1</v>
      </c>
      <c r="G119" s="271"/>
      <c r="H119" s="336">
        <f t="shared" si="1"/>
        <v>0.54</v>
      </c>
      <c r="I119" s="358"/>
      <c r="J119" s="290"/>
    </row>
    <row r="120" spans="1:10" s="289" customFormat="1" ht="15" customHeight="1">
      <c r="A120" s="296"/>
      <c r="B120" s="295"/>
      <c r="C120" s="278"/>
      <c r="D120" s="271">
        <v>2</v>
      </c>
      <c r="E120" s="271">
        <v>2.5</v>
      </c>
      <c r="F120" s="271">
        <v>0.1</v>
      </c>
      <c r="G120" s="271"/>
      <c r="H120" s="336">
        <f t="shared" si="1"/>
        <v>0.5</v>
      </c>
      <c r="I120" s="358"/>
      <c r="J120" s="290"/>
    </row>
    <row r="121" spans="1:10" s="289" customFormat="1" ht="15" customHeight="1">
      <c r="A121" s="296"/>
      <c r="B121" s="295" t="s">
        <v>477</v>
      </c>
      <c r="C121" s="278"/>
      <c r="D121" s="271">
        <v>1</v>
      </c>
      <c r="E121" s="271">
        <v>2.7</v>
      </c>
      <c r="F121" s="271">
        <v>2.7</v>
      </c>
      <c r="G121" s="271"/>
      <c r="H121" s="336">
        <f t="shared" si="1"/>
        <v>7.29</v>
      </c>
      <c r="I121" s="358"/>
      <c r="J121" s="290"/>
    </row>
    <row r="122" spans="1:10" s="289" customFormat="1" ht="15" customHeight="1">
      <c r="A122" s="296"/>
      <c r="B122" s="295" t="s">
        <v>141</v>
      </c>
      <c r="C122" s="278"/>
      <c r="D122" s="271">
        <v>-1</v>
      </c>
      <c r="E122" s="271">
        <v>0.6</v>
      </c>
      <c r="F122" s="271">
        <v>0.6</v>
      </c>
      <c r="G122" s="271"/>
      <c r="H122" s="336">
        <f t="shared" si="1"/>
        <v>-0.36</v>
      </c>
      <c r="I122" s="358"/>
      <c r="J122" s="290"/>
    </row>
    <row r="123" spans="1:10" s="289" customFormat="1" ht="15" customHeight="1">
      <c r="A123" s="296"/>
      <c r="B123" s="295" t="s">
        <v>447</v>
      </c>
      <c r="C123" s="278"/>
      <c r="D123" s="271">
        <v>4</v>
      </c>
      <c r="E123" s="271">
        <v>0.8</v>
      </c>
      <c r="F123" s="271"/>
      <c r="G123" s="271">
        <v>0.05</v>
      </c>
      <c r="H123" s="336">
        <f t="shared" si="1"/>
        <v>0.16</v>
      </c>
      <c r="I123" s="358"/>
      <c r="J123" s="290"/>
    </row>
    <row r="124" spans="1:10" s="289" customFormat="1" ht="15" customHeight="1">
      <c r="A124" s="296"/>
      <c r="B124" s="295" t="s">
        <v>446</v>
      </c>
      <c r="C124" s="278"/>
      <c r="D124" s="271">
        <v>2</v>
      </c>
      <c r="E124" s="271">
        <v>0.8</v>
      </c>
      <c r="F124" s="271">
        <v>0.1</v>
      </c>
      <c r="G124" s="271"/>
      <c r="H124" s="336">
        <f t="shared" si="1"/>
        <v>0.16</v>
      </c>
      <c r="I124" s="358"/>
      <c r="J124" s="290"/>
    </row>
    <row r="125" spans="1:10" s="289" customFormat="1" ht="15" customHeight="1">
      <c r="A125" s="296"/>
      <c r="B125" s="295"/>
      <c r="C125" s="278"/>
      <c r="D125" s="271">
        <v>2</v>
      </c>
      <c r="E125" s="271">
        <v>0.6</v>
      </c>
      <c r="F125" s="271">
        <v>0.1</v>
      </c>
      <c r="G125" s="271"/>
      <c r="H125" s="336">
        <f t="shared" si="1"/>
        <v>0.12</v>
      </c>
      <c r="I125" s="358"/>
      <c r="J125" s="290"/>
    </row>
    <row r="126" spans="1:10" s="289" customFormat="1" ht="15" customHeight="1">
      <c r="A126" s="296"/>
      <c r="B126" s="295" t="s">
        <v>445</v>
      </c>
      <c r="C126" s="278"/>
      <c r="D126" s="271">
        <v>4</v>
      </c>
      <c r="E126" s="271">
        <v>2.7</v>
      </c>
      <c r="F126" s="271"/>
      <c r="G126" s="271">
        <v>0.1</v>
      </c>
      <c r="H126" s="336">
        <f t="shared" si="1"/>
        <v>1.08</v>
      </c>
      <c r="I126" s="358"/>
      <c r="J126" s="290"/>
    </row>
    <row r="127" spans="1:10" s="289" customFormat="1" ht="15" customHeight="1">
      <c r="A127" s="296"/>
      <c r="B127" s="107"/>
      <c r="C127" s="278"/>
      <c r="D127" s="271"/>
      <c r="E127" s="271"/>
      <c r="F127" s="271"/>
      <c r="G127" s="271"/>
      <c r="H127" s="336"/>
      <c r="I127" s="358"/>
      <c r="J127" s="338"/>
    </row>
    <row r="128" spans="1:10" s="289" customFormat="1" ht="15" customHeight="1">
      <c r="A128" s="303" t="str">
        <f>A$109&amp; ".03"</f>
        <v>01.04.02.03.03</v>
      </c>
      <c r="B128" s="340" t="s">
        <v>476</v>
      </c>
      <c r="C128" s="278" t="s">
        <v>55</v>
      </c>
      <c r="D128" s="271"/>
      <c r="E128" s="271"/>
      <c r="F128" s="271"/>
      <c r="G128" s="271"/>
      <c r="H128" s="336"/>
      <c r="I128" s="339">
        <f>+H129</f>
        <v>4.84</v>
      </c>
      <c r="J128" s="338"/>
    </row>
    <row r="129" spans="1:10" s="289" customFormat="1" ht="15" customHeight="1">
      <c r="A129" s="303"/>
      <c r="B129" s="295" t="s">
        <v>475</v>
      </c>
      <c r="C129" s="278"/>
      <c r="D129" s="103">
        <v>1</v>
      </c>
      <c r="E129" s="103">
        <v>2.2000000000000002</v>
      </c>
      <c r="F129" s="103">
        <v>2.2000000000000002</v>
      </c>
      <c r="G129" s="103"/>
      <c r="H129" s="349">
        <f>+ROUND(PRODUCT(D129:G129),2)</f>
        <v>4.84</v>
      </c>
      <c r="I129" s="339"/>
      <c r="J129" s="338"/>
    </row>
    <row r="130" spans="1:10" s="289" customFormat="1" ht="15" customHeight="1">
      <c r="A130" s="296"/>
      <c r="B130" s="107"/>
      <c r="C130" s="278"/>
      <c r="D130" s="271"/>
      <c r="E130" s="271"/>
      <c r="F130" s="271"/>
      <c r="G130" s="271"/>
      <c r="H130" s="336"/>
      <c r="I130" s="358"/>
      <c r="J130" s="290"/>
    </row>
    <row r="131" spans="1:10" s="289" customFormat="1" ht="15" customHeight="1">
      <c r="A131" s="294" t="str">
        <f>A$58&amp; ".04"</f>
        <v>01.04.02.04</v>
      </c>
      <c r="B131" s="274" t="s">
        <v>148</v>
      </c>
      <c r="C131" s="278"/>
      <c r="D131" s="271"/>
      <c r="E131" s="354"/>
      <c r="F131" s="353"/>
      <c r="G131" s="353"/>
      <c r="H131" s="336"/>
      <c r="I131" s="246"/>
      <c r="J131" s="338"/>
    </row>
    <row r="132" spans="1:10" s="289" customFormat="1" ht="15" customHeight="1">
      <c r="A132" s="303" t="str">
        <f>A$131&amp; ".01"</f>
        <v>01.04.02.04.01</v>
      </c>
      <c r="B132" s="842" t="s">
        <v>1046</v>
      </c>
      <c r="C132" s="278" t="s">
        <v>55</v>
      </c>
      <c r="D132" s="271"/>
      <c r="E132" s="271"/>
      <c r="F132" s="271"/>
      <c r="G132" s="271"/>
      <c r="H132" s="336"/>
      <c r="I132" s="339">
        <f>SUM(H133:H140)</f>
        <v>22.869999999999997</v>
      </c>
      <c r="J132" s="297"/>
    </row>
    <row r="133" spans="1:10" s="289" customFormat="1" ht="15" customHeight="1">
      <c r="A133" s="296"/>
      <c r="B133" s="295" t="s">
        <v>140</v>
      </c>
      <c r="C133" s="278"/>
      <c r="D133" s="271">
        <v>4</v>
      </c>
      <c r="E133" s="271">
        <v>2.5</v>
      </c>
      <c r="F133" s="271">
        <v>1.35</v>
      </c>
      <c r="G133" s="271"/>
      <c r="H133" s="336">
        <f t="shared" ref="H133:H140" si="2">+ROUND(PRODUCT(D133:G133),2)</f>
        <v>13.5</v>
      </c>
      <c r="I133" s="358"/>
      <c r="J133" s="290"/>
    </row>
    <row r="134" spans="1:10" s="289" customFormat="1" ht="15" customHeight="1">
      <c r="A134" s="296"/>
      <c r="B134" s="295" t="s">
        <v>143</v>
      </c>
      <c r="C134" s="278"/>
      <c r="D134" s="271">
        <v>1</v>
      </c>
      <c r="E134" s="271">
        <v>2.7</v>
      </c>
      <c r="F134" s="271">
        <v>2.7</v>
      </c>
      <c r="G134" s="271"/>
      <c r="H134" s="336">
        <f t="shared" si="2"/>
        <v>7.29</v>
      </c>
      <c r="I134" s="358"/>
      <c r="J134" s="290"/>
    </row>
    <row r="135" spans="1:10" s="289" customFormat="1" ht="15" customHeight="1">
      <c r="A135" s="296"/>
      <c r="B135" s="295" t="s">
        <v>141</v>
      </c>
      <c r="C135" s="278"/>
      <c r="D135" s="271">
        <v>-1</v>
      </c>
      <c r="E135" s="271">
        <v>0.6</v>
      </c>
      <c r="F135" s="271">
        <v>0.6</v>
      </c>
      <c r="G135" s="271"/>
      <c r="H135" s="336">
        <f t="shared" si="2"/>
        <v>-0.36</v>
      </c>
      <c r="I135" s="358"/>
      <c r="J135" s="290"/>
    </row>
    <row r="136" spans="1:10" s="289" customFormat="1" ht="15" customHeight="1">
      <c r="A136" s="296"/>
      <c r="B136" s="295" t="s">
        <v>447</v>
      </c>
      <c r="C136" s="278"/>
      <c r="D136" s="271">
        <v>4</v>
      </c>
      <c r="E136" s="271">
        <v>0.8</v>
      </c>
      <c r="F136" s="271"/>
      <c r="G136" s="271">
        <v>0.05</v>
      </c>
      <c r="H136" s="336">
        <f t="shared" si="2"/>
        <v>0.16</v>
      </c>
      <c r="I136" s="358"/>
      <c r="J136" s="290"/>
    </row>
    <row r="137" spans="1:10" s="289" customFormat="1" ht="15" customHeight="1">
      <c r="A137" s="296"/>
      <c r="B137" s="295" t="s">
        <v>446</v>
      </c>
      <c r="C137" s="278"/>
      <c r="D137" s="271">
        <v>2</v>
      </c>
      <c r="E137" s="271">
        <v>0.8</v>
      </c>
      <c r="F137" s="271">
        <v>0.1</v>
      </c>
      <c r="G137" s="271"/>
      <c r="H137" s="336">
        <f t="shared" si="2"/>
        <v>0.16</v>
      </c>
      <c r="I137" s="358"/>
      <c r="J137" s="338"/>
    </row>
    <row r="138" spans="1:10" s="289" customFormat="1" ht="15" customHeight="1">
      <c r="A138" s="355"/>
      <c r="B138" s="295" t="s">
        <v>474</v>
      </c>
      <c r="C138" s="278"/>
      <c r="D138" s="271">
        <v>2</v>
      </c>
      <c r="E138" s="271">
        <v>2.7</v>
      </c>
      <c r="F138" s="271">
        <v>0.1</v>
      </c>
      <c r="G138" s="271"/>
      <c r="H138" s="336">
        <f t="shared" si="2"/>
        <v>0.54</v>
      </c>
      <c r="I138" s="246"/>
      <c r="J138" s="338"/>
    </row>
    <row r="139" spans="1:10" s="289" customFormat="1" ht="15" customHeight="1">
      <c r="A139" s="355"/>
      <c r="B139" s="295"/>
      <c r="C139" s="278"/>
      <c r="D139" s="271">
        <v>2</v>
      </c>
      <c r="E139" s="271">
        <v>2.5</v>
      </c>
      <c r="F139" s="271">
        <v>0.1</v>
      </c>
      <c r="G139" s="271"/>
      <c r="H139" s="336">
        <f t="shared" si="2"/>
        <v>0.5</v>
      </c>
      <c r="I139" s="246"/>
      <c r="J139" s="338"/>
    </row>
    <row r="140" spans="1:10" s="289" customFormat="1" ht="15" customHeight="1">
      <c r="A140" s="355"/>
      <c r="B140" s="295" t="s">
        <v>445</v>
      </c>
      <c r="C140" s="278"/>
      <c r="D140" s="271">
        <v>4</v>
      </c>
      <c r="E140" s="271">
        <v>2.7</v>
      </c>
      <c r="F140" s="271"/>
      <c r="G140" s="271">
        <v>0.1</v>
      </c>
      <c r="H140" s="336">
        <f t="shared" si="2"/>
        <v>1.08</v>
      </c>
      <c r="I140" s="246"/>
      <c r="J140" s="338"/>
    </row>
    <row r="141" spans="1:10" s="289" customFormat="1" ht="15" customHeight="1">
      <c r="A141" s="355"/>
      <c r="B141" s="295"/>
      <c r="C141" s="278"/>
      <c r="D141" s="271"/>
      <c r="E141" s="271"/>
      <c r="F141" s="271"/>
      <c r="G141" s="271"/>
      <c r="H141" s="336"/>
      <c r="I141" s="246"/>
      <c r="J141" s="338"/>
    </row>
    <row r="142" spans="1:10" s="289" customFormat="1" ht="15" customHeight="1">
      <c r="A142" s="294" t="str">
        <f>A$58&amp; ".05"</f>
        <v>01.04.02.05</v>
      </c>
      <c r="B142" s="274" t="s">
        <v>444</v>
      </c>
      <c r="C142" s="278"/>
      <c r="D142" s="271"/>
      <c r="E142" s="271"/>
      <c r="F142" s="271"/>
      <c r="G142" s="271"/>
      <c r="H142" s="336"/>
      <c r="I142" s="246"/>
      <c r="J142" s="338"/>
    </row>
    <row r="143" spans="1:10" s="289" customFormat="1" ht="28.5" customHeight="1">
      <c r="A143" s="303" t="str">
        <f>A$142&amp; ".01"</f>
        <v>01.04.02.05.01</v>
      </c>
      <c r="B143" s="842" t="s">
        <v>1047</v>
      </c>
      <c r="C143" s="278" t="s">
        <v>58</v>
      </c>
      <c r="D143" s="271"/>
      <c r="E143" s="271"/>
      <c r="F143" s="271"/>
      <c r="G143" s="271"/>
      <c r="H143" s="336"/>
      <c r="I143" s="339">
        <f>H144</f>
        <v>4</v>
      </c>
      <c r="J143" s="338"/>
    </row>
    <row r="144" spans="1:10" s="289" customFormat="1" ht="15" customHeight="1">
      <c r="A144" s="294"/>
      <c r="B144" s="357" t="s">
        <v>473</v>
      </c>
      <c r="C144" s="278"/>
      <c r="D144" s="271">
        <v>4</v>
      </c>
      <c r="E144" s="271"/>
      <c r="F144" s="271"/>
      <c r="G144" s="271"/>
      <c r="H144" s="336">
        <f>+ROUND(PRODUCT(D144:G144),2)</f>
        <v>4</v>
      </c>
      <c r="I144" s="246"/>
      <c r="J144" s="338"/>
    </row>
    <row r="145" spans="1:10" s="289" customFormat="1" ht="15" customHeight="1">
      <c r="A145" s="294"/>
      <c r="B145" s="356"/>
      <c r="C145" s="278"/>
      <c r="D145" s="271"/>
      <c r="E145" s="271"/>
      <c r="F145" s="271"/>
      <c r="G145" s="271"/>
      <c r="H145" s="336"/>
      <c r="I145" s="246"/>
      <c r="J145" s="338"/>
    </row>
    <row r="146" spans="1:10" s="289" customFormat="1" ht="29.25" customHeight="1">
      <c r="A146" s="303" t="str">
        <f>A$142&amp; ".02"</f>
        <v>01.04.02.05.02</v>
      </c>
      <c r="B146" s="842" t="s">
        <v>1048</v>
      </c>
      <c r="C146" s="278" t="s">
        <v>58</v>
      </c>
      <c r="D146" s="271"/>
      <c r="E146" s="271"/>
      <c r="F146" s="271"/>
      <c r="G146" s="271"/>
      <c r="H146" s="336"/>
      <c r="I146" s="339">
        <f>H147</f>
        <v>1</v>
      </c>
      <c r="J146" s="338"/>
    </row>
    <row r="147" spans="1:10" s="289" customFormat="1" ht="17.25" customHeight="1">
      <c r="A147" s="294"/>
      <c r="B147" s="357" t="s">
        <v>472</v>
      </c>
      <c r="C147" s="278"/>
      <c r="D147" s="271">
        <v>1</v>
      </c>
      <c r="E147" s="271"/>
      <c r="F147" s="271"/>
      <c r="G147" s="271"/>
      <c r="H147" s="336">
        <v>1</v>
      </c>
      <c r="I147" s="246"/>
      <c r="J147" s="338"/>
    </row>
    <row r="148" spans="1:10" s="289" customFormat="1" ht="15" customHeight="1">
      <c r="A148" s="294"/>
      <c r="B148" s="356"/>
      <c r="C148" s="278"/>
      <c r="D148" s="271"/>
      <c r="E148" s="271"/>
      <c r="F148" s="271"/>
      <c r="G148" s="271"/>
      <c r="H148" s="336"/>
      <c r="I148" s="246"/>
      <c r="J148" s="338"/>
    </row>
    <row r="149" spans="1:10" s="289" customFormat="1" ht="15" customHeight="1">
      <c r="A149" s="303" t="str">
        <f>A$142&amp; ".03"</f>
        <v>01.04.02.05.03</v>
      </c>
      <c r="B149" s="842" t="s">
        <v>1049</v>
      </c>
      <c r="C149" s="278" t="s">
        <v>58</v>
      </c>
      <c r="D149" s="271"/>
      <c r="E149" s="271"/>
      <c r="F149" s="271"/>
      <c r="G149" s="271"/>
      <c r="H149" s="336"/>
      <c r="I149" s="339">
        <f>H150</f>
        <v>1</v>
      </c>
      <c r="J149" s="338"/>
    </row>
    <row r="150" spans="1:10" s="289" customFormat="1" ht="15" customHeight="1">
      <c r="A150" s="294"/>
      <c r="B150" s="340"/>
      <c r="C150" s="278"/>
      <c r="D150" s="271">
        <v>1</v>
      </c>
      <c r="E150" s="271"/>
      <c r="F150" s="271"/>
      <c r="G150" s="271"/>
      <c r="H150" s="336">
        <f>+ROUND(PRODUCT(D150:G150),2)</f>
        <v>1</v>
      </c>
      <c r="I150" s="246"/>
      <c r="J150" s="338"/>
    </row>
    <row r="151" spans="1:10" s="289" customFormat="1" ht="15" customHeight="1">
      <c r="A151" s="294"/>
      <c r="B151" s="340"/>
      <c r="C151" s="278"/>
      <c r="D151" s="271"/>
      <c r="E151" s="271"/>
      <c r="F151" s="271"/>
      <c r="G151" s="271"/>
      <c r="H151" s="336"/>
      <c r="I151" s="246"/>
      <c r="J151" s="338"/>
    </row>
    <row r="152" spans="1:10" s="289" customFormat="1" ht="15" customHeight="1">
      <c r="A152" s="303" t="str">
        <f>A$142&amp; ".04"</f>
        <v>01.04.02.05.04</v>
      </c>
      <c r="B152" s="842" t="s">
        <v>1050</v>
      </c>
      <c r="C152" s="278" t="s">
        <v>58</v>
      </c>
      <c r="D152" s="271"/>
      <c r="E152" s="271"/>
      <c r="F152" s="271"/>
      <c r="G152" s="271"/>
      <c r="H152" s="336"/>
      <c r="I152" s="339">
        <f>H153</f>
        <v>1</v>
      </c>
      <c r="J152" s="338"/>
    </row>
    <row r="153" spans="1:10" s="289" customFormat="1" ht="15" customHeight="1">
      <c r="A153" s="294"/>
      <c r="B153" s="340"/>
      <c r="C153" s="278"/>
      <c r="D153" s="271">
        <v>1</v>
      </c>
      <c r="E153" s="271"/>
      <c r="F153" s="271"/>
      <c r="G153" s="271"/>
      <c r="H153" s="336">
        <v>1</v>
      </c>
      <c r="I153" s="246"/>
      <c r="J153" s="338"/>
    </row>
    <row r="154" spans="1:10" s="289" customFormat="1" ht="15" customHeight="1">
      <c r="A154" s="294"/>
      <c r="B154" s="340"/>
      <c r="C154" s="278"/>
      <c r="D154" s="271"/>
      <c r="E154" s="271"/>
      <c r="F154" s="271"/>
      <c r="G154" s="271"/>
      <c r="H154" s="336"/>
      <c r="I154" s="246"/>
      <c r="J154" s="338"/>
    </row>
    <row r="155" spans="1:10" s="289" customFormat="1" ht="15" customHeight="1">
      <c r="A155" s="294" t="str">
        <f>A$58&amp; ".06"</f>
        <v>01.04.02.06</v>
      </c>
      <c r="B155" s="274" t="s">
        <v>117</v>
      </c>
      <c r="C155" s="188"/>
      <c r="D155" s="271"/>
      <c r="E155" s="271"/>
      <c r="F155" s="271"/>
      <c r="G155" s="271"/>
      <c r="H155" s="336"/>
      <c r="I155" s="246"/>
      <c r="J155" s="338"/>
    </row>
    <row r="156" spans="1:10" s="289" customFormat="1" ht="15" customHeight="1">
      <c r="A156" s="303" t="str">
        <f>A$155&amp; ".01"</f>
        <v>01.04.02.06.01</v>
      </c>
      <c r="B156" s="340" t="s">
        <v>471</v>
      </c>
      <c r="C156" s="278" t="s">
        <v>0</v>
      </c>
      <c r="D156" s="271"/>
      <c r="E156" s="271"/>
      <c r="F156" s="271"/>
      <c r="G156" s="271"/>
      <c r="H156" s="336"/>
      <c r="I156" s="339">
        <f>+SUM(H157:H157)</f>
        <v>10</v>
      </c>
      <c r="J156" s="338"/>
    </row>
    <row r="157" spans="1:10" s="289" customFormat="1" ht="15" customHeight="1">
      <c r="A157" s="303"/>
      <c r="B157" s="340"/>
      <c r="C157" s="278"/>
      <c r="D157" s="271">
        <v>1</v>
      </c>
      <c r="E157" s="271" t="s">
        <v>78</v>
      </c>
      <c r="F157" s="271">
        <v>10</v>
      </c>
      <c r="G157" s="271"/>
      <c r="H157" s="336">
        <f>F157</f>
        <v>10</v>
      </c>
      <c r="I157" s="339"/>
      <c r="J157" s="338"/>
    </row>
    <row r="158" spans="1:10" s="289" customFormat="1" ht="15" customHeight="1">
      <c r="A158" s="303"/>
      <c r="B158" s="348"/>
      <c r="C158" s="278"/>
      <c r="D158" s="271"/>
      <c r="E158" s="271"/>
      <c r="F158" s="271"/>
      <c r="G158" s="271"/>
      <c r="H158" s="336"/>
      <c r="I158" s="339"/>
      <c r="J158" s="338"/>
    </row>
    <row r="159" spans="1:10" s="289" customFormat="1" ht="15" customHeight="1">
      <c r="A159" s="303" t="str">
        <f>A$155&amp; ".02"</f>
        <v>01.04.02.06.02</v>
      </c>
      <c r="B159" s="348" t="s">
        <v>470</v>
      </c>
      <c r="C159" s="278" t="s">
        <v>55</v>
      </c>
      <c r="D159" s="271"/>
      <c r="E159" s="271"/>
      <c r="F159" s="271"/>
      <c r="G159" s="271"/>
      <c r="H159" s="336"/>
      <c r="I159" s="339">
        <f>+SUM(H160:H160)</f>
        <v>1.5</v>
      </c>
      <c r="J159" s="297"/>
    </row>
    <row r="160" spans="1:10" s="289" customFormat="1" ht="15" customHeight="1">
      <c r="A160" s="303"/>
      <c r="B160" s="348"/>
      <c r="C160" s="278"/>
      <c r="D160" s="271">
        <v>1</v>
      </c>
      <c r="E160" s="271">
        <f>I156</f>
        <v>10</v>
      </c>
      <c r="F160" s="271">
        <v>0.15</v>
      </c>
      <c r="G160" s="271"/>
      <c r="H160" s="336">
        <f>PRODUCT(D160:G160)</f>
        <v>1.5</v>
      </c>
      <c r="I160" s="339"/>
      <c r="J160" s="297"/>
    </row>
    <row r="161" spans="1:10" s="289" customFormat="1" ht="15" customHeight="1">
      <c r="A161" s="303"/>
      <c r="B161" s="348"/>
      <c r="C161" s="278"/>
      <c r="D161" s="271"/>
      <c r="E161" s="271"/>
      <c r="F161" s="271"/>
      <c r="G161" s="271"/>
      <c r="H161" s="336"/>
      <c r="I161" s="339"/>
      <c r="J161" s="297"/>
    </row>
    <row r="162" spans="1:10" s="289" customFormat="1" ht="15" customHeight="1">
      <c r="A162" s="303" t="str">
        <f>A$155&amp; ".03"</f>
        <v>01.04.02.06.03</v>
      </c>
      <c r="B162" s="340" t="s">
        <v>469</v>
      </c>
      <c r="C162" s="278" t="s">
        <v>93</v>
      </c>
      <c r="D162" s="271"/>
      <c r="E162" s="271"/>
      <c r="F162" s="271"/>
      <c r="G162" s="271"/>
      <c r="H162" s="336"/>
      <c r="I162" s="339">
        <f>+SUM(H163:H163)</f>
        <v>5.0820000000000007</v>
      </c>
      <c r="J162" s="297"/>
    </row>
    <row r="163" spans="1:10" s="289" customFormat="1" ht="15" customHeight="1">
      <c r="A163" s="303"/>
      <c r="B163" s="340"/>
      <c r="C163" s="278"/>
      <c r="D163" s="271">
        <v>1</v>
      </c>
      <c r="E163" s="271">
        <v>2.2000000000000002</v>
      </c>
      <c r="F163" s="271">
        <v>2.2000000000000002</v>
      </c>
      <c r="G163" s="271">
        <v>1.05</v>
      </c>
      <c r="H163" s="336">
        <f>PRODUCT(D163:G163)</f>
        <v>5.0820000000000007</v>
      </c>
      <c r="I163" s="339"/>
      <c r="J163" s="297"/>
    </row>
    <row r="164" spans="1:10" s="289" customFormat="1" ht="15" customHeight="1">
      <c r="A164" s="355"/>
      <c r="B164" s="295"/>
      <c r="C164" s="278"/>
      <c r="D164" s="271"/>
      <c r="E164" s="271"/>
      <c r="F164" s="271"/>
      <c r="G164" s="271"/>
      <c r="H164" s="336"/>
      <c r="I164" s="246"/>
      <c r="J164" s="297"/>
    </row>
    <row r="165" spans="1:10" s="289" customFormat="1" ht="15" customHeight="1">
      <c r="A165" s="81" t="str">
        <f>A$26 &amp; ".03"</f>
        <v>01.04.03</v>
      </c>
      <c r="B165" s="839" t="s">
        <v>1051</v>
      </c>
      <c r="C165" s="188"/>
      <c r="D165" s="271"/>
      <c r="E165" s="271"/>
      <c r="F165" s="271"/>
      <c r="G165" s="271"/>
      <c r="H165" s="336"/>
      <c r="I165" s="246"/>
      <c r="J165" s="297"/>
    </row>
    <row r="166" spans="1:10" s="289" customFormat="1" ht="15" customHeight="1">
      <c r="A166" s="294" t="str">
        <f>A$165&amp; ".01"</f>
        <v>01.04.03.01</v>
      </c>
      <c r="B166" s="293" t="s">
        <v>95</v>
      </c>
      <c r="C166" s="188"/>
      <c r="D166" s="271"/>
      <c r="E166" s="354"/>
      <c r="F166" s="353"/>
      <c r="G166" s="353"/>
      <c r="H166" s="336"/>
      <c r="I166" s="246"/>
      <c r="J166" s="297"/>
    </row>
    <row r="167" spans="1:10" s="289" customFormat="1" ht="15" customHeight="1">
      <c r="A167" s="303" t="str">
        <f>A$166&amp; ".01"</f>
        <v>01.04.03.01.01</v>
      </c>
      <c r="B167" s="842" t="s">
        <v>1052</v>
      </c>
      <c r="C167" s="278" t="s">
        <v>93</v>
      </c>
      <c r="D167" s="271"/>
      <c r="E167" s="271"/>
      <c r="F167" s="271"/>
      <c r="G167" s="271"/>
      <c r="H167" s="336"/>
      <c r="I167" s="339">
        <f>H168</f>
        <v>0.22399999999999998</v>
      </c>
      <c r="J167" s="297"/>
    </row>
    <row r="168" spans="1:10" s="289" customFormat="1" ht="15" customHeight="1">
      <c r="A168" s="303"/>
      <c r="B168" s="352" t="s">
        <v>167</v>
      </c>
      <c r="C168" s="278"/>
      <c r="D168" s="271"/>
      <c r="E168" s="103">
        <v>1.6</v>
      </c>
      <c r="F168" s="103">
        <v>1.4</v>
      </c>
      <c r="G168" s="103">
        <v>0.1</v>
      </c>
      <c r="H168" s="349">
        <f>+PRODUCT(D168:G168)</f>
        <v>0.22399999999999998</v>
      </c>
      <c r="I168" s="339"/>
      <c r="J168" s="297"/>
    </row>
    <row r="169" spans="1:10" s="289" customFormat="1" ht="15" customHeight="1">
      <c r="A169" s="303"/>
      <c r="B169" s="352"/>
      <c r="C169" s="278"/>
      <c r="D169" s="271"/>
      <c r="E169" s="271"/>
      <c r="F169" s="271"/>
      <c r="G169" s="271"/>
      <c r="H169" s="336"/>
      <c r="I169" s="339"/>
      <c r="J169" s="297"/>
    </row>
    <row r="170" spans="1:10" s="289" customFormat="1" ht="15" customHeight="1">
      <c r="A170" s="294" t="str">
        <f>A$165&amp; ".02"</f>
        <v>01.04.03.02</v>
      </c>
      <c r="B170" s="293" t="s">
        <v>467</v>
      </c>
      <c r="C170" s="278"/>
      <c r="D170" s="271"/>
      <c r="E170" s="271"/>
      <c r="F170" s="271"/>
      <c r="G170" s="271"/>
      <c r="H170" s="336"/>
      <c r="I170" s="339"/>
      <c r="J170" s="297"/>
    </row>
    <row r="171" spans="1:10" s="289" customFormat="1" ht="15" customHeight="1">
      <c r="A171" s="303" t="str">
        <f>A$170&amp; ".01"</f>
        <v>01.04.03.02.01</v>
      </c>
      <c r="B171" s="842" t="s">
        <v>1041</v>
      </c>
      <c r="C171" s="278" t="s">
        <v>93</v>
      </c>
      <c r="D171" s="271"/>
      <c r="E171" s="271"/>
      <c r="F171" s="271"/>
      <c r="G171" s="271"/>
      <c r="H171" s="336"/>
      <c r="I171" s="339">
        <f>H172</f>
        <v>0.22399999999999998</v>
      </c>
      <c r="J171" s="297"/>
    </row>
    <row r="172" spans="1:10" s="289" customFormat="1" ht="15" customHeight="1">
      <c r="A172" s="303"/>
      <c r="B172" s="351" t="s">
        <v>466</v>
      </c>
      <c r="C172" s="278"/>
      <c r="D172" s="271">
        <v>1</v>
      </c>
      <c r="E172" s="271">
        <v>1.6</v>
      </c>
      <c r="F172" s="271">
        <v>1.4</v>
      </c>
      <c r="G172" s="271">
        <v>0.1</v>
      </c>
      <c r="H172" s="336">
        <f>+PRODUCT(D172:G172)</f>
        <v>0.22399999999999998</v>
      </c>
      <c r="I172" s="339"/>
      <c r="J172" s="297"/>
    </row>
    <row r="173" spans="1:10" s="289" customFormat="1" ht="15" customHeight="1">
      <c r="A173" s="303"/>
      <c r="B173" s="352"/>
      <c r="C173" s="278"/>
      <c r="D173" s="271"/>
      <c r="E173" s="271"/>
      <c r="F173" s="271"/>
      <c r="G173" s="271"/>
      <c r="H173" s="336"/>
      <c r="I173" s="339"/>
      <c r="J173" s="297"/>
    </row>
    <row r="174" spans="1:10" s="289" customFormat="1" ht="15" customHeight="1">
      <c r="A174" s="303" t="str">
        <f>A$170&amp; ".02"</f>
        <v>01.04.03.02.02</v>
      </c>
      <c r="B174" s="842" t="s">
        <v>1042</v>
      </c>
      <c r="C174" s="278" t="s">
        <v>93</v>
      </c>
      <c r="D174" s="271"/>
      <c r="E174" s="271"/>
      <c r="F174" s="271"/>
      <c r="G174" s="271"/>
      <c r="H174" s="336"/>
      <c r="I174" s="339">
        <f>SUM(H175:H176)</f>
        <v>0.34200000000000003</v>
      </c>
      <c r="J174" s="297"/>
    </row>
    <row r="175" spans="1:10" s="289" customFormat="1" ht="15" customHeight="1">
      <c r="A175" s="303"/>
      <c r="B175" s="351" t="s">
        <v>215</v>
      </c>
      <c r="C175" s="278"/>
      <c r="D175" s="271">
        <v>2</v>
      </c>
      <c r="E175" s="271">
        <v>1.3</v>
      </c>
      <c r="F175" s="271">
        <v>0.1</v>
      </c>
      <c r="G175" s="271">
        <v>0.9</v>
      </c>
      <c r="H175" s="336">
        <f>+PRODUCT(D175:G175)</f>
        <v>0.23400000000000001</v>
      </c>
      <c r="I175" s="339"/>
      <c r="J175" s="297"/>
    </row>
    <row r="176" spans="1:10" s="289" customFormat="1" ht="15" customHeight="1">
      <c r="A176" s="303"/>
      <c r="B176" s="351" t="s">
        <v>465</v>
      </c>
      <c r="C176" s="278"/>
      <c r="D176" s="271">
        <v>1</v>
      </c>
      <c r="E176" s="271">
        <v>1.2</v>
      </c>
      <c r="F176" s="271">
        <v>0.1</v>
      </c>
      <c r="G176" s="271">
        <v>0.9</v>
      </c>
      <c r="H176" s="336">
        <f>+PRODUCT(D176:G176)</f>
        <v>0.108</v>
      </c>
      <c r="I176" s="339"/>
      <c r="J176" s="297"/>
    </row>
    <row r="177" spans="1:10" s="289" customFormat="1" ht="15" customHeight="1">
      <c r="A177" s="303"/>
      <c r="B177" s="282"/>
      <c r="C177" s="278"/>
      <c r="D177" s="271"/>
      <c r="E177" s="271"/>
      <c r="F177" s="271"/>
      <c r="G177" s="271"/>
      <c r="H177" s="336"/>
      <c r="I177" s="339"/>
      <c r="J177" s="297"/>
    </row>
    <row r="178" spans="1:10" s="289" customFormat="1" ht="15" customHeight="1">
      <c r="A178" s="303" t="str">
        <f>A$170&amp; ".03"</f>
        <v>01.04.03.02.03</v>
      </c>
      <c r="B178" s="842" t="s">
        <v>1043</v>
      </c>
      <c r="C178" s="278" t="s">
        <v>93</v>
      </c>
      <c r="D178" s="271"/>
      <c r="E178" s="271"/>
      <c r="F178" s="271"/>
      <c r="G178" s="271"/>
      <c r="H178" s="336"/>
      <c r="I178" s="339">
        <f>SUM(H179:H182)</f>
        <v>0.16</v>
      </c>
      <c r="J178" s="297"/>
    </row>
    <row r="179" spans="1:10" s="289" customFormat="1" ht="15" customHeight="1">
      <c r="A179" s="303"/>
      <c r="B179" s="351" t="s">
        <v>464</v>
      </c>
      <c r="C179" s="278"/>
      <c r="D179" s="271">
        <v>1</v>
      </c>
      <c r="E179" s="271">
        <v>1.4</v>
      </c>
      <c r="F179" s="271">
        <v>1.3</v>
      </c>
      <c r="G179" s="271">
        <v>0.1</v>
      </c>
      <c r="H179" s="336">
        <f>+PRODUCT(D179:G179)</f>
        <v>0.182</v>
      </c>
      <c r="I179" s="339"/>
      <c r="J179" s="297"/>
    </row>
    <row r="180" spans="1:10" s="289" customFormat="1" ht="15" customHeight="1">
      <c r="A180" s="303"/>
      <c r="B180" s="352" t="s">
        <v>141</v>
      </c>
      <c r="C180" s="278"/>
      <c r="D180" s="271">
        <v>-1</v>
      </c>
      <c r="E180" s="271">
        <v>0.6</v>
      </c>
      <c r="F180" s="271">
        <v>0.6</v>
      </c>
      <c r="G180" s="271">
        <v>0.1</v>
      </c>
      <c r="H180" s="336">
        <f>+PRODUCT(D180:G180)</f>
        <v>-3.5999999999999997E-2</v>
      </c>
      <c r="I180" s="339"/>
      <c r="J180" s="297"/>
    </row>
    <row r="181" spans="1:10" s="289" customFormat="1" ht="15" customHeight="1">
      <c r="A181" s="303"/>
      <c r="B181" s="352" t="s">
        <v>463</v>
      </c>
      <c r="C181" s="278"/>
      <c r="D181" s="271">
        <v>2</v>
      </c>
      <c r="E181" s="271">
        <v>0.8</v>
      </c>
      <c r="F181" s="271">
        <v>0.1</v>
      </c>
      <c r="G181" s="271">
        <v>0.05</v>
      </c>
      <c r="H181" s="336">
        <f>+PRODUCT(D181:G181)</f>
        <v>8.0000000000000019E-3</v>
      </c>
      <c r="I181" s="339"/>
      <c r="J181" s="297"/>
    </row>
    <row r="182" spans="1:10" s="289" customFormat="1" ht="15" customHeight="1">
      <c r="A182" s="303"/>
      <c r="B182" s="340"/>
      <c r="C182" s="278"/>
      <c r="D182" s="271">
        <v>2</v>
      </c>
      <c r="E182" s="271">
        <v>0.6</v>
      </c>
      <c r="F182" s="271">
        <v>0.1</v>
      </c>
      <c r="G182" s="271">
        <v>0.05</v>
      </c>
      <c r="H182" s="336">
        <f>+PRODUCT(D182:G182)</f>
        <v>6.0000000000000001E-3</v>
      </c>
      <c r="I182" s="339"/>
      <c r="J182" s="297"/>
    </row>
    <row r="183" spans="1:10" s="289" customFormat="1" ht="15" customHeight="1">
      <c r="A183" s="303"/>
      <c r="B183" s="340"/>
      <c r="C183" s="278"/>
      <c r="D183" s="292"/>
      <c r="E183" s="271"/>
      <c r="F183" s="271"/>
      <c r="G183" s="271"/>
      <c r="H183" s="336"/>
      <c r="I183" s="339"/>
      <c r="J183" s="297"/>
    </row>
    <row r="184" spans="1:10" s="289" customFormat="1" ht="15" customHeight="1">
      <c r="A184" s="303" t="str">
        <f>A$170&amp; ".04"</f>
        <v>01.04.03.02.04</v>
      </c>
      <c r="B184" s="842" t="s">
        <v>1053</v>
      </c>
      <c r="C184" s="278" t="s">
        <v>55</v>
      </c>
      <c r="D184" s="292"/>
      <c r="E184" s="271"/>
      <c r="F184" s="271"/>
      <c r="G184" s="271"/>
      <c r="H184" s="336"/>
      <c r="I184" s="339">
        <f>SUM(H185)</f>
        <v>0.44000000000000006</v>
      </c>
      <c r="J184" s="297"/>
    </row>
    <row r="185" spans="1:10" s="289" customFormat="1" ht="15" customHeight="1">
      <c r="A185" s="303"/>
      <c r="B185" s="351" t="s">
        <v>461</v>
      </c>
      <c r="C185" s="278"/>
      <c r="D185" s="271">
        <v>1</v>
      </c>
      <c r="E185" s="271">
        <v>4.4000000000000004</v>
      </c>
      <c r="F185" s="271"/>
      <c r="G185" s="271">
        <v>0.1</v>
      </c>
      <c r="H185" s="336">
        <f>+PRODUCT(D185:G185)</f>
        <v>0.44000000000000006</v>
      </c>
      <c r="I185" s="339"/>
      <c r="J185" s="297"/>
    </row>
    <row r="186" spans="1:10" s="289" customFormat="1" ht="15" customHeight="1">
      <c r="A186" s="303"/>
      <c r="B186" s="340"/>
      <c r="C186" s="278"/>
      <c r="D186" s="292"/>
      <c r="E186" s="271"/>
      <c r="F186" s="271"/>
      <c r="G186" s="271"/>
      <c r="H186" s="336"/>
      <c r="I186" s="339"/>
      <c r="J186" s="297"/>
    </row>
    <row r="187" spans="1:10" s="289" customFormat="1" ht="15" customHeight="1">
      <c r="A187" s="303" t="str">
        <f>A$170&amp; ".05"</f>
        <v>01.04.03.02.05</v>
      </c>
      <c r="B187" s="842" t="s">
        <v>1054</v>
      </c>
      <c r="C187" s="278" t="s">
        <v>55</v>
      </c>
      <c r="D187" s="292"/>
      <c r="E187" s="271"/>
      <c r="F187" s="271"/>
      <c r="G187" s="271"/>
      <c r="H187" s="336"/>
      <c r="I187" s="339">
        <f>SUM(H188:H190)</f>
        <v>6.84</v>
      </c>
      <c r="J187" s="297"/>
    </row>
    <row r="188" spans="1:10" s="289" customFormat="1" ht="15" customHeight="1">
      <c r="A188" s="303"/>
      <c r="B188" s="351" t="s">
        <v>453</v>
      </c>
      <c r="C188" s="278"/>
      <c r="D188" s="271">
        <v>3</v>
      </c>
      <c r="E188" s="271">
        <v>1.2</v>
      </c>
      <c r="F188" s="271"/>
      <c r="G188" s="271">
        <v>0.9</v>
      </c>
      <c r="H188" s="336">
        <f>+PRODUCT(D188:G188)</f>
        <v>3.2399999999999998</v>
      </c>
      <c r="I188" s="339"/>
      <c r="J188" s="297"/>
    </row>
    <row r="189" spans="1:10" s="289" customFormat="1" ht="15" customHeight="1">
      <c r="A189" s="303"/>
      <c r="B189" s="351" t="s">
        <v>449</v>
      </c>
      <c r="C189" s="278"/>
      <c r="D189" s="271">
        <v>2</v>
      </c>
      <c r="E189" s="271">
        <v>1.3</v>
      </c>
      <c r="F189" s="271"/>
      <c r="G189" s="271">
        <v>0.9</v>
      </c>
      <c r="H189" s="336">
        <f>+PRODUCT(D189:G189)</f>
        <v>2.3400000000000003</v>
      </c>
      <c r="I189" s="339"/>
      <c r="J189" s="297"/>
    </row>
    <row r="190" spans="1:10" s="289" customFormat="1" ht="15" customHeight="1">
      <c r="A190" s="303"/>
      <c r="B190" s="351" t="s">
        <v>448</v>
      </c>
      <c r="C190" s="278"/>
      <c r="D190" s="271">
        <v>1</v>
      </c>
      <c r="E190" s="271">
        <v>1.4</v>
      </c>
      <c r="F190" s="271"/>
      <c r="G190" s="271">
        <v>0.9</v>
      </c>
      <c r="H190" s="336">
        <f>+PRODUCT(D190:G190)</f>
        <v>1.26</v>
      </c>
      <c r="I190" s="339"/>
      <c r="J190" s="297"/>
    </row>
    <row r="191" spans="1:10" s="289" customFormat="1" ht="15" customHeight="1">
      <c r="A191" s="303"/>
      <c r="B191" s="340"/>
      <c r="C191" s="278"/>
      <c r="D191" s="292"/>
      <c r="E191" s="271"/>
      <c r="F191" s="271"/>
      <c r="G191" s="271"/>
      <c r="H191" s="336"/>
      <c r="I191" s="339"/>
      <c r="J191" s="297"/>
    </row>
    <row r="192" spans="1:10" s="289" customFormat="1" ht="15" customHeight="1">
      <c r="A192" s="303" t="str">
        <f>A$170&amp; ".06"</f>
        <v>01.04.03.02.06</v>
      </c>
      <c r="B192" s="842" t="s">
        <v>1055</v>
      </c>
      <c r="C192" s="278" t="s">
        <v>55</v>
      </c>
      <c r="D192" s="292"/>
      <c r="E192" s="271"/>
      <c r="F192" s="271"/>
      <c r="G192" s="271"/>
      <c r="H192" s="336"/>
      <c r="I192" s="339">
        <f>SUM(H193:H198)</f>
        <v>2</v>
      </c>
      <c r="J192" s="297"/>
    </row>
    <row r="193" spans="1:10" s="289" customFormat="1" ht="15" customHeight="1">
      <c r="A193" s="303"/>
      <c r="B193" s="295" t="s">
        <v>459</v>
      </c>
      <c r="C193" s="278"/>
      <c r="D193" s="271">
        <v>1</v>
      </c>
      <c r="E193" s="271">
        <v>1.2</v>
      </c>
      <c r="F193" s="271">
        <v>1.2</v>
      </c>
      <c r="G193" s="350"/>
      <c r="H193" s="336">
        <f t="shared" ref="H193:H198" si="3">+PRODUCT(D193:G193)</f>
        <v>1.44</v>
      </c>
      <c r="I193" s="339"/>
      <c r="J193" s="297"/>
    </row>
    <row r="194" spans="1:10" s="289" customFormat="1" ht="15" customHeight="1">
      <c r="A194" s="303"/>
      <c r="B194" s="295" t="s">
        <v>141</v>
      </c>
      <c r="C194" s="278"/>
      <c r="D194" s="271">
        <v>-1</v>
      </c>
      <c r="E194" s="271">
        <v>0.6</v>
      </c>
      <c r="F194" s="271">
        <v>0.6</v>
      </c>
      <c r="G194" s="350"/>
      <c r="H194" s="336">
        <f t="shared" si="3"/>
        <v>-0.36</v>
      </c>
      <c r="I194" s="339"/>
      <c r="J194" s="297"/>
    </row>
    <row r="195" spans="1:10" s="289" customFormat="1" ht="15" customHeight="1">
      <c r="A195" s="303"/>
      <c r="B195" s="295" t="s">
        <v>451</v>
      </c>
      <c r="C195" s="278"/>
      <c r="D195" s="271">
        <v>4</v>
      </c>
      <c r="E195" s="271">
        <v>0.6</v>
      </c>
      <c r="F195" s="271"/>
      <c r="G195" s="350">
        <v>0.15</v>
      </c>
      <c r="H195" s="336">
        <f t="shared" si="3"/>
        <v>0.36</v>
      </c>
      <c r="I195" s="339"/>
      <c r="J195" s="297"/>
    </row>
    <row r="196" spans="1:10" s="289" customFormat="1" ht="15" customHeight="1">
      <c r="A196" s="303"/>
      <c r="B196" s="295" t="s">
        <v>447</v>
      </c>
      <c r="C196" s="278"/>
      <c r="D196" s="271">
        <v>4</v>
      </c>
      <c r="E196" s="271">
        <v>0.8</v>
      </c>
      <c r="F196" s="271"/>
      <c r="G196" s="350">
        <v>0.05</v>
      </c>
      <c r="H196" s="336">
        <f t="shared" si="3"/>
        <v>0.16000000000000003</v>
      </c>
      <c r="I196" s="339"/>
      <c r="J196" s="297"/>
    </row>
    <row r="197" spans="1:10" s="289" customFormat="1" ht="15" customHeight="1">
      <c r="A197" s="303"/>
      <c r="B197" s="295" t="s">
        <v>458</v>
      </c>
      <c r="C197" s="278"/>
      <c r="D197" s="271">
        <v>2</v>
      </c>
      <c r="E197" s="271">
        <v>1.3</v>
      </c>
      <c r="F197" s="271"/>
      <c r="G197" s="350">
        <v>0.1</v>
      </c>
      <c r="H197" s="336">
        <f t="shared" si="3"/>
        <v>0.26</v>
      </c>
      <c r="I197" s="339"/>
      <c r="J197" s="297"/>
    </row>
    <row r="198" spans="1:10" s="289" customFormat="1" ht="15" customHeight="1">
      <c r="A198" s="303"/>
      <c r="B198" s="295" t="s">
        <v>457</v>
      </c>
      <c r="C198" s="278"/>
      <c r="D198" s="271">
        <v>1</v>
      </c>
      <c r="E198" s="271">
        <v>1.4</v>
      </c>
      <c r="F198" s="271"/>
      <c r="G198" s="350">
        <v>0.1</v>
      </c>
      <c r="H198" s="336">
        <f t="shared" si="3"/>
        <v>0.13999999999999999</v>
      </c>
      <c r="I198" s="339"/>
      <c r="J198" s="297"/>
    </row>
    <row r="199" spans="1:10" s="289" customFormat="1" ht="15" customHeight="1">
      <c r="A199" s="303"/>
      <c r="B199" s="340"/>
      <c r="C199" s="278"/>
      <c r="D199" s="292"/>
      <c r="E199" s="271"/>
      <c r="F199" s="271"/>
      <c r="G199" s="271"/>
      <c r="H199" s="336"/>
      <c r="I199" s="339"/>
      <c r="J199" s="297"/>
    </row>
    <row r="200" spans="1:10" s="289" customFormat="1" ht="15" customHeight="1">
      <c r="A200" s="303" t="str">
        <f>A$170&amp; ".07"</f>
        <v>01.04.03.02.07</v>
      </c>
      <c r="B200" s="842" t="s">
        <v>1056</v>
      </c>
      <c r="C200" s="278" t="s">
        <v>187</v>
      </c>
      <c r="D200" s="292"/>
      <c r="E200" s="271"/>
      <c r="F200" s="271"/>
      <c r="G200" s="271"/>
      <c r="H200" s="336"/>
      <c r="I200" s="339">
        <f>H201</f>
        <v>56.772800000000004</v>
      </c>
      <c r="J200" s="297"/>
    </row>
    <row r="201" spans="1:10" s="289" customFormat="1" ht="15" customHeight="1">
      <c r="A201" s="303"/>
      <c r="B201" s="295" t="s">
        <v>456</v>
      </c>
      <c r="C201" s="278"/>
      <c r="D201" s="271">
        <v>1</v>
      </c>
      <c r="E201" s="103"/>
      <c r="F201" s="103"/>
      <c r="G201" s="103"/>
      <c r="H201" s="349">
        <f>+'1.4 METR.ACERO 5M3'!M106</f>
        <v>56.772800000000004</v>
      </c>
      <c r="I201" s="339"/>
      <c r="J201" s="297"/>
    </row>
    <row r="202" spans="1:10" s="289" customFormat="1" ht="15" customHeight="1">
      <c r="A202" s="303"/>
      <c r="B202" s="295"/>
      <c r="C202" s="278"/>
      <c r="D202" s="271"/>
      <c r="E202" s="271"/>
      <c r="F202" s="271"/>
      <c r="G202" s="271"/>
      <c r="H202" s="336"/>
      <c r="I202" s="339"/>
      <c r="J202" s="297"/>
    </row>
    <row r="203" spans="1:10" s="289" customFormat="1" ht="15" customHeight="1">
      <c r="A203" s="294" t="str">
        <f>A$165&amp; ".03"</f>
        <v>01.04.03.03</v>
      </c>
      <c r="B203" s="293" t="s">
        <v>182</v>
      </c>
      <c r="C203" s="278"/>
      <c r="D203" s="271"/>
      <c r="E203" s="271"/>
      <c r="F203" s="271"/>
      <c r="G203" s="271"/>
      <c r="H203" s="336"/>
      <c r="I203" s="339"/>
      <c r="J203" s="297"/>
    </row>
    <row r="204" spans="1:10" s="289" customFormat="1" ht="15" customHeight="1">
      <c r="A204" s="303" t="str">
        <f>A$203&amp; ".01"</f>
        <v>01.04.03.03.01</v>
      </c>
      <c r="B204" s="340" t="s">
        <v>455</v>
      </c>
      <c r="C204" s="278" t="s">
        <v>55</v>
      </c>
      <c r="D204" s="271"/>
      <c r="E204" s="271"/>
      <c r="F204" s="271"/>
      <c r="G204" s="271"/>
      <c r="H204" s="336"/>
      <c r="I204" s="339">
        <f>SUM(H205:H218)</f>
        <v>12.02</v>
      </c>
      <c r="J204" s="297"/>
    </row>
    <row r="205" spans="1:10" s="289" customFormat="1" ht="15" customHeight="1">
      <c r="A205" s="303"/>
      <c r="B205" s="295" t="s">
        <v>454</v>
      </c>
      <c r="C205" s="278"/>
      <c r="D205" s="271">
        <v>1</v>
      </c>
      <c r="E205" s="271">
        <v>1.2</v>
      </c>
      <c r="F205" s="271">
        <v>1.2</v>
      </c>
      <c r="G205" s="271"/>
      <c r="H205" s="336">
        <f t="shared" ref="H205:H218" si="4">+ROUND(PRODUCT(D205:G205),2)</f>
        <v>1.44</v>
      </c>
      <c r="I205" s="339"/>
      <c r="J205" s="297"/>
    </row>
    <row r="206" spans="1:10" s="289" customFormat="1" ht="15" customHeight="1">
      <c r="A206" s="303"/>
      <c r="B206" s="295" t="s">
        <v>453</v>
      </c>
      <c r="C206" s="278"/>
      <c r="D206" s="271">
        <v>3</v>
      </c>
      <c r="E206" s="271">
        <v>1.2</v>
      </c>
      <c r="F206" s="271"/>
      <c r="G206" s="271">
        <v>0.9</v>
      </c>
      <c r="H206" s="336">
        <f t="shared" si="4"/>
        <v>3.24</v>
      </c>
      <c r="I206" s="339"/>
      <c r="J206" s="297"/>
    </row>
    <row r="207" spans="1:10" s="289" customFormat="1" ht="15" customHeight="1">
      <c r="A207" s="303"/>
      <c r="B207" s="295" t="s">
        <v>449</v>
      </c>
      <c r="C207" s="278"/>
      <c r="D207" s="271">
        <v>2</v>
      </c>
      <c r="E207" s="271">
        <v>1.3</v>
      </c>
      <c r="F207" s="271"/>
      <c r="G207" s="271">
        <v>0.9</v>
      </c>
      <c r="H207" s="336">
        <f t="shared" si="4"/>
        <v>2.34</v>
      </c>
      <c r="I207" s="339"/>
      <c r="J207" s="297"/>
    </row>
    <row r="208" spans="1:10" s="289" customFormat="1" ht="15" customHeight="1">
      <c r="A208" s="303"/>
      <c r="B208" s="295" t="s">
        <v>448</v>
      </c>
      <c r="C208" s="278"/>
      <c r="D208" s="271">
        <v>1</v>
      </c>
      <c r="E208" s="271">
        <v>1.4</v>
      </c>
      <c r="F208" s="271"/>
      <c r="G208" s="271">
        <v>0.9</v>
      </c>
      <c r="H208" s="336">
        <f t="shared" si="4"/>
        <v>1.26</v>
      </c>
      <c r="I208" s="339"/>
      <c r="J208" s="297"/>
    </row>
    <row r="209" spans="1:10" s="289" customFormat="1" ht="15" customHeight="1">
      <c r="A209" s="303"/>
      <c r="B209" s="295" t="s">
        <v>452</v>
      </c>
      <c r="C209" s="278"/>
      <c r="D209" s="271">
        <v>1</v>
      </c>
      <c r="E209" s="271">
        <v>1.2</v>
      </c>
      <c r="F209" s="271">
        <v>1.2</v>
      </c>
      <c r="G209" s="271"/>
      <c r="H209" s="336">
        <f t="shared" si="4"/>
        <v>1.44</v>
      </c>
      <c r="I209" s="339"/>
      <c r="J209" s="297"/>
    </row>
    <row r="210" spans="1:10" s="289" customFormat="1" ht="15" customHeight="1">
      <c r="A210" s="303"/>
      <c r="B210" s="295" t="s">
        <v>141</v>
      </c>
      <c r="C210" s="278"/>
      <c r="D210" s="271">
        <v>-1</v>
      </c>
      <c r="E210" s="271">
        <v>0.6</v>
      </c>
      <c r="F210" s="271">
        <v>0.6</v>
      </c>
      <c r="G210" s="271"/>
      <c r="H210" s="336">
        <f t="shared" si="4"/>
        <v>-0.36</v>
      </c>
      <c r="I210" s="339"/>
      <c r="J210" s="297"/>
    </row>
    <row r="211" spans="1:10" s="289" customFormat="1" ht="15" customHeight="1">
      <c r="A211" s="303"/>
      <c r="B211" s="295" t="s">
        <v>451</v>
      </c>
      <c r="C211" s="278"/>
      <c r="D211" s="271">
        <v>4</v>
      </c>
      <c r="E211" s="271">
        <v>0.6</v>
      </c>
      <c r="F211" s="271"/>
      <c r="G211" s="271">
        <v>0.15</v>
      </c>
      <c r="H211" s="336">
        <f t="shared" si="4"/>
        <v>0.36</v>
      </c>
      <c r="I211" s="339"/>
      <c r="J211" s="297"/>
    </row>
    <row r="212" spans="1:10" s="289" customFormat="1" ht="15" customHeight="1">
      <c r="A212" s="303"/>
      <c r="B212" s="295" t="s">
        <v>143</v>
      </c>
      <c r="C212" s="278"/>
      <c r="D212" s="271">
        <v>1</v>
      </c>
      <c r="E212" s="271">
        <v>1.4</v>
      </c>
      <c r="F212" s="271">
        <v>1.3</v>
      </c>
      <c r="G212" s="271"/>
      <c r="H212" s="336">
        <f t="shared" si="4"/>
        <v>1.82</v>
      </c>
      <c r="I212" s="339"/>
      <c r="J212" s="297"/>
    </row>
    <row r="213" spans="1:10" s="289" customFormat="1" ht="15" customHeight="1">
      <c r="A213" s="303"/>
      <c r="B213" s="295" t="s">
        <v>141</v>
      </c>
      <c r="C213" s="278"/>
      <c r="D213" s="271">
        <v>-1</v>
      </c>
      <c r="E213" s="271">
        <v>0.6</v>
      </c>
      <c r="F213" s="271">
        <v>0.6</v>
      </c>
      <c r="G213" s="271"/>
      <c r="H213" s="336">
        <f t="shared" si="4"/>
        <v>-0.36</v>
      </c>
      <c r="I213" s="339"/>
      <c r="J213" s="297"/>
    </row>
    <row r="214" spans="1:10" s="289" customFormat="1" ht="15" customHeight="1">
      <c r="A214" s="303"/>
      <c r="B214" s="295" t="s">
        <v>447</v>
      </c>
      <c r="C214" s="278"/>
      <c r="D214" s="271">
        <v>4</v>
      </c>
      <c r="E214" s="271">
        <v>0.8</v>
      </c>
      <c r="F214" s="271"/>
      <c r="G214" s="271">
        <v>0.05</v>
      </c>
      <c r="H214" s="336">
        <f t="shared" si="4"/>
        <v>0.16</v>
      </c>
      <c r="I214" s="339"/>
      <c r="J214" s="297"/>
    </row>
    <row r="215" spans="1:10" s="289" customFormat="1" ht="15" customHeight="1">
      <c r="A215" s="303"/>
      <c r="B215" s="295" t="s">
        <v>446</v>
      </c>
      <c r="C215" s="278"/>
      <c r="D215" s="271">
        <v>2</v>
      </c>
      <c r="E215" s="271">
        <v>0.8</v>
      </c>
      <c r="F215" s="271">
        <v>0.1</v>
      </c>
      <c r="G215" s="271"/>
      <c r="H215" s="336">
        <f t="shared" si="4"/>
        <v>0.16</v>
      </c>
      <c r="I215" s="339"/>
      <c r="J215" s="297"/>
    </row>
    <row r="216" spans="1:10" s="289" customFormat="1" ht="15" customHeight="1">
      <c r="A216" s="303"/>
      <c r="B216" s="295"/>
      <c r="C216" s="278"/>
      <c r="D216" s="271">
        <v>2</v>
      </c>
      <c r="E216" s="271">
        <v>0.6</v>
      </c>
      <c r="F216" s="271">
        <v>0.1</v>
      </c>
      <c r="G216" s="271"/>
      <c r="H216" s="336">
        <f t="shared" si="4"/>
        <v>0.12</v>
      </c>
      <c r="I216" s="339"/>
      <c r="J216" s="297"/>
    </row>
    <row r="217" spans="1:10" s="289" customFormat="1" ht="15" customHeight="1">
      <c r="A217" s="303"/>
      <c r="B217" s="295" t="s">
        <v>445</v>
      </c>
      <c r="C217" s="278"/>
      <c r="D217" s="271">
        <v>2</v>
      </c>
      <c r="E217" s="271">
        <v>1.3</v>
      </c>
      <c r="F217" s="271"/>
      <c r="G217" s="271">
        <v>0.1</v>
      </c>
      <c r="H217" s="336">
        <f t="shared" si="4"/>
        <v>0.26</v>
      </c>
      <c r="I217" s="339"/>
      <c r="J217" s="297"/>
    </row>
    <row r="218" spans="1:10" s="289" customFormat="1" ht="15" customHeight="1">
      <c r="A218" s="303"/>
      <c r="B218" s="295"/>
      <c r="C218" s="278"/>
      <c r="D218" s="271">
        <v>1</v>
      </c>
      <c r="E218" s="271">
        <v>1.4</v>
      </c>
      <c r="F218" s="271"/>
      <c r="G218" s="271">
        <v>0.1</v>
      </c>
      <c r="H218" s="336">
        <f t="shared" si="4"/>
        <v>0.14000000000000001</v>
      </c>
      <c r="I218" s="339"/>
      <c r="J218" s="297"/>
    </row>
    <row r="219" spans="1:10" s="289" customFormat="1" ht="15" customHeight="1">
      <c r="A219" s="303"/>
      <c r="B219" s="340"/>
      <c r="C219" s="278"/>
      <c r="D219" s="271"/>
      <c r="E219" s="271"/>
      <c r="F219" s="271"/>
      <c r="G219" s="271"/>
      <c r="H219" s="336"/>
      <c r="I219" s="339"/>
      <c r="J219" s="297"/>
    </row>
    <row r="220" spans="1:10" s="289" customFormat="1" ht="15" customHeight="1">
      <c r="A220" s="294" t="str">
        <f>A$165&amp; ".04"</f>
        <v>01.04.03.04</v>
      </c>
      <c r="B220" s="274" t="s">
        <v>148</v>
      </c>
      <c r="C220" s="278"/>
      <c r="D220" s="271"/>
      <c r="E220" s="271"/>
      <c r="F220" s="271"/>
      <c r="G220" s="271"/>
      <c r="H220" s="336"/>
      <c r="I220" s="339"/>
      <c r="J220" s="297"/>
    </row>
    <row r="221" spans="1:10" s="289" customFormat="1" ht="15" customHeight="1">
      <c r="A221" s="303" t="str">
        <f>A$220&amp; ".01"</f>
        <v>01.04.03.04.01</v>
      </c>
      <c r="B221" s="340" t="s">
        <v>450</v>
      </c>
      <c r="C221" s="278" t="s">
        <v>55</v>
      </c>
      <c r="D221" s="271"/>
      <c r="E221" s="271"/>
      <c r="F221" s="271"/>
      <c r="G221" s="271"/>
      <c r="H221" s="336"/>
      <c r="I221" s="339">
        <f>SUM(H222:H230)</f>
        <v>5.8999999999999995</v>
      </c>
      <c r="J221" s="297"/>
    </row>
    <row r="222" spans="1:10" s="289" customFormat="1" ht="15" customHeight="1">
      <c r="A222" s="303"/>
      <c r="B222" s="295" t="s">
        <v>449</v>
      </c>
      <c r="C222" s="278"/>
      <c r="D222" s="271">
        <v>2</v>
      </c>
      <c r="E222" s="271">
        <v>1.3</v>
      </c>
      <c r="F222" s="271"/>
      <c r="G222" s="271">
        <v>0.9</v>
      </c>
      <c r="H222" s="336">
        <f t="shared" ref="H222:H230" si="5">+ROUND(PRODUCT(D222:G222),2)</f>
        <v>2.34</v>
      </c>
      <c r="I222" s="339"/>
      <c r="J222" s="297"/>
    </row>
    <row r="223" spans="1:10" s="289" customFormat="1" ht="15" customHeight="1">
      <c r="A223" s="303"/>
      <c r="B223" s="295" t="s">
        <v>448</v>
      </c>
      <c r="C223" s="278"/>
      <c r="D223" s="271">
        <v>1</v>
      </c>
      <c r="E223" s="271">
        <v>1.4</v>
      </c>
      <c r="F223" s="271"/>
      <c r="G223" s="271">
        <v>0.9</v>
      </c>
      <c r="H223" s="336">
        <f t="shared" si="5"/>
        <v>1.26</v>
      </c>
      <c r="I223" s="339"/>
      <c r="J223" s="297"/>
    </row>
    <row r="224" spans="1:10" s="289" customFormat="1" ht="15" customHeight="1">
      <c r="A224" s="303"/>
      <c r="B224" s="295" t="s">
        <v>143</v>
      </c>
      <c r="C224" s="278"/>
      <c r="D224" s="271">
        <v>1</v>
      </c>
      <c r="E224" s="271">
        <v>1.4</v>
      </c>
      <c r="F224" s="271">
        <v>1.3</v>
      </c>
      <c r="G224" s="271"/>
      <c r="H224" s="336">
        <f t="shared" si="5"/>
        <v>1.82</v>
      </c>
      <c r="I224" s="339"/>
      <c r="J224" s="297"/>
    </row>
    <row r="225" spans="1:10" s="289" customFormat="1" ht="15" customHeight="1">
      <c r="A225" s="303"/>
      <c r="B225" s="295" t="s">
        <v>141</v>
      </c>
      <c r="C225" s="278"/>
      <c r="D225" s="271">
        <v>-1</v>
      </c>
      <c r="E225" s="271">
        <v>0.6</v>
      </c>
      <c r="F225" s="271">
        <v>0.6</v>
      </c>
      <c r="G225" s="271"/>
      <c r="H225" s="336">
        <f t="shared" si="5"/>
        <v>-0.36</v>
      </c>
      <c r="I225" s="339"/>
      <c r="J225" s="297"/>
    </row>
    <row r="226" spans="1:10" s="289" customFormat="1" ht="15" customHeight="1">
      <c r="A226" s="303"/>
      <c r="B226" s="295" t="s">
        <v>447</v>
      </c>
      <c r="C226" s="278"/>
      <c r="D226" s="271">
        <v>4</v>
      </c>
      <c r="E226" s="271">
        <v>0.8</v>
      </c>
      <c r="F226" s="271"/>
      <c r="G226" s="271">
        <v>0.05</v>
      </c>
      <c r="H226" s="336">
        <f t="shared" si="5"/>
        <v>0.16</v>
      </c>
      <c r="I226" s="339"/>
      <c r="J226" s="297"/>
    </row>
    <row r="227" spans="1:10" s="289" customFormat="1" ht="15" customHeight="1">
      <c r="A227" s="303"/>
      <c r="B227" s="295" t="s">
        <v>446</v>
      </c>
      <c r="C227" s="278"/>
      <c r="D227" s="271">
        <v>2</v>
      </c>
      <c r="E227" s="271">
        <v>0.8</v>
      </c>
      <c r="F227" s="271">
        <v>0.1</v>
      </c>
      <c r="G227" s="271"/>
      <c r="H227" s="336">
        <f t="shared" si="5"/>
        <v>0.16</v>
      </c>
      <c r="I227" s="339"/>
      <c r="J227" s="297"/>
    </row>
    <row r="228" spans="1:10" s="289" customFormat="1" ht="15" customHeight="1">
      <c r="A228" s="303"/>
      <c r="B228" s="295"/>
      <c r="C228" s="278"/>
      <c r="D228" s="271">
        <v>2</v>
      </c>
      <c r="E228" s="271">
        <v>0.6</v>
      </c>
      <c r="F228" s="271">
        <v>0.1</v>
      </c>
      <c r="G228" s="271"/>
      <c r="H228" s="336">
        <f t="shared" si="5"/>
        <v>0.12</v>
      </c>
      <c r="I228" s="339"/>
      <c r="J228" s="297"/>
    </row>
    <row r="229" spans="1:10" s="289" customFormat="1" ht="15" customHeight="1">
      <c r="A229" s="303"/>
      <c r="B229" s="295" t="s">
        <v>445</v>
      </c>
      <c r="C229" s="278"/>
      <c r="D229" s="271">
        <v>2</v>
      </c>
      <c r="E229" s="271">
        <v>1.3</v>
      </c>
      <c r="F229" s="271"/>
      <c r="G229" s="271">
        <v>0.1</v>
      </c>
      <c r="H229" s="336">
        <f t="shared" si="5"/>
        <v>0.26</v>
      </c>
      <c r="I229" s="339"/>
      <c r="J229" s="297"/>
    </row>
    <row r="230" spans="1:10" s="337" customFormat="1" ht="15" customHeight="1">
      <c r="A230" s="303"/>
      <c r="B230" s="295"/>
      <c r="C230" s="278"/>
      <c r="D230" s="271">
        <v>1</v>
      </c>
      <c r="E230" s="271">
        <v>1.4</v>
      </c>
      <c r="F230" s="271"/>
      <c r="G230" s="271">
        <v>0.1</v>
      </c>
      <c r="H230" s="336">
        <f t="shared" si="5"/>
        <v>0.14000000000000001</v>
      </c>
      <c r="I230" s="339"/>
      <c r="J230" s="338"/>
    </row>
    <row r="231" spans="1:10" s="337" customFormat="1" ht="15" customHeight="1">
      <c r="A231" s="303"/>
      <c r="B231" s="295"/>
      <c r="C231" s="278"/>
      <c r="D231" s="271"/>
      <c r="E231" s="271"/>
      <c r="F231" s="271"/>
      <c r="G231" s="271"/>
      <c r="H231" s="336"/>
      <c r="I231" s="339"/>
      <c r="J231" s="338"/>
    </row>
    <row r="232" spans="1:10" s="337" customFormat="1" ht="15" customHeight="1">
      <c r="A232" s="294" t="str">
        <f>A$165&amp; ".05"</f>
        <v>01.04.03.05</v>
      </c>
      <c r="B232" s="274" t="s">
        <v>444</v>
      </c>
      <c r="C232" s="278"/>
      <c r="D232" s="271"/>
      <c r="E232" s="271"/>
      <c r="F232" s="271"/>
      <c r="G232" s="271"/>
      <c r="H232" s="336"/>
      <c r="I232" s="339"/>
      <c r="J232" s="338"/>
    </row>
    <row r="233" spans="1:10" s="337" customFormat="1" ht="15" customHeight="1">
      <c r="A233" s="303" t="str">
        <f>A$232&amp; ".01"</f>
        <v>01.04.03.05.01</v>
      </c>
      <c r="B233" s="842" t="s">
        <v>1049</v>
      </c>
      <c r="C233" s="278" t="s">
        <v>58</v>
      </c>
      <c r="D233" s="271"/>
      <c r="E233" s="271"/>
      <c r="F233" s="271"/>
      <c r="G233" s="271"/>
      <c r="H233" s="336"/>
      <c r="I233" s="339">
        <f>H234</f>
        <v>1</v>
      </c>
      <c r="J233" s="338"/>
    </row>
    <row r="234" spans="1:10" s="337" customFormat="1" ht="15" customHeight="1">
      <c r="A234" s="294"/>
      <c r="B234" s="340"/>
      <c r="C234" s="278"/>
      <c r="D234" s="271">
        <v>1</v>
      </c>
      <c r="E234" s="271"/>
      <c r="F234" s="271"/>
      <c r="G234" s="271"/>
      <c r="H234" s="336">
        <f>+ROUND(PRODUCT(D234:G234),2)</f>
        <v>1</v>
      </c>
      <c r="I234" s="246"/>
      <c r="J234" s="338"/>
    </row>
    <row r="235" spans="1:10" s="337" customFormat="1" ht="15" customHeight="1">
      <c r="A235" s="294" t="str">
        <f>A$165&amp; ".06"</f>
        <v>01.04.03.06</v>
      </c>
      <c r="B235" s="274" t="s">
        <v>117</v>
      </c>
      <c r="C235" s="188"/>
      <c r="D235" s="271"/>
      <c r="E235" s="271"/>
      <c r="F235" s="271"/>
      <c r="G235" s="271"/>
      <c r="H235" s="336"/>
      <c r="I235" s="246"/>
      <c r="J235" s="338"/>
    </row>
    <row r="236" spans="1:10" s="337" customFormat="1" ht="15" customHeight="1">
      <c r="A236" s="303" t="str">
        <f>A$235&amp; ".01"</f>
        <v>01.04.03.06.01</v>
      </c>
      <c r="B236" s="340" t="s">
        <v>442</v>
      </c>
      <c r="C236" s="278" t="s">
        <v>93</v>
      </c>
      <c r="D236" s="271"/>
      <c r="E236" s="271"/>
      <c r="F236" s="271"/>
      <c r="G236" s="271"/>
      <c r="H236" s="336"/>
      <c r="I236" s="339">
        <f>+SUM(H237:H237)</f>
        <v>6.28E-3</v>
      </c>
      <c r="J236" s="338"/>
    </row>
    <row r="237" spans="1:10" s="337" customFormat="1" ht="15" customHeight="1">
      <c r="A237" s="303"/>
      <c r="B237" s="340"/>
      <c r="C237" s="278"/>
      <c r="D237" s="271">
        <v>1</v>
      </c>
      <c r="E237" s="271" t="s">
        <v>47</v>
      </c>
      <c r="F237" s="271">
        <v>3.1399999999999997E-2</v>
      </c>
      <c r="G237" s="271">
        <v>0.2</v>
      </c>
      <c r="H237" s="336">
        <f>PRODUCT(D237:G237)</f>
        <v>6.28E-3</v>
      </c>
      <c r="I237" s="339"/>
      <c r="J237" s="338"/>
    </row>
    <row r="238" spans="1:10" s="337" customFormat="1" ht="15" customHeight="1">
      <c r="A238" s="303"/>
      <c r="B238" s="340"/>
      <c r="C238" s="278"/>
      <c r="D238" s="271"/>
      <c r="E238" s="271"/>
      <c r="F238" s="271"/>
      <c r="G238" s="271"/>
      <c r="H238" s="336"/>
      <c r="I238" s="339"/>
      <c r="J238" s="338"/>
    </row>
    <row r="239" spans="1:10" s="337" customFormat="1" ht="15" customHeight="1">
      <c r="A239" s="294" t="str">
        <f>A$165&amp; ".07"</f>
        <v>01.04.03.07</v>
      </c>
      <c r="B239" s="274" t="s">
        <v>441</v>
      </c>
      <c r="C239" s="278"/>
      <c r="D239" s="271"/>
      <c r="E239" s="271"/>
      <c r="F239" s="271"/>
      <c r="G239" s="271"/>
      <c r="H239" s="271"/>
      <c r="I239" s="291"/>
      <c r="J239" s="338"/>
    </row>
    <row r="240" spans="1:10" s="337" customFormat="1" ht="15" customHeight="1">
      <c r="A240" s="303" t="str">
        <f>A$239&amp; ".01"</f>
        <v>01.04.03.07.01</v>
      </c>
      <c r="B240" s="842" t="s">
        <v>1057</v>
      </c>
      <c r="C240" s="278" t="s">
        <v>58</v>
      </c>
      <c r="D240" s="271"/>
      <c r="E240" s="271"/>
      <c r="F240" s="271"/>
      <c r="G240" s="271"/>
      <c r="H240" s="271"/>
      <c r="I240" s="291">
        <v>1</v>
      </c>
      <c r="J240" s="338"/>
    </row>
    <row r="241" spans="1:10" s="337" customFormat="1" ht="15" customHeight="1">
      <c r="A241" s="296"/>
      <c r="B241" s="343" t="s">
        <v>435</v>
      </c>
      <c r="C241" s="278"/>
      <c r="D241" s="271">
        <v>5</v>
      </c>
      <c r="E241" s="271"/>
      <c r="F241" s="271"/>
      <c r="G241" s="271"/>
      <c r="H241" s="271"/>
      <c r="I241" s="291"/>
      <c r="J241" s="338"/>
    </row>
    <row r="242" spans="1:10" s="337" customFormat="1" ht="15" customHeight="1">
      <c r="A242" s="296"/>
      <c r="B242" s="343" t="s">
        <v>424</v>
      </c>
      <c r="C242" s="278"/>
      <c r="D242" s="271">
        <v>2</v>
      </c>
      <c r="E242" s="271"/>
      <c r="F242" s="271"/>
      <c r="G242" s="271"/>
      <c r="H242" s="271"/>
      <c r="I242" s="291"/>
      <c r="J242" s="338"/>
    </row>
    <row r="243" spans="1:10" s="337" customFormat="1" ht="15" customHeight="1">
      <c r="A243" s="296"/>
      <c r="B243" s="343" t="s">
        <v>423</v>
      </c>
      <c r="C243" s="278"/>
      <c r="D243" s="271">
        <v>2</v>
      </c>
      <c r="E243" s="271"/>
      <c r="F243" s="271"/>
      <c r="G243" s="271"/>
      <c r="H243" s="271"/>
      <c r="I243" s="291"/>
      <c r="J243" s="338"/>
    </row>
    <row r="244" spans="1:10" s="337" customFormat="1" ht="15" customHeight="1">
      <c r="A244" s="296"/>
      <c r="B244" s="343" t="s">
        <v>436</v>
      </c>
      <c r="C244" s="278"/>
      <c r="D244" s="271">
        <v>2</v>
      </c>
      <c r="E244" s="271"/>
      <c r="F244" s="271"/>
      <c r="G244" s="271"/>
      <c r="H244" s="271"/>
      <c r="I244" s="291"/>
      <c r="J244" s="338"/>
    </row>
    <row r="245" spans="1:10" s="337" customFormat="1" ht="15" customHeight="1">
      <c r="A245" s="296"/>
      <c r="B245" s="343" t="s">
        <v>421</v>
      </c>
      <c r="C245" s="278"/>
      <c r="D245" s="271">
        <v>1</v>
      </c>
      <c r="E245" s="271"/>
      <c r="F245" s="271"/>
      <c r="G245" s="271"/>
      <c r="H245" s="271"/>
      <c r="I245" s="291"/>
      <c r="J245" s="338"/>
    </row>
    <row r="246" spans="1:10" s="337" customFormat="1" ht="15" customHeight="1">
      <c r="A246" s="296"/>
      <c r="B246" s="295" t="s">
        <v>440</v>
      </c>
      <c r="C246" s="278"/>
      <c r="D246" s="271">
        <v>1</v>
      </c>
      <c r="E246" s="271"/>
      <c r="F246" s="271"/>
      <c r="G246" s="271"/>
      <c r="H246" s="271"/>
      <c r="I246" s="291"/>
      <c r="J246" s="338"/>
    </row>
    <row r="247" spans="1:10" s="337" customFormat="1" ht="15" customHeight="1">
      <c r="A247" s="296"/>
      <c r="B247" s="348"/>
      <c r="C247" s="278"/>
      <c r="D247" s="271"/>
      <c r="E247" s="271"/>
      <c r="F247" s="271"/>
      <c r="G247" s="271"/>
      <c r="H247" s="271"/>
      <c r="I247" s="291"/>
      <c r="J247" s="338"/>
    </row>
    <row r="248" spans="1:10" s="337" customFormat="1" ht="15" customHeight="1">
      <c r="A248" s="303" t="str">
        <f>A$239&amp; ".02"</f>
        <v>01.04.03.07.02</v>
      </c>
      <c r="B248" s="282" t="s">
        <v>439</v>
      </c>
      <c r="C248" s="278" t="s">
        <v>58</v>
      </c>
      <c r="D248" s="271"/>
      <c r="E248" s="271"/>
      <c r="F248" s="271"/>
      <c r="G248" s="271"/>
      <c r="H248" s="271"/>
      <c r="I248" s="291">
        <v>1</v>
      </c>
      <c r="J248" s="338"/>
    </row>
    <row r="249" spans="1:10" s="337" customFormat="1" ht="15" customHeight="1">
      <c r="A249" s="296"/>
      <c r="B249" s="295" t="s">
        <v>438</v>
      </c>
      <c r="C249" s="278"/>
      <c r="D249" s="271">
        <v>1</v>
      </c>
      <c r="E249" s="271"/>
      <c r="F249" s="271"/>
      <c r="G249" s="271"/>
      <c r="H249" s="271"/>
      <c r="I249" s="291"/>
      <c r="J249" s="338"/>
    </row>
    <row r="250" spans="1:10" s="337" customFormat="1" ht="15" customHeight="1">
      <c r="A250" s="296"/>
      <c r="B250" s="343" t="s">
        <v>424</v>
      </c>
      <c r="C250" s="278"/>
      <c r="D250" s="271">
        <v>2</v>
      </c>
      <c r="E250" s="271"/>
      <c r="F250" s="271"/>
      <c r="G250" s="271"/>
      <c r="H250" s="271"/>
      <c r="I250" s="291"/>
      <c r="J250" s="338"/>
    </row>
    <row r="251" spans="1:10" s="337" customFormat="1" ht="15" customHeight="1">
      <c r="A251" s="296"/>
      <c r="B251" s="343" t="s">
        <v>437</v>
      </c>
      <c r="C251" s="278"/>
      <c r="D251" s="271">
        <v>2</v>
      </c>
      <c r="E251" s="271"/>
      <c r="F251" s="271"/>
      <c r="G251" s="271"/>
      <c r="H251" s="271"/>
      <c r="I251" s="291"/>
      <c r="J251" s="338"/>
    </row>
    <row r="252" spans="1:10" s="337" customFormat="1" ht="15" customHeight="1">
      <c r="A252" s="347"/>
      <c r="B252" s="343" t="s">
        <v>436</v>
      </c>
      <c r="C252" s="278"/>
      <c r="D252" s="271">
        <v>2</v>
      </c>
      <c r="E252" s="271"/>
      <c r="F252" s="271"/>
      <c r="G252" s="271"/>
      <c r="H252" s="271"/>
      <c r="I252" s="291"/>
      <c r="J252" s="338"/>
    </row>
    <row r="253" spans="1:10" s="337" customFormat="1" ht="15" customHeight="1">
      <c r="A253" s="296"/>
      <c r="B253" s="343" t="s">
        <v>421</v>
      </c>
      <c r="C253" s="342"/>
      <c r="D253" s="271">
        <v>1</v>
      </c>
      <c r="E253" s="341"/>
      <c r="F253" s="341"/>
      <c r="G253" s="271"/>
      <c r="H253" s="271"/>
      <c r="I253" s="291"/>
      <c r="J253" s="338"/>
    </row>
    <row r="254" spans="1:10" s="337" customFormat="1" ht="15" customHeight="1">
      <c r="A254" s="296"/>
      <c r="B254" s="345" t="s">
        <v>435</v>
      </c>
      <c r="C254" s="342"/>
      <c r="D254" s="271">
        <v>2</v>
      </c>
      <c r="E254" s="341"/>
      <c r="F254" s="341"/>
      <c r="G254" s="271"/>
      <c r="H254" s="271"/>
      <c r="I254" s="291"/>
      <c r="J254" s="338"/>
    </row>
    <row r="255" spans="1:10" s="337" customFormat="1" ht="15" customHeight="1">
      <c r="A255" s="296"/>
      <c r="B255" s="345"/>
      <c r="C255" s="342"/>
      <c r="D255" s="271"/>
      <c r="E255" s="341"/>
      <c r="F255" s="341"/>
      <c r="G255" s="271"/>
      <c r="H255" s="271"/>
      <c r="I255" s="291"/>
      <c r="J255" s="338"/>
    </row>
    <row r="256" spans="1:10" s="337" customFormat="1" ht="15" customHeight="1">
      <c r="A256" s="303" t="str">
        <f>A$239&amp; ".03"</f>
        <v>01.04.03.07.03</v>
      </c>
      <c r="B256" s="344" t="s">
        <v>434</v>
      </c>
      <c r="C256" s="342" t="s">
        <v>58</v>
      </c>
      <c r="D256" s="271"/>
      <c r="E256" s="341"/>
      <c r="F256" s="341"/>
      <c r="G256" s="271"/>
      <c r="H256" s="271"/>
      <c r="I256" s="291"/>
      <c r="J256" s="338"/>
    </row>
    <row r="257" spans="1:10" s="337" customFormat="1" ht="15" customHeight="1">
      <c r="A257" s="296"/>
      <c r="B257" s="343" t="s">
        <v>433</v>
      </c>
      <c r="C257" s="342"/>
      <c r="D257" s="271">
        <v>1</v>
      </c>
      <c r="E257" s="341"/>
      <c r="F257" s="346"/>
      <c r="G257" s="271"/>
      <c r="H257" s="341"/>
      <c r="I257" s="291"/>
      <c r="J257" s="338"/>
    </row>
    <row r="258" spans="1:10" s="337" customFormat="1" ht="15" customHeight="1">
      <c r="A258" s="296"/>
      <c r="B258" s="345" t="s">
        <v>432</v>
      </c>
      <c r="C258" s="342"/>
      <c r="D258" s="271">
        <v>2</v>
      </c>
      <c r="E258" s="341"/>
      <c r="F258" s="346"/>
      <c r="G258" s="271"/>
      <c r="H258" s="341"/>
      <c r="I258" s="291"/>
      <c r="J258" s="338"/>
    </row>
    <row r="259" spans="1:10" s="337" customFormat="1" ht="15" customHeight="1">
      <c r="A259" s="296"/>
      <c r="B259" s="343" t="s">
        <v>431</v>
      </c>
      <c r="C259" s="342"/>
      <c r="D259" s="271">
        <v>2</v>
      </c>
      <c r="E259" s="341"/>
      <c r="F259" s="341"/>
      <c r="G259" s="341"/>
      <c r="H259" s="341"/>
      <c r="I259" s="291"/>
      <c r="J259" s="338"/>
    </row>
    <row r="260" spans="1:10" s="337" customFormat="1" ht="15" customHeight="1">
      <c r="A260" s="296"/>
      <c r="B260" s="345" t="s">
        <v>430</v>
      </c>
      <c r="C260" s="342"/>
      <c r="D260" s="271">
        <v>2</v>
      </c>
      <c r="E260" s="341"/>
      <c r="F260" s="341"/>
      <c r="G260" s="341"/>
      <c r="H260" s="341"/>
      <c r="I260" s="291"/>
      <c r="J260" s="338"/>
    </row>
    <row r="261" spans="1:10" s="337" customFormat="1" ht="15" customHeight="1">
      <c r="A261" s="296"/>
      <c r="B261" s="343" t="s">
        <v>429</v>
      </c>
      <c r="C261" s="342"/>
      <c r="D261" s="271">
        <v>1</v>
      </c>
      <c r="E261" s="341"/>
      <c r="F261" s="341"/>
      <c r="G261" s="341"/>
      <c r="H261" s="341"/>
      <c r="I261" s="291"/>
      <c r="J261" s="338"/>
    </row>
    <row r="262" spans="1:10" s="337" customFormat="1" ht="15" customHeight="1">
      <c r="A262" s="296"/>
      <c r="B262" s="345" t="s">
        <v>428</v>
      </c>
      <c r="C262" s="342"/>
      <c r="D262" s="271">
        <v>2</v>
      </c>
      <c r="E262" s="341"/>
      <c r="F262" s="341"/>
      <c r="G262" s="341"/>
      <c r="H262" s="341"/>
      <c r="I262" s="291"/>
      <c r="J262" s="338"/>
    </row>
    <row r="263" spans="1:10" s="337" customFormat="1" ht="15" customHeight="1">
      <c r="A263" s="296"/>
      <c r="B263" s="343" t="s">
        <v>427</v>
      </c>
      <c r="C263" s="342"/>
      <c r="D263" s="271">
        <v>1</v>
      </c>
      <c r="E263" s="341"/>
      <c r="F263" s="341"/>
      <c r="G263" s="341"/>
      <c r="H263" s="341"/>
      <c r="I263" s="291"/>
      <c r="J263" s="338"/>
    </row>
    <row r="264" spans="1:10" s="337" customFormat="1" ht="15" customHeight="1">
      <c r="A264" s="296"/>
      <c r="B264" s="344"/>
      <c r="C264" s="342"/>
      <c r="D264" s="271"/>
      <c r="E264" s="341"/>
      <c r="F264" s="341"/>
      <c r="G264" s="341"/>
      <c r="H264" s="341"/>
      <c r="I264" s="291"/>
      <c r="J264" s="338"/>
    </row>
    <row r="265" spans="1:10" s="337" customFormat="1" ht="15" customHeight="1">
      <c r="A265" s="303" t="str">
        <f>A$239&amp; ".04"</f>
        <v>01.04.03.07.04</v>
      </c>
      <c r="B265" s="344" t="s">
        <v>426</v>
      </c>
      <c r="C265" s="342" t="s">
        <v>58</v>
      </c>
      <c r="D265" s="271"/>
      <c r="E265" s="341"/>
      <c r="F265" s="341"/>
      <c r="G265" s="341"/>
      <c r="H265" s="341"/>
      <c r="I265" s="291">
        <v>1</v>
      </c>
      <c r="J265" s="338"/>
    </row>
    <row r="266" spans="1:10" s="337" customFormat="1" ht="15" customHeight="1">
      <c r="A266" s="303"/>
      <c r="B266" s="343" t="s">
        <v>420</v>
      </c>
      <c r="C266" s="342"/>
      <c r="D266" s="271">
        <v>1</v>
      </c>
      <c r="E266" s="341"/>
      <c r="F266" s="341"/>
      <c r="G266" s="341"/>
      <c r="H266" s="341"/>
      <c r="I266" s="291"/>
      <c r="J266" s="338"/>
    </row>
    <row r="267" spans="1:10" s="337" customFormat="1" ht="15" customHeight="1">
      <c r="A267" s="303"/>
      <c r="B267" s="343" t="s">
        <v>425</v>
      </c>
      <c r="C267" s="342"/>
      <c r="D267" s="271">
        <v>1</v>
      </c>
      <c r="E267" s="341"/>
      <c r="F267" s="341"/>
      <c r="G267" s="341"/>
      <c r="H267" s="341"/>
      <c r="I267" s="291"/>
      <c r="J267" s="338"/>
    </row>
    <row r="268" spans="1:10" s="337" customFormat="1" ht="15" customHeight="1">
      <c r="A268" s="303"/>
      <c r="B268" s="343" t="s">
        <v>424</v>
      </c>
      <c r="C268" s="342"/>
      <c r="D268" s="271">
        <v>2</v>
      </c>
      <c r="E268" s="341"/>
      <c r="F268" s="341"/>
      <c r="G268" s="341"/>
      <c r="H268" s="341"/>
      <c r="I268" s="291"/>
      <c r="J268" s="338"/>
    </row>
    <row r="269" spans="1:10" s="337" customFormat="1" ht="15" customHeight="1">
      <c r="A269" s="303"/>
      <c r="B269" s="343" t="s">
        <v>423</v>
      </c>
      <c r="C269" s="342"/>
      <c r="D269" s="271">
        <v>2</v>
      </c>
      <c r="E269" s="341"/>
      <c r="F269" s="341"/>
      <c r="G269" s="341"/>
      <c r="H269" s="341"/>
      <c r="I269" s="291"/>
      <c r="J269" s="338"/>
    </row>
    <row r="270" spans="1:10" s="337" customFormat="1" ht="15" customHeight="1">
      <c r="A270" s="303"/>
      <c r="B270" s="343" t="s">
        <v>422</v>
      </c>
      <c r="C270" s="342"/>
      <c r="D270" s="271">
        <v>2</v>
      </c>
      <c r="E270" s="341"/>
      <c r="F270" s="341"/>
      <c r="G270" s="341"/>
      <c r="H270" s="341"/>
      <c r="I270" s="291"/>
      <c r="J270" s="338"/>
    </row>
    <row r="271" spans="1:10" s="337" customFormat="1" ht="15" customHeight="1">
      <c r="A271" s="303"/>
      <c r="B271" s="343" t="s">
        <v>421</v>
      </c>
      <c r="C271" s="342"/>
      <c r="D271" s="271">
        <v>1</v>
      </c>
      <c r="E271" s="341"/>
      <c r="F271" s="341"/>
      <c r="G271" s="341"/>
      <c r="H271" s="341"/>
      <c r="I271" s="291"/>
      <c r="J271" s="338"/>
    </row>
    <row r="272" spans="1:10" s="337" customFormat="1" ht="15" customHeight="1">
      <c r="A272" s="303"/>
      <c r="B272" s="343" t="s">
        <v>420</v>
      </c>
      <c r="C272" s="342"/>
      <c r="D272" s="271">
        <v>1</v>
      </c>
      <c r="E272" s="341"/>
      <c r="F272" s="341"/>
      <c r="G272" s="341"/>
      <c r="H272" s="341"/>
      <c r="I272" s="291"/>
      <c r="J272" s="338"/>
    </row>
    <row r="273" spans="1:10" s="337" customFormat="1" ht="15" customHeight="1">
      <c r="A273" s="303"/>
      <c r="B273" s="340"/>
      <c r="C273" s="278"/>
      <c r="D273" s="271"/>
      <c r="E273" s="271"/>
      <c r="F273" s="271"/>
      <c r="G273" s="271"/>
      <c r="H273" s="336"/>
      <c r="I273" s="339"/>
      <c r="J273" s="338"/>
    </row>
    <row r="274" spans="1:10" s="289" customFormat="1" ht="15" customHeight="1">
      <c r="A274" s="81" t="str">
        <f>A$26 &amp; ".04"</f>
        <v>01.04.04</v>
      </c>
      <c r="B274" s="843" t="s">
        <v>419</v>
      </c>
      <c r="C274" s="188"/>
      <c r="D274" s="271"/>
      <c r="E274" s="271"/>
      <c r="F274" s="271"/>
      <c r="G274" s="271"/>
      <c r="H274" s="336"/>
      <c r="I274" s="246"/>
      <c r="J274" s="297"/>
    </row>
    <row r="275" spans="1:10" s="289" customFormat="1" ht="15" customHeight="1">
      <c r="A275" s="294" t="str">
        <f>A$274&amp; ".01"</f>
        <v>01.04.04.01</v>
      </c>
      <c r="B275" s="310" t="s">
        <v>418</v>
      </c>
      <c r="C275" s="335"/>
      <c r="D275" s="334"/>
      <c r="E275" s="333"/>
      <c r="F275" s="332"/>
      <c r="G275" s="332"/>
      <c r="H275" s="332"/>
      <c r="I275" s="331"/>
      <c r="J275" s="297"/>
    </row>
    <row r="276" spans="1:10" s="289" customFormat="1" ht="15" customHeight="1">
      <c r="A276" s="294" t="str">
        <f>A$275&amp; ".01"</f>
        <v>01.04.04.01.01</v>
      </c>
      <c r="B276" s="310" t="s">
        <v>417</v>
      </c>
      <c r="C276" s="335"/>
      <c r="D276" s="334"/>
      <c r="E276" s="333"/>
      <c r="F276" s="332"/>
      <c r="G276" s="332"/>
      <c r="H276" s="332"/>
      <c r="I276" s="331"/>
      <c r="J276" s="297"/>
    </row>
    <row r="277" spans="1:10" s="289" customFormat="1" ht="15" customHeight="1">
      <c r="A277" s="294" t="str">
        <f>A$275&amp; ".01.01"</f>
        <v>01.04.04.01.01.01</v>
      </c>
      <c r="B277" s="318" t="s">
        <v>416</v>
      </c>
      <c r="C277" s="301" t="s">
        <v>415</v>
      </c>
      <c r="D277" s="300"/>
      <c r="E277" s="299"/>
      <c r="F277" s="299"/>
      <c r="G277" s="299"/>
      <c r="H277" s="299"/>
      <c r="I277" s="330">
        <f>+H278</f>
        <v>4.08</v>
      </c>
      <c r="J277" s="297"/>
    </row>
    <row r="278" spans="1:10" s="289" customFormat="1" ht="15" customHeight="1">
      <c r="A278" s="303"/>
      <c r="B278" s="311" t="s">
        <v>414</v>
      </c>
      <c r="C278" s="329"/>
      <c r="D278" s="309">
        <v>1</v>
      </c>
      <c r="E278" s="308"/>
      <c r="F278" s="308">
        <v>1.96</v>
      </c>
      <c r="G278" s="299">
        <v>2.08</v>
      </c>
      <c r="H278" s="327">
        <f>+ROUND(PRODUCT(D278:G278),2)</f>
        <v>4.08</v>
      </c>
      <c r="I278" s="328"/>
      <c r="J278" s="297"/>
    </row>
    <row r="279" spans="1:10" s="289" customFormat="1" ht="15" customHeight="1">
      <c r="B279" s="311" t="s">
        <v>403</v>
      </c>
      <c r="C279" s="329" t="s">
        <v>0</v>
      </c>
      <c r="D279" s="309"/>
      <c r="E279" s="308"/>
      <c r="F279" s="308"/>
      <c r="G279" s="299"/>
      <c r="H279" s="308">
        <f>H280+H281</f>
        <v>10.039999999999999</v>
      </c>
      <c r="I279" s="328"/>
      <c r="J279" s="297"/>
    </row>
    <row r="280" spans="1:10" s="289" customFormat="1" ht="15" customHeight="1">
      <c r="A280" s="303"/>
      <c r="B280" s="311" t="s">
        <v>399</v>
      </c>
      <c r="C280" s="329"/>
      <c r="D280" s="309">
        <v>2</v>
      </c>
      <c r="E280" s="308">
        <v>2.08</v>
      </c>
      <c r="F280" s="308"/>
      <c r="G280" s="299"/>
      <c r="H280" s="308">
        <f>+ROUNDUP(PRODUCT(D280:F280),2)</f>
        <v>4.16</v>
      </c>
      <c r="I280" s="328"/>
      <c r="J280" s="297"/>
    </row>
    <row r="281" spans="1:10" s="289" customFormat="1" ht="15" customHeight="1">
      <c r="A281" s="303"/>
      <c r="B281" s="311" t="s">
        <v>398</v>
      </c>
      <c r="C281" s="301"/>
      <c r="D281" s="300">
        <v>3</v>
      </c>
      <c r="E281" s="299">
        <v>1.96</v>
      </c>
      <c r="F281" s="299"/>
      <c r="G281" s="299"/>
      <c r="H281" s="308">
        <f>+ROUNDUP(PRODUCT(D281:F281),2)</f>
        <v>5.88</v>
      </c>
      <c r="I281" s="298"/>
      <c r="J281" s="297"/>
    </row>
    <row r="282" spans="1:10" s="289" customFormat="1" ht="15" customHeight="1">
      <c r="B282" s="311" t="s">
        <v>413</v>
      </c>
      <c r="C282" s="301" t="s">
        <v>58</v>
      </c>
      <c r="D282" s="300">
        <v>42</v>
      </c>
      <c r="E282" s="299"/>
      <c r="F282" s="299"/>
      <c r="G282" s="299"/>
      <c r="H282" s="327"/>
      <c r="I282" s="298"/>
      <c r="J282" s="297"/>
    </row>
    <row r="283" spans="1:10" s="289" customFormat="1" ht="15" customHeight="1">
      <c r="A283" s="294" t="str">
        <f>A$275&amp; ".01.02"</f>
        <v>01.04.04.01.01.02</v>
      </c>
      <c r="B283" s="319" t="s">
        <v>412</v>
      </c>
      <c r="C283" s="309" t="s">
        <v>55</v>
      </c>
      <c r="D283" s="309"/>
      <c r="E283" s="308"/>
      <c r="F283" s="308"/>
      <c r="G283" s="308"/>
      <c r="H283" s="308"/>
      <c r="I283" s="298">
        <f>SUM(H284:H285)</f>
        <v>7.6499999999999995</v>
      </c>
      <c r="J283" s="297"/>
    </row>
    <row r="284" spans="1:10" s="289" customFormat="1" ht="15" customHeight="1">
      <c r="B284" s="311" t="s">
        <v>400</v>
      </c>
      <c r="C284" s="309"/>
      <c r="D284" s="309">
        <v>1</v>
      </c>
      <c r="E284" s="308"/>
      <c r="F284" s="308">
        <v>1.5</v>
      </c>
      <c r="G284" s="308">
        <v>1.7</v>
      </c>
      <c r="H284" s="308">
        <f>+ROUNDUP(PRODUCT(D284:G284),2)</f>
        <v>2.5499999999999998</v>
      </c>
      <c r="I284" s="298"/>
      <c r="J284" s="297"/>
    </row>
    <row r="285" spans="1:10" s="289" customFormat="1" ht="15" customHeight="1">
      <c r="B285" s="311" t="s">
        <v>411</v>
      </c>
      <c r="C285" s="309"/>
      <c r="D285" s="309">
        <v>2</v>
      </c>
      <c r="E285" s="308"/>
      <c r="F285" s="308">
        <v>1.5</v>
      </c>
      <c r="G285" s="308">
        <v>1.7</v>
      </c>
      <c r="H285" s="308">
        <f>+ROUNDUP(PRODUCT(D285:G285),2)</f>
        <v>5.0999999999999996</v>
      </c>
      <c r="I285" s="298"/>
      <c r="J285" s="297"/>
    </row>
    <row r="286" spans="1:10" s="289" customFormat="1" ht="15" customHeight="1">
      <c r="B286" s="323" t="s">
        <v>393</v>
      </c>
      <c r="C286" s="309"/>
      <c r="D286" s="309"/>
      <c r="E286" s="308"/>
      <c r="F286" s="308"/>
      <c r="G286" s="322"/>
      <c r="H286" s="308"/>
      <c r="I286" s="298"/>
      <c r="J286" s="297"/>
    </row>
    <row r="287" spans="1:10" s="289" customFormat="1" ht="15" customHeight="1">
      <c r="B287" s="323" t="s">
        <v>410</v>
      </c>
      <c r="C287" s="309"/>
      <c r="D287" s="309"/>
      <c r="E287" s="308"/>
      <c r="F287" s="308"/>
      <c r="G287" s="322"/>
      <c r="H287" s="326"/>
      <c r="I287" s="298"/>
      <c r="J287" s="297"/>
    </row>
    <row r="288" spans="1:10" s="289" customFormat="1" ht="15" customHeight="1">
      <c r="B288" s="323" t="s">
        <v>408</v>
      </c>
      <c r="C288" s="309"/>
      <c r="D288" s="309"/>
      <c r="E288" s="308"/>
      <c r="F288" s="308"/>
      <c r="G288" s="322"/>
      <c r="H288" s="325">
        <f>+SUM(H289:H294)/I283</f>
        <v>5.0196078431372548</v>
      </c>
      <c r="I288" s="324"/>
      <c r="J288" s="297"/>
    </row>
    <row r="289" spans="1:10" s="289" customFormat="1" ht="15" customHeight="1">
      <c r="B289" s="323" t="s">
        <v>402</v>
      </c>
      <c r="C289" s="309"/>
      <c r="D289" s="309">
        <v>2</v>
      </c>
      <c r="E289" s="308"/>
      <c r="F289" s="308"/>
      <c r="G289" s="322">
        <v>1.7</v>
      </c>
      <c r="H289" s="308">
        <f>+ROUNDUP(PRODUCT(D289:G289),2)</f>
        <v>3.4</v>
      </c>
      <c r="I289" s="298"/>
      <c r="J289" s="297"/>
    </row>
    <row r="290" spans="1:10" s="289" customFormat="1" ht="15" customHeight="1">
      <c r="B290" s="323" t="s">
        <v>401</v>
      </c>
      <c r="C290" s="309"/>
      <c r="D290" s="309">
        <v>4</v>
      </c>
      <c r="E290" s="308"/>
      <c r="F290" s="308"/>
      <c r="G290" s="322">
        <v>1.7</v>
      </c>
      <c r="H290" s="308">
        <f>+ROUNDUP(PRODUCT(D290:G290),2)</f>
        <v>6.8</v>
      </c>
      <c r="I290" s="298"/>
      <c r="J290" s="297"/>
    </row>
    <row r="291" spans="1:10" s="289" customFormat="1" ht="15" customHeight="1">
      <c r="B291" s="323" t="s">
        <v>400</v>
      </c>
      <c r="C291" s="309"/>
      <c r="D291" s="309">
        <v>6</v>
      </c>
      <c r="E291" s="308"/>
      <c r="F291" s="308"/>
      <c r="G291" s="322">
        <v>1.7</v>
      </c>
      <c r="H291" s="308">
        <f>+ROUNDUP(PRODUCT(D291:G291),2)</f>
        <v>10.199999999999999</v>
      </c>
      <c r="I291" s="298"/>
      <c r="J291" s="297"/>
    </row>
    <row r="292" spans="1:10" s="289" customFormat="1" ht="15" customHeight="1">
      <c r="B292" s="323" t="s">
        <v>407</v>
      </c>
      <c r="C292" s="309"/>
      <c r="D292" s="309"/>
      <c r="E292" s="308"/>
      <c r="F292" s="308"/>
      <c r="G292" s="322"/>
      <c r="H292" s="308"/>
      <c r="I292" s="298"/>
      <c r="J292" s="297"/>
    </row>
    <row r="293" spans="1:10" s="289" customFormat="1" ht="15" customHeight="1">
      <c r="B293" s="323" t="s">
        <v>406</v>
      </c>
      <c r="C293" s="309"/>
      <c r="D293" s="309">
        <v>4</v>
      </c>
      <c r="E293" s="308"/>
      <c r="F293" s="308"/>
      <c r="G293" s="322">
        <v>1.5</v>
      </c>
      <c r="H293" s="308">
        <f>+ROUNDUP(PRODUCT(D293:G293),2)</f>
        <v>6</v>
      </c>
      <c r="I293" s="298"/>
      <c r="J293" s="297"/>
    </row>
    <row r="294" spans="1:10" s="289" customFormat="1" ht="15" customHeight="1">
      <c r="B294" s="323" t="s">
        <v>405</v>
      </c>
      <c r="C294" s="309"/>
      <c r="D294" s="309">
        <v>8</v>
      </c>
      <c r="E294" s="308"/>
      <c r="F294" s="308"/>
      <c r="G294" s="322">
        <v>1.5</v>
      </c>
      <c r="H294" s="308">
        <f>+ROUNDUP(PRODUCT(D294:G294),2)</f>
        <v>12</v>
      </c>
      <c r="I294" s="298"/>
      <c r="J294" s="297"/>
    </row>
    <row r="295" spans="1:10" s="289" customFormat="1" ht="15" customHeight="1">
      <c r="B295" s="323"/>
      <c r="C295" s="309"/>
      <c r="D295" s="309"/>
      <c r="E295" s="308"/>
      <c r="F295" s="308"/>
      <c r="G295" s="322"/>
      <c r="H295" s="308"/>
      <c r="I295" s="298"/>
      <c r="J295" s="297"/>
    </row>
    <row r="296" spans="1:10" s="289" customFormat="1" ht="15" customHeight="1">
      <c r="A296" s="294" t="str">
        <f>A$275&amp; ".01.03"</f>
        <v>01.04.04.01.01.03</v>
      </c>
      <c r="B296" s="319" t="s">
        <v>409</v>
      </c>
      <c r="C296" s="309" t="s">
        <v>0</v>
      </c>
      <c r="D296" s="309"/>
      <c r="E296" s="308"/>
      <c r="F296" s="308"/>
      <c r="G296" s="322"/>
      <c r="H296" s="308">
        <f>SUM(H298:H303)</f>
        <v>38.04</v>
      </c>
      <c r="I296" s="298">
        <f>H296</f>
        <v>38.04</v>
      </c>
      <c r="J296" s="297"/>
    </row>
    <row r="297" spans="1:10" s="289" customFormat="1" ht="15" customHeight="1">
      <c r="A297" s="303"/>
      <c r="B297" s="323" t="s">
        <v>408</v>
      </c>
      <c r="C297" s="309"/>
      <c r="D297" s="309"/>
      <c r="E297" s="308"/>
      <c r="F297" s="308"/>
      <c r="G297" s="322"/>
      <c r="H297" s="308"/>
      <c r="I297" s="298"/>
      <c r="J297" s="297"/>
    </row>
    <row r="298" spans="1:10" s="289" customFormat="1" ht="15" customHeight="1">
      <c r="A298" s="303"/>
      <c r="B298" s="323" t="s">
        <v>402</v>
      </c>
      <c r="C298" s="309"/>
      <c r="D298" s="309">
        <v>2</v>
      </c>
      <c r="E298" s="308"/>
      <c r="F298" s="308"/>
      <c r="G298" s="322">
        <v>1.67</v>
      </c>
      <c r="H298" s="308">
        <f>+ROUNDUP(PRODUCT(D298:G298),2)</f>
        <v>3.34</v>
      </c>
      <c r="I298" s="298"/>
      <c r="J298" s="297"/>
    </row>
    <row r="299" spans="1:10" s="289" customFormat="1" ht="15" customHeight="1">
      <c r="A299" s="303"/>
      <c r="B299" s="323" t="s">
        <v>401</v>
      </c>
      <c r="C299" s="309"/>
      <c r="D299" s="309">
        <v>4</v>
      </c>
      <c r="E299" s="308"/>
      <c r="F299" s="308"/>
      <c r="G299" s="322">
        <v>1.67</v>
      </c>
      <c r="H299" s="308">
        <f>+ROUNDUP(PRODUCT(D299:G299),2)</f>
        <v>6.68</v>
      </c>
      <c r="I299" s="298"/>
      <c r="J299" s="297"/>
    </row>
    <row r="300" spans="1:10" s="289" customFormat="1" ht="15" customHeight="1">
      <c r="A300" s="303"/>
      <c r="B300" s="323" t="s">
        <v>400</v>
      </c>
      <c r="C300" s="309"/>
      <c r="D300" s="309">
        <v>6</v>
      </c>
      <c r="E300" s="308"/>
      <c r="F300" s="308"/>
      <c r="G300" s="322">
        <v>1.67</v>
      </c>
      <c r="H300" s="308">
        <f>+ROUNDUP(PRODUCT(D300:G300),2)</f>
        <v>10.02</v>
      </c>
      <c r="I300" s="298"/>
      <c r="J300" s="297"/>
    </row>
    <row r="301" spans="1:10" s="289" customFormat="1" ht="15" customHeight="1">
      <c r="A301" s="303"/>
      <c r="B301" s="323" t="s">
        <v>407</v>
      </c>
      <c r="C301" s="309"/>
      <c r="D301" s="309"/>
      <c r="E301" s="308"/>
      <c r="F301" s="308"/>
      <c r="G301" s="322"/>
      <c r="H301" s="308"/>
      <c r="I301" s="298"/>
      <c r="J301" s="297"/>
    </row>
    <row r="302" spans="1:10" s="289" customFormat="1" ht="15" customHeight="1">
      <c r="B302" s="323" t="s">
        <v>406</v>
      </c>
      <c r="C302" s="309"/>
      <c r="D302" s="309">
        <v>4</v>
      </c>
      <c r="E302" s="308"/>
      <c r="F302" s="308"/>
      <c r="G302" s="322">
        <v>1.5</v>
      </c>
      <c r="H302" s="308">
        <f>+ROUNDUP(PRODUCT(D302:G302),2)</f>
        <v>6</v>
      </c>
      <c r="I302" s="298"/>
      <c r="J302" s="297"/>
    </row>
    <row r="303" spans="1:10" s="289" customFormat="1" ht="15" customHeight="1">
      <c r="B303" s="323" t="s">
        <v>405</v>
      </c>
      <c r="C303" s="309"/>
      <c r="D303" s="309">
        <v>8</v>
      </c>
      <c r="E303" s="308"/>
      <c r="F303" s="308"/>
      <c r="G303" s="322">
        <v>1.5</v>
      </c>
      <c r="H303" s="308">
        <f>+ROUNDUP(PRODUCT(D303:G303),2)</f>
        <v>12</v>
      </c>
      <c r="I303" s="298"/>
      <c r="J303" s="297"/>
    </row>
    <row r="304" spans="1:10" s="289" customFormat="1" ht="15" customHeight="1">
      <c r="B304" s="323"/>
      <c r="C304" s="309"/>
      <c r="D304" s="309"/>
      <c r="E304" s="308"/>
      <c r="F304" s="308"/>
      <c r="G304" s="322"/>
      <c r="H304" s="308"/>
      <c r="I304" s="298"/>
      <c r="J304" s="297"/>
    </row>
    <row r="305" spans="1:10" s="289" customFormat="1" ht="15" customHeight="1">
      <c r="A305" s="294" t="str">
        <f>A$275&amp; ".01.04"</f>
        <v>01.04.04.01.01.04</v>
      </c>
      <c r="B305" s="319" t="s">
        <v>404</v>
      </c>
      <c r="C305" s="309" t="s">
        <v>0</v>
      </c>
      <c r="D305" s="309"/>
      <c r="E305" s="308"/>
      <c r="F305" s="308"/>
      <c r="G305" s="320"/>
      <c r="H305" s="308"/>
      <c r="I305" s="298">
        <f>SUM(H306:H311)</f>
        <v>34.04</v>
      </c>
      <c r="J305" s="297"/>
    </row>
    <row r="306" spans="1:10" s="289" customFormat="1" ht="15" customHeight="1">
      <c r="B306" s="311" t="s">
        <v>403</v>
      </c>
      <c r="C306" s="309" t="s">
        <v>0</v>
      </c>
      <c r="D306" s="309"/>
      <c r="E306" s="308"/>
      <c r="F306" s="308"/>
      <c r="G306" s="320"/>
      <c r="H306" s="308"/>
      <c r="I306" s="298"/>
      <c r="J306" s="297"/>
    </row>
    <row r="307" spans="1:10" s="289" customFormat="1" ht="15" customHeight="1">
      <c r="B307" s="311" t="s">
        <v>402</v>
      </c>
      <c r="C307" s="309"/>
      <c r="D307" s="309">
        <v>2</v>
      </c>
      <c r="E307" s="308">
        <v>2</v>
      </c>
      <c r="F307" s="308"/>
      <c r="G307" s="320"/>
      <c r="H307" s="308">
        <f>+ROUNDUP(PRODUCT(D307:F307),2)</f>
        <v>4</v>
      </c>
      <c r="I307" s="298"/>
      <c r="J307" s="297"/>
    </row>
    <row r="308" spans="1:10" s="289" customFormat="1" ht="15" customHeight="1">
      <c r="B308" s="311" t="s">
        <v>401</v>
      </c>
      <c r="C308" s="309"/>
      <c r="D308" s="309">
        <v>2</v>
      </c>
      <c r="E308" s="308">
        <v>1.82</v>
      </c>
      <c r="F308" s="308"/>
      <c r="G308" s="320"/>
      <c r="H308" s="308">
        <f>+ROUNDUP(PRODUCT(D308:F308),2)</f>
        <v>3.64</v>
      </c>
      <c r="I308" s="298"/>
      <c r="J308" s="297"/>
    </row>
    <row r="309" spans="1:10" s="289" customFormat="1" ht="15" customHeight="1">
      <c r="B309" s="311" t="s">
        <v>400</v>
      </c>
      <c r="C309" s="309"/>
      <c r="D309" s="309">
        <v>3</v>
      </c>
      <c r="E309" s="308">
        <v>1.8</v>
      </c>
      <c r="F309" s="308"/>
      <c r="G309" s="320"/>
      <c r="H309" s="308">
        <f>+ROUNDUP(PRODUCT(D309:F309),2)</f>
        <v>5.4</v>
      </c>
      <c r="I309" s="298"/>
      <c r="J309" s="297"/>
    </row>
    <row r="310" spans="1:10" s="289" customFormat="1" ht="15" customHeight="1">
      <c r="B310" s="311" t="s">
        <v>399</v>
      </c>
      <c r="C310" s="309"/>
      <c r="D310" s="309">
        <v>8</v>
      </c>
      <c r="E310" s="321">
        <v>1.5</v>
      </c>
      <c r="F310" s="308"/>
      <c r="G310" s="320"/>
      <c r="H310" s="308">
        <f>+ROUNDUP(PRODUCT(D310:F310),2)</f>
        <v>12</v>
      </c>
      <c r="I310" s="298"/>
      <c r="J310" s="297"/>
    </row>
    <row r="311" spans="1:10" s="289" customFormat="1" ht="15" customHeight="1">
      <c r="B311" s="311" t="s">
        <v>398</v>
      </c>
      <c r="C311" s="309"/>
      <c r="D311" s="309">
        <v>6</v>
      </c>
      <c r="E311" s="308">
        <v>1.5</v>
      </c>
      <c r="F311" s="308"/>
      <c r="G311" s="320"/>
      <c r="H311" s="308">
        <f>+ROUNDUP(PRODUCT(D311:F311),2)</f>
        <v>9</v>
      </c>
      <c r="I311" s="298"/>
      <c r="J311" s="297"/>
    </row>
    <row r="312" spans="1:10" s="289" customFormat="1" ht="15" customHeight="1">
      <c r="B312" s="311" t="s">
        <v>397</v>
      </c>
      <c r="C312" s="309" t="s">
        <v>58</v>
      </c>
      <c r="D312" s="309">
        <v>8</v>
      </c>
      <c r="E312" s="308"/>
      <c r="F312" s="308"/>
      <c r="G312" s="320"/>
      <c r="H312" s="308">
        <f>D312/I305</f>
        <v>0.23501762632197415</v>
      </c>
      <c r="I312" s="298"/>
      <c r="J312" s="297"/>
    </row>
    <row r="313" spans="1:10" s="289" customFormat="1" ht="15" customHeight="1">
      <c r="B313" s="311" t="s">
        <v>396</v>
      </c>
      <c r="C313" s="309" t="s">
        <v>58</v>
      </c>
      <c r="D313" s="309">
        <v>4</v>
      </c>
      <c r="E313" s="308"/>
      <c r="F313" s="308"/>
      <c r="G313" s="308"/>
      <c r="H313" s="308">
        <f>D313/I305</f>
        <v>0.11750881316098707</v>
      </c>
      <c r="I313" s="298"/>
      <c r="J313" s="297"/>
    </row>
    <row r="314" spans="1:10" s="289" customFormat="1" ht="15" customHeight="1">
      <c r="A314" s="294" t="str">
        <f>A$275&amp; ".01.05"</f>
        <v>01.04.04.01.01.05</v>
      </c>
      <c r="B314" s="319" t="s">
        <v>395</v>
      </c>
      <c r="C314" s="309" t="s">
        <v>0</v>
      </c>
      <c r="D314" s="309"/>
      <c r="E314" s="308"/>
      <c r="F314" s="308"/>
      <c r="G314" s="308"/>
      <c r="H314" s="316"/>
      <c r="I314" s="298">
        <f>SUM(H315:H316)</f>
        <v>10.850000000000001</v>
      </c>
      <c r="J314" s="297"/>
    </row>
    <row r="315" spans="1:10" s="289" customFormat="1" ht="15" customHeight="1">
      <c r="B315" s="311" t="str">
        <f>"Tubo cuadrado de F°G°2''x3'', L="&amp;E315&amp;"m"</f>
        <v>Tubo cuadrado de F°G°2''x3'', L=0.95m</v>
      </c>
      <c r="C315" s="309"/>
      <c r="D315" s="309">
        <v>7</v>
      </c>
      <c r="E315" s="308">
        <v>0.95</v>
      </c>
      <c r="F315" s="308"/>
      <c r="G315" s="308"/>
      <c r="H315" s="308">
        <f>+ROUNDUP(PRODUCT(D315:G315),2)</f>
        <v>6.65</v>
      </c>
      <c r="I315" s="298"/>
      <c r="J315" s="297"/>
    </row>
    <row r="316" spans="1:10" s="289" customFormat="1" ht="15" customHeight="1">
      <c r="B316" s="311" t="str">
        <f>"Tubo cuadrado de F°G°2''x3'', L="&amp;E316&amp;"m"</f>
        <v>Tubo cuadrado de F°G°2''x3'', L=0.6m</v>
      </c>
      <c r="C316" s="309"/>
      <c r="D316" s="309">
        <v>7</v>
      </c>
      <c r="E316" s="308">
        <v>0.6</v>
      </c>
      <c r="F316" s="308"/>
      <c r="G316" s="308"/>
      <c r="H316" s="308">
        <f>+ROUNDUP(PRODUCT(D316:G316),2)</f>
        <v>4.2</v>
      </c>
      <c r="I316" s="298"/>
      <c r="J316" s="297"/>
    </row>
    <row r="317" spans="1:10" s="289" customFormat="1" ht="15" customHeight="1">
      <c r="B317" s="318"/>
      <c r="C317" s="301"/>
      <c r="D317" s="300"/>
      <c r="E317" s="299"/>
      <c r="F317" s="299"/>
      <c r="G317" s="299"/>
      <c r="H317" s="299"/>
      <c r="I317" s="298"/>
      <c r="J317" s="297"/>
    </row>
    <row r="318" spans="1:10" s="289" customFormat="1" ht="15" customHeight="1">
      <c r="A318" s="294" t="str">
        <f>A$275&amp; ".01.06"</f>
        <v>01.04.04.01.01.06</v>
      </c>
      <c r="B318" s="307" t="s">
        <v>394</v>
      </c>
      <c r="C318" s="301" t="s">
        <v>58</v>
      </c>
      <c r="D318" s="300"/>
      <c r="E318" s="299"/>
      <c r="F318" s="299"/>
      <c r="G318" s="299"/>
      <c r="H318" s="299"/>
      <c r="I318" s="298">
        <v>1</v>
      </c>
      <c r="J318" s="297"/>
    </row>
    <row r="319" spans="1:10" s="289" customFormat="1" ht="15" customHeight="1">
      <c r="A319" s="303"/>
      <c r="B319" s="311" t="s">
        <v>393</v>
      </c>
      <c r="C319" s="309"/>
      <c r="D319" s="309"/>
      <c r="E319" s="308"/>
      <c r="F319" s="308"/>
      <c r="G319" s="299"/>
      <c r="H319" s="299"/>
      <c r="I319" s="298"/>
      <c r="J319" s="297"/>
    </row>
    <row r="320" spans="1:10" s="289" customFormat="1" ht="15" customHeight="1">
      <c r="A320" s="303"/>
      <c r="B320" s="311" t="s">
        <v>392</v>
      </c>
      <c r="C320" s="309" t="s">
        <v>58</v>
      </c>
      <c r="D320" s="309"/>
      <c r="E320" s="308"/>
      <c r="F320" s="308"/>
      <c r="G320" s="299"/>
      <c r="H320" s="299"/>
      <c r="I320" s="314">
        <v>1</v>
      </c>
      <c r="J320" s="297"/>
    </row>
    <row r="321" spans="1:10" s="289" customFormat="1" ht="15" customHeight="1">
      <c r="A321" s="303"/>
      <c r="B321" s="311" t="s">
        <v>391</v>
      </c>
      <c r="C321" s="309" t="s">
        <v>58</v>
      </c>
      <c r="D321" s="309"/>
      <c r="E321" s="308"/>
      <c r="F321" s="308"/>
      <c r="G321" s="299"/>
      <c r="H321" s="299"/>
      <c r="I321" s="314">
        <v>1</v>
      </c>
      <c r="J321" s="297"/>
    </row>
    <row r="322" spans="1:10" s="289" customFormat="1" ht="15" customHeight="1">
      <c r="A322" s="303"/>
      <c r="B322" s="311" t="s">
        <v>390</v>
      </c>
      <c r="C322" s="309" t="s">
        <v>58</v>
      </c>
      <c r="D322" s="309"/>
      <c r="E322" s="308"/>
      <c r="F322" s="308"/>
      <c r="G322" s="299"/>
      <c r="H322" s="299"/>
      <c r="I322" s="314">
        <v>1</v>
      </c>
      <c r="J322" s="297"/>
    </row>
    <row r="323" spans="1:10" s="289" customFormat="1" ht="15" customHeight="1">
      <c r="A323" s="303"/>
      <c r="B323" s="311" t="s">
        <v>389</v>
      </c>
      <c r="C323" s="309" t="s">
        <v>58</v>
      </c>
      <c r="D323" s="309"/>
      <c r="E323" s="308"/>
      <c r="F323" s="308"/>
      <c r="G323" s="299"/>
      <c r="H323" s="299"/>
      <c r="I323" s="314">
        <v>6</v>
      </c>
      <c r="J323" s="297"/>
    </row>
    <row r="324" spans="1:10" s="289" customFormat="1" ht="15" customHeight="1">
      <c r="B324" s="311" t="s">
        <v>388</v>
      </c>
      <c r="C324" s="309" t="s">
        <v>55</v>
      </c>
      <c r="D324" s="317"/>
      <c r="E324" s="316"/>
      <c r="F324" s="316"/>
      <c r="G324" s="316"/>
      <c r="H324" s="316"/>
      <c r="I324" s="314">
        <f>SUM(H325)</f>
        <v>2.5499999999999998</v>
      </c>
      <c r="J324" s="297"/>
    </row>
    <row r="325" spans="1:10" s="289" customFormat="1" ht="15" customHeight="1">
      <c r="B325" s="311" t="s">
        <v>387</v>
      </c>
      <c r="C325" s="309"/>
      <c r="D325" s="309">
        <v>1</v>
      </c>
      <c r="E325" s="308">
        <v>1.5</v>
      </c>
      <c r="F325" s="316"/>
      <c r="G325" s="308">
        <v>1.7</v>
      </c>
      <c r="H325" s="308">
        <f>+ROUNDUP(PRODUCT(D325:G325),2)</f>
        <v>2.5499999999999998</v>
      </c>
      <c r="I325" s="315"/>
      <c r="J325" s="297"/>
    </row>
    <row r="326" spans="1:10" s="289" customFormat="1" ht="15" customHeight="1">
      <c r="B326" s="311" t="s">
        <v>386</v>
      </c>
      <c r="C326" s="309" t="s">
        <v>0</v>
      </c>
      <c r="D326" s="309"/>
      <c r="E326" s="308"/>
      <c r="F326" s="316"/>
      <c r="G326" s="308"/>
      <c r="H326" s="308"/>
      <c r="I326" s="315">
        <f>SUM(H327:H328)</f>
        <v>11</v>
      </c>
      <c r="J326" s="297"/>
    </row>
    <row r="327" spans="1:10" s="289" customFormat="1" ht="15" customHeight="1">
      <c r="B327" s="311" t="s">
        <v>385</v>
      </c>
      <c r="C327" s="309"/>
      <c r="D327" s="309">
        <v>4</v>
      </c>
      <c r="E327" s="308">
        <v>1.7</v>
      </c>
      <c r="F327" s="316"/>
      <c r="G327" s="308"/>
      <c r="H327" s="308">
        <f>+ROUNDUP(PRODUCT(D327:G327),2)</f>
        <v>6.8</v>
      </c>
      <c r="I327" s="315"/>
      <c r="J327" s="297"/>
    </row>
    <row r="328" spans="1:10" s="289" customFormat="1" ht="15" customHeight="1">
      <c r="B328" s="311" t="s">
        <v>382</v>
      </c>
      <c r="C328" s="309"/>
      <c r="D328" s="309">
        <v>6</v>
      </c>
      <c r="E328" s="308">
        <v>0.7</v>
      </c>
      <c r="F328" s="316"/>
      <c r="G328" s="308"/>
      <c r="H328" s="308">
        <f>+ROUNDUP(PRODUCT(D328:G328),2)</f>
        <v>4.2</v>
      </c>
      <c r="I328" s="315"/>
      <c r="J328" s="297"/>
    </row>
    <row r="329" spans="1:10" s="289" customFormat="1" ht="15" customHeight="1">
      <c r="B329" s="311" t="s">
        <v>384</v>
      </c>
      <c r="C329" s="301" t="s">
        <v>0</v>
      </c>
      <c r="D329" s="300"/>
      <c r="E329" s="299"/>
      <c r="F329" s="313"/>
      <c r="G329" s="299"/>
      <c r="H329" s="308"/>
      <c r="I329" s="314">
        <f>SUM(H330:H331)</f>
        <v>12.8</v>
      </c>
      <c r="J329" s="297"/>
    </row>
    <row r="330" spans="1:10" s="289" customFormat="1" ht="15" customHeight="1">
      <c r="B330" s="311" t="s">
        <v>383</v>
      </c>
      <c r="C330" s="301"/>
      <c r="D330" s="300">
        <v>4</v>
      </c>
      <c r="E330" s="299">
        <v>1.7</v>
      </c>
      <c r="F330" s="313"/>
      <c r="G330" s="299"/>
      <c r="H330" s="308">
        <f>+ROUNDUP(PRODUCT(D330:G330),2)</f>
        <v>6.8</v>
      </c>
      <c r="I330" s="312"/>
      <c r="J330" s="297"/>
    </row>
    <row r="331" spans="1:10" s="289" customFormat="1" ht="15" customHeight="1">
      <c r="B331" s="311" t="s">
        <v>382</v>
      </c>
      <c r="C331" s="301"/>
      <c r="D331" s="300">
        <v>8</v>
      </c>
      <c r="E331" s="299">
        <v>0.75</v>
      </c>
      <c r="F331" s="313"/>
      <c r="G331" s="299"/>
      <c r="H331" s="308">
        <f>+ROUNDUP(PRODUCT(D331:G331),2)</f>
        <v>6</v>
      </c>
      <c r="I331" s="312"/>
      <c r="J331" s="297"/>
    </row>
    <row r="332" spans="1:10" s="289" customFormat="1" ht="15" customHeight="1">
      <c r="B332" s="311"/>
      <c r="C332" s="309"/>
      <c r="D332" s="309"/>
      <c r="E332" s="308"/>
      <c r="F332" s="308"/>
      <c r="G332" s="308"/>
      <c r="H332" s="308"/>
      <c r="I332" s="298"/>
      <c r="J332" s="297"/>
    </row>
    <row r="333" spans="1:10" s="289" customFormat="1" ht="15" customHeight="1">
      <c r="A333" s="294" t="str">
        <f>A$274&amp; ".01.02"</f>
        <v>01.04.04.01.02</v>
      </c>
      <c r="B333" s="310" t="s">
        <v>381</v>
      </c>
      <c r="C333" s="309"/>
      <c r="D333" s="309"/>
      <c r="E333" s="308"/>
      <c r="F333" s="308"/>
      <c r="G333" s="308"/>
      <c r="H333" s="308"/>
      <c r="I333" s="298"/>
      <c r="J333" s="297"/>
    </row>
    <row r="334" spans="1:10" s="289" customFormat="1" ht="15" customHeight="1">
      <c r="A334" s="303" t="str">
        <f>A$333&amp; ".01"</f>
        <v>01.04.04.01.02.01</v>
      </c>
      <c r="B334" s="307" t="s">
        <v>380</v>
      </c>
      <c r="C334" s="301" t="s">
        <v>379</v>
      </c>
      <c r="D334" s="300"/>
      <c r="E334" s="299"/>
      <c r="F334" s="299"/>
      <c r="G334" s="299"/>
      <c r="H334" s="299"/>
      <c r="I334" s="298">
        <v>1</v>
      </c>
      <c r="J334" s="297"/>
    </row>
    <row r="335" spans="1:10" s="289" customFormat="1" ht="15" customHeight="1">
      <c r="A335" s="303"/>
      <c r="B335" s="304" t="s">
        <v>378</v>
      </c>
      <c r="C335" s="301" t="s">
        <v>58</v>
      </c>
      <c r="D335" s="300">
        <v>1</v>
      </c>
      <c r="E335" s="299"/>
      <c r="F335" s="299"/>
      <c r="G335" s="299"/>
      <c r="H335" s="299"/>
      <c r="I335" s="298"/>
      <c r="J335" s="297"/>
    </row>
    <row r="336" spans="1:10" s="289" customFormat="1" ht="15" customHeight="1">
      <c r="A336" s="303"/>
      <c r="B336" s="304" t="s">
        <v>377</v>
      </c>
      <c r="C336" s="301" t="s">
        <v>58</v>
      </c>
      <c r="D336" s="300">
        <v>1</v>
      </c>
      <c r="E336" s="299"/>
      <c r="F336" s="299"/>
      <c r="G336" s="299"/>
      <c r="H336" s="299"/>
      <c r="I336" s="298"/>
      <c r="J336" s="297"/>
    </row>
    <row r="337" spans="1:10" s="289" customFormat="1" ht="15" customHeight="1">
      <c r="A337" s="303"/>
      <c r="B337" s="304" t="s">
        <v>376</v>
      </c>
      <c r="C337" s="301" t="s">
        <v>58</v>
      </c>
      <c r="D337" s="300">
        <f>5+2</f>
        <v>7</v>
      </c>
      <c r="E337" s="299"/>
      <c r="F337" s="299"/>
      <c r="G337" s="299"/>
      <c r="H337" s="299"/>
      <c r="I337" s="298"/>
      <c r="J337" s="297"/>
    </row>
    <row r="338" spans="1:10" s="289" customFormat="1" ht="15" customHeight="1">
      <c r="A338" s="303"/>
      <c r="B338" s="304" t="s">
        <v>375</v>
      </c>
      <c r="C338" s="301" t="s">
        <v>58</v>
      </c>
      <c r="D338" s="300">
        <v>5</v>
      </c>
      <c r="E338" s="299"/>
      <c r="F338" s="299"/>
      <c r="G338" s="299"/>
      <c r="H338" s="299"/>
      <c r="I338" s="298"/>
      <c r="J338" s="297"/>
    </row>
    <row r="339" spans="1:10" s="289" customFormat="1" ht="15" customHeight="1">
      <c r="A339" s="303"/>
      <c r="B339" s="304" t="s">
        <v>374</v>
      </c>
      <c r="C339" s="301" t="s">
        <v>58</v>
      </c>
      <c r="D339" s="306">
        <v>1</v>
      </c>
      <c r="E339" s="299"/>
      <c r="F339" s="299"/>
      <c r="G339" s="299"/>
      <c r="H339" s="299"/>
      <c r="I339" s="298"/>
      <c r="J339" s="297"/>
    </row>
    <row r="340" spans="1:10" s="289" customFormat="1" ht="15" customHeight="1">
      <c r="A340" s="303"/>
      <c r="B340" s="304" t="s">
        <v>373</v>
      </c>
      <c r="C340" s="301" t="s">
        <v>58</v>
      </c>
      <c r="D340" s="306">
        <v>2</v>
      </c>
      <c r="E340" s="299"/>
      <c r="F340" s="299"/>
      <c r="G340" s="299"/>
      <c r="H340" s="299"/>
      <c r="I340" s="298"/>
      <c r="J340" s="297"/>
    </row>
    <row r="341" spans="1:10" s="289" customFormat="1" ht="15" customHeight="1">
      <c r="A341" s="303"/>
      <c r="B341" s="304" t="s">
        <v>372</v>
      </c>
      <c r="C341" s="301" t="s">
        <v>58</v>
      </c>
      <c r="D341" s="306">
        <v>1</v>
      </c>
      <c r="E341" s="299"/>
      <c r="F341" s="299"/>
      <c r="G341" s="299"/>
      <c r="H341" s="299"/>
      <c r="I341" s="298"/>
      <c r="J341" s="297"/>
    </row>
    <row r="342" spans="1:10" s="289" customFormat="1" ht="15" customHeight="1">
      <c r="A342" s="303"/>
      <c r="B342" s="304" t="s">
        <v>371</v>
      </c>
      <c r="C342" s="301" t="s">
        <v>58</v>
      </c>
      <c r="D342" s="306">
        <v>1</v>
      </c>
      <c r="E342" s="299"/>
      <c r="F342" s="299"/>
      <c r="G342" s="299"/>
      <c r="H342" s="299"/>
      <c r="I342" s="298"/>
      <c r="J342" s="297"/>
    </row>
    <row r="343" spans="1:10" s="289" customFormat="1" ht="15" customHeight="1">
      <c r="A343" s="303"/>
      <c r="B343" s="304" t="s">
        <v>370</v>
      </c>
      <c r="C343" s="301" t="s">
        <v>58</v>
      </c>
      <c r="D343" s="306">
        <v>1</v>
      </c>
      <c r="E343" s="299"/>
      <c r="F343" s="299"/>
      <c r="G343" s="299"/>
      <c r="H343" s="299"/>
      <c r="I343" s="298"/>
      <c r="J343" s="297"/>
    </row>
    <row r="344" spans="1:10" s="289" customFormat="1" ht="15" customHeight="1">
      <c r="A344" s="303"/>
      <c r="B344" s="304" t="s">
        <v>369</v>
      </c>
      <c r="C344" s="301" t="s">
        <v>58</v>
      </c>
      <c r="D344" s="306">
        <v>1</v>
      </c>
      <c r="E344" s="299"/>
      <c r="F344" s="299"/>
      <c r="G344" s="299"/>
      <c r="H344" s="299"/>
      <c r="I344" s="298"/>
      <c r="J344" s="297"/>
    </row>
    <row r="345" spans="1:10" s="289" customFormat="1" ht="15" customHeight="1">
      <c r="A345" s="303"/>
      <c r="B345" s="304" t="s">
        <v>368</v>
      </c>
      <c r="C345" s="301" t="s">
        <v>58</v>
      </c>
      <c r="D345" s="300">
        <v>4</v>
      </c>
      <c r="E345" s="299"/>
      <c r="F345" s="299"/>
      <c r="G345" s="299"/>
      <c r="H345" s="299"/>
      <c r="I345" s="298"/>
      <c r="J345" s="297"/>
    </row>
    <row r="346" spans="1:10" s="289" customFormat="1" ht="15" customHeight="1">
      <c r="A346" s="303"/>
      <c r="B346" s="305" t="s">
        <v>367</v>
      </c>
      <c r="C346" s="301" t="s">
        <v>58</v>
      </c>
      <c r="D346" s="300">
        <v>1</v>
      </c>
      <c r="E346" s="299"/>
      <c r="F346" s="299"/>
      <c r="G346" s="299"/>
      <c r="H346" s="299"/>
      <c r="I346" s="298"/>
      <c r="J346" s="297"/>
    </row>
    <row r="347" spans="1:10" s="289" customFormat="1" ht="15" customHeight="1">
      <c r="A347" s="303"/>
      <c r="B347" s="304" t="s">
        <v>366</v>
      </c>
      <c r="C347" s="301" t="s">
        <v>58</v>
      </c>
      <c r="D347" s="300">
        <v>1</v>
      </c>
      <c r="E347" s="299"/>
      <c r="F347" s="299"/>
      <c r="G347" s="299"/>
      <c r="H347" s="299"/>
      <c r="I347" s="298"/>
      <c r="J347" s="297"/>
    </row>
    <row r="348" spans="1:10" s="289" customFormat="1" ht="15" customHeight="1">
      <c r="A348" s="303"/>
      <c r="B348" s="304" t="s">
        <v>365</v>
      </c>
      <c r="C348" s="301" t="s">
        <v>0</v>
      </c>
      <c r="D348" s="300">
        <v>10</v>
      </c>
      <c r="E348" s="299"/>
      <c r="F348" s="299"/>
      <c r="G348" s="299"/>
      <c r="H348" s="299"/>
      <c r="I348" s="298"/>
      <c r="J348" s="297"/>
    </row>
    <row r="349" spans="1:10" s="289" customFormat="1" ht="15" customHeight="1">
      <c r="A349" s="303"/>
      <c r="B349" s="304" t="s">
        <v>364</v>
      </c>
      <c r="C349" s="301" t="s">
        <v>0</v>
      </c>
      <c r="D349" s="300">
        <v>1.3</v>
      </c>
      <c r="E349" s="299"/>
      <c r="F349" s="299"/>
      <c r="G349" s="299"/>
      <c r="H349" s="299"/>
      <c r="I349" s="298"/>
      <c r="J349" s="297"/>
    </row>
    <row r="350" spans="1:10" s="289" customFormat="1" ht="17.25" customHeight="1">
      <c r="A350" s="303"/>
      <c r="B350" s="302" t="s">
        <v>363</v>
      </c>
      <c r="C350" s="301" t="s">
        <v>58</v>
      </c>
      <c r="D350" s="300">
        <v>5</v>
      </c>
      <c r="E350" s="299"/>
      <c r="F350" s="299"/>
      <c r="G350" s="299"/>
      <c r="H350" s="299"/>
      <c r="I350" s="298"/>
      <c r="J350" s="290"/>
    </row>
    <row r="351" spans="1:10" s="289" customFormat="1" ht="15" customHeight="1">
      <c r="A351" s="303"/>
      <c r="B351" s="302" t="s">
        <v>362</v>
      </c>
      <c r="C351" s="301" t="s">
        <v>58</v>
      </c>
      <c r="D351" s="300">
        <v>1</v>
      </c>
      <c r="E351" s="299"/>
      <c r="F351" s="299"/>
      <c r="G351" s="299"/>
      <c r="H351" s="299"/>
      <c r="I351" s="298"/>
      <c r="J351" s="297"/>
    </row>
    <row r="352" spans="1:10" s="289" customFormat="1" ht="15" customHeight="1">
      <c r="A352" s="296"/>
      <c r="B352" s="295"/>
      <c r="C352" s="278"/>
      <c r="D352" s="271"/>
      <c r="E352" s="271"/>
      <c r="F352" s="271"/>
      <c r="G352" s="271"/>
      <c r="H352" s="271"/>
      <c r="I352" s="291"/>
      <c r="J352" s="290"/>
    </row>
    <row r="353" spans="1:10" s="289" customFormat="1" ht="15" customHeight="1">
      <c r="A353" s="81" t="str">
        <f>A$26 &amp; ".05"</f>
        <v>01.04.05</v>
      </c>
      <c r="B353" s="839" t="s">
        <v>361</v>
      </c>
      <c r="C353" s="278"/>
      <c r="D353" s="271"/>
      <c r="E353" s="271"/>
      <c r="F353" s="271"/>
      <c r="G353" s="271"/>
      <c r="H353" s="271"/>
      <c r="I353" s="291"/>
      <c r="J353" s="290"/>
    </row>
    <row r="354" spans="1:10" s="289" customFormat="1" ht="15" customHeight="1">
      <c r="A354" s="294" t="str">
        <f>A$353&amp; ".01"</f>
        <v>01.04.05.01</v>
      </c>
      <c r="B354" s="293" t="s">
        <v>360</v>
      </c>
      <c r="C354" s="278"/>
      <c r="D354" s="271"/>
      <c r="E354" s="271"/>
      <c r="F354" s="271"/>
      <c r="G354" s="271"/>
      <c r="H354" s="271"/>
      <c r="I354" s="291"/>
      <c r="J354" s="290"/>
    </row>
    <row r="355" spans="1:10" s="289" customFormat="1" ht="15" customHeight="1">
      <c r="A355" s="251" t="str">
        <f>A354 &amp; ".01"</f>
        <v>01.04.05.01.01</v>
      </c>
      <c r="B355" s="842" t="s">
        <v>1058</v>
      </c>
      <c r="C355" s="278" t="s">
        <v>93</v>
      </c>
      <c r="D355" s="271"/>
      <c r="E355" s="271"/>
      <c r="F355" s="271"/>
      <c r="G355" s="271"/>
      <c r="H355" s="271"/>
      <c r="I355" s="291">
        <f>SUM(H356:H389)</f>
        <v>2.9660000000000002</v>
      </c>
      <c r="J355" s="290"/>
    </row>
    <row r="356" spans="1:10" s="289" customFormat="1" ht="15" customHeight="1">
      <c r="A356" s="251"/>
      <c r="B356" s="272" t="s">
        <v>359</v>
      </c>
      <c r="C356" s="278"/>
      <c r="D356" s="271">
        <v>1</v>
      </c>
      <c r="E356" s="292" t="s">
        <v>355</v>
      </c>
      <c r="F356" s="271">
        <v>9</v>
      </c>
      <c r="G356" s="271">
        <v>0.1</v>
      </c>
      <c r="H356" s="271">
        <f>PRODUCT(D356:G356)</f>
        <v>0.9</v>
      </c>
      <c r="I356" s="291"/>
      <c r="J356" s="290"/>
    </row>
    <row r="357" spans="1:10" s="289" customFormat="1" ht="15" customHeight="1">
      <c r="A357" s="251"/>
      <c r="B357" s="273"/>
      <c r="C357" s="278"/>
      <c r="D357" s="271"/>
      <c r="E357" s="271"/>
      <c r="F357" s="271"/>
      <c r="G357" s="271"/>
      <c r="H357" s="271"/>
      <c r="I357" s="291"/>
      <c r="J357" s="290"/>
    </row>
    <row r="358" spans="1:10" s="289" customFormat="1" ht="15" customHeight="1">
      <c r="A358" s="251"/>
      <c r="B358" s="273"/>
      <c r="C358" s="278"/>
      <c r="D358" s="271"/>
      <c r="E358" s="271"/>
      <c r="F358" s="271"/>
      <c r="G358" s="271"/>
      <c r="H358" s="271"/>
      <c r="I358" s="291"/>
      <c r="J358" s="290"/>
    </row>
    <row r="359" spans="1:10" s="289" customFormat="1" ht="15" customHeight="1">
      <c r="A359" s="251"/>
      <c r="B359" s="273"/>
      <c r="C359" s="278"/>
      <c r="D359" s="271"/>
      <c r="E359" s="271"/>
      <c r="F359" s="271"/>
      <c r="G359" s="271"/>
      <c r="H359" s="271"/>
      <c r="I359" s="291"/>
      <c r="J359" s="290"/>
    </row>
    <row r="360" spans="1:10" s="289" customFormat="1" ht="15" customHeight="1">
      <c r="A360" s="251"/>
      <c r="B360" s="273"/>
      <c r="C360" s="278"/>
      <c r="D360" s="271"/>
      <c r="E360" s="271"/>
      <c r="F360" s="271"/>
      <c r="G360" s="271"/>
      <c r="H360" s="271"/>
      <c r="I360" s="291"/>
      <c r="J360" s="290"/>
    </row>
    <row r="361" spans="1:10" s="289" customFormat="1" ht="15" customHeight="1">
      <c r="A361" s="251"/>
      <c r="B361" s="273"/>
      <c r="C361" s="278"/>
      <c r="D361" s="271"/>
      <c r="E361" s="271"/>
      <c r="F361" s="271"/>
      <c r="G361" s="271"/>
      <c r="H361" s="271"/>
      <c r="I361" s="291"/>
      <c r="J361" s="290"/>
    </row>
    <row r="362" spans="1:10" s="289" customFormat="1" ht="15" customHeight="1">
      <c r="A362" s="251"/>
      <c r="B362" s="273"/>
      <c r="C362" s="278"/>
      <c r="D362" s="271"/>
      <c r="E362" s="271"/>
      <c r="F362" s="271"/>
      <c r="G362" s="271"/>
      <c r="H362" s="271"/>
      <c r="I362" s="291"/>
      <c r="J362" s="290"/>
    </row>
    <row r="363" spans="1:10" s="289" customFormat="1" ht="15" customHeight="1">
      <c r="A363" s="251"/>
      <c r="B363" s="273"/>
      <c r="C363" s="278"/>
      <c r="D363" s="271"/>
      <c r="E363" s="271"/>
      <c r="F363" s="271"/>
      <c r="G363" s="271"/>
      <c r="H363" s="271"/>
      <c r="I363" s="291"/>
      <c r="J363" s="290"/>
    </row>
    <row r="364" spans="1:10" s="289" customFormat="1" ht="15" customHeight="1">
      <c r="A364" s="251"/>
      <c r="B364" s="273"/>
      <c r="C364" s="278"/>
      <c r="D364" s="271"/>
      <c r="E364" s="271"/>
      <c r="F364" s="271"/>
      <c r="G364" s="271"/>
      <c r="H364" s="271"/>
      <c r="I364" s="291"/>
      <c r="J364" s="290"/>
    </row>
    <row r="365" spans="1:10" s="289" customFormat="1" ht="15" customHeight="1">
      <c r="A365" s="251"/>
      <c r="B365" s="272" t="s">
        <v>358</v>
      </c>
      <c r="C365" s="278"/>
      <c r="D365" s="271">
        <v>1</v>
      </c>
      <c r="E365" s="292" t="s">
        <v>355</v>
      </c>
      <c r="F365" s="271">
        <v>2.02</v>
      </c>
      <c r="G365" s="271">
        <v>0.5</v>
      </c>
      <c r="H365" s="271">
        <f>PRODUCT(D365:G365)</f>
        <v>1.01</v>
      </c>
      <c r="I365" s="291"/>
      <c r="J365" s="290"/>
    </row>
    <row r="366" spans="1:10" s="289" customFormat="1" ht="15" customHeight="1">
      <c r="A366" s="251"/>
      <c r="B366" s="273"/>
      <c r="C366" s="278"/>
      <c r="D366" s="271"/>
      <c r="E366" s="271"/>
      <c r="F366" s="271"/>
      <c r="G366" s="271"/>
      <c r="H366" s="271"/>
      <c r="I366" s="291"/>
      <c r="J366" s="290"/>
    </row>
    <row r="367" spans="1:10" s="289" customFormat="1" ht="15" customHeight="1">
      <c r="A367" s="251"/>
      <c r="B367" s="273"/>
      <c r="C367" s="278"/>
      <c r="D367" s="271"/>
      <c r="E367" s="271"/>
      <c r="F367" s="271"/>
      <c r="G367" s="271"/>
      <c r="H367" s="271"/>
      <c r="I367" s="291"/>
      <c r="J367" s="290"/>
    </row>
    <row r="368" spans="1:10" s="289" customFormat="1" ht="15" customHeight="1">
      <c r="A368" s="251"/>
      <c r="B368" s="273"/>
      <c r="C368" s="278"/>
      <c r="D368" s="271"/>
      <c r="E368" s="271"/>
      <c r="F368" s="271"/>
      <c r="G368" s="271"/>
      <c r="H368" s="271"/>
      <c r="I368" s="291"/>
      <c r="J368" s="290"/>
    </row>
    <row r="369" spans="1:10" s="289" customFormat="1" ht="15" customHeight="1">
      <c r="A369" s="251"/>
      <c r="B369" s="273"/>
      <c r="C369" s="278"/>
      <c r="D369" s="271"/>
      <c r="E369" s="271"/>
      <c r="F369" s="271"/>
      <c r="G369" s="271"/>
      <c r="H369" s="271"/>
      <c r="I369" s="291"/>
      <c r="J369" s="290"/>
    </row>
    <row r="370" spans="1:10" s="289" customFormat="1" ht="15" customHeight="1">
      <c r="A370" s="251"/>
      <c r="B370" s="273"/>
      <c r="C370" s="278"/>
      <c r="D370" s="271"/>
      <c r="E370" s="271"/>
      <c r="F370" s="271"/>
      <c r="G370" s="271"/>
      <c r="H370" s="271"/>
      <c r="I370" s="291"/>
      <c r="J370" s="290"/>
    </row>
    <row r="371" spans="1:10" s="289" customFormat="1" ht="15" customHeight="1">
      <c r="A371" s="251"/>
      <c r="B371" s="273"/>
      <c r="C371" s="278"/>
      <c r="D371" s="271"/>
      <c r="E371" s="271"/>
      <c r="F371" s="271"/>
      <c r="G371" s="271"/>
      <c r="H371" s="271"/>
      <c r="I371" s="291"/>
      <c r="J371" s="290"/>
    </row>
    <row r="372" spans="1:10" s="289" customFormat="1" ht="15" customHeight="1">
      <c r="A372" s="251"/>
      <c r="B372" s="273"/>
      <c r="C372" s="278"/>
      <c r="D372" s="271"/>
      <c r="E372" s="271"/>
      <c r="F372" s="271"/>
      <c r="G372" s="271"/>
      <c r="H372" s="271"/>
      <c r="I372" s="291"/>
      <c r="J372" s="290"/>
    </row>
    <row r="373" spans="1:10" s="289" customFormat="1" ht="15" customHeight="1">
      <c r="A373" s="251"/>
      <c r="B373" s="273"/>
      <c r="C373" s="278"/>
      <c r="D373" s="271"/>
      <c r="E373" s="271"/>
      <c r="F373" s="271"/>
      <c r="G373" s="271"/>
      <c r="H373" s="271"/>
      <c r="I373" s="291"/>
      <c r="J373" s="290"/>
    </row>
    <row r="374" spans="1:10" s="289" customFormat="1" ht="15" customHeight="1">
      <c r="A374" s="251"/>
      <c r="B374" s="272" t="s">
        <v>357</v>
      </c>
      <c r="C374" s="278"/>
      <c r="D374" s="271">
        <v>1</v>
      </c>
      <c r="E374" s="292" t="s">
        <v>355</v>
      </c>
      <c r="F374" s="271">
        <v>1.7</v>
      </c>
      <c r="G374" s="271">
        <v>0.4</v>
      </c>
      <c r="H374" s="271">
        <f>PRODUCT(D374:G374)</f>
        <v>0.68</v>
      </c>
      <c r="I374" s="291"/>
      <c r="J374" s="290"/>
    </row>
    <row r="375" spans="1:10" s="289" customFormat="1" ht="15" customHeight="1">
      <c r="A375" s="251"/>
      <c r="B375" s="273"/>
      <c r="C375" s="278"/>
      <c r="D375" s="271"/>
      <c r="E375" s="271"/>
      <c r="F375" s="271"/>
      <c r="G375" s="271"/>
      <c r="H375" s="271"/>
      <c r="I375" s="291"/>
      <c r="J375" s="290"/>
    </row>
    <row r="376" spans="1:10" s="289" customFormat="1" ht="15" customHeight="1">
      <c r="A376" s="251"/>
      <c r="B376" s="273"/>
      <c r="C376" s="278"/>
      <c r="D376" s="271"/>
      <c r="E376" s="271"/>
      <c r="F376" s="271"/>
      <c r="G376" s="271"/>
      <c r="H376" s="271"/>
      <c r="I376" s="291"/>
      <c r="J376" s="290"/>
    </row>
    <row r="377" spans="1:10" s="289" customFormat="1" ht="15" customHeight="1">
      <c r="A377" s="251"/>
      <c r="B377" s="273"/>
      <c r="C377" s="278"/>
      <c r="D377" s="271"/>
      <c r="E377" s="271"/>
      <c r="F377" s="271"/>
      <c r="G377" s="271"/>
      <c r="H377" s="271"/>
      <c r="I377" s="291"/>
      <c r="J377" s="290"/>
    </row>
    <row r="378" spans="1:10" s="289" customFormat="1" ht="15" customHeight="1">
      <c r="A378" s="251"/>
      <c r="B378" s="273"/>
      <c r="C378" s="278"/>
      <c r="D378" s="271"/>
      <c r="E378" s="271"/>
      <c r="F378" s="271"/>
      <c r="G378" s="271"/>
      <c r="H378" s="271"/>
      <c r="I378" s="291"/>
      <c r="J378" s="290"/>
    </row>
    <row r="379" spans="1:10" s="289" customFormat="1" ht="15" customHeight="1">
      <c r="A379" s="251"/>
      <c r="B379" s="273"/>
      <c r="C379" s="278"/>
      <c r="D379" s="271"/>
      <c r="E379" s="271"/>
      <c r="F379" s="271"/>
      <c r="G379" s="271"/>
      <c r="H379" s="271"/>
      <c r="I379" s="291"/>
      <c r="J379" s="290"/>
    </row>
    <row r="380" spans="1:10" s="289" customFormat="1" ht="15" customHeight="1">
      <c r="A380" s="251"/>
      <c r="B380" s="273"/>
      <c r="C380" s="278"/>
      <c r="D380" s="271"/>
      <c r="E380" s="271"/>
      <c r="F380" s="271"/>
      <c r="G380" s="271"/>
      <c r="H380" s="271"/>
      <c r="I380" s="291"/>
      <c r="J380" s="290"/>
    </row>
    <row r="381" spans="1:10" s="289" customFormat="1" ht="15" customHeight="1">
      <c r="A381" s="251"/>
      <c r="B381" s="273"/>
      <c r="C381" s="278"/>
      <c r="D381" s="271"/>
      <c r="E381" s="271"/>
      <c r="F381" s="271"/>
      <c r="G381" s="271"/>
      <c r="H381" s="271"/>
      <c r="I381" s="291"/>
      <c r="J381" s="290"/>
    </row>
    <row r="382" spans="1:10" s="289" customFormat="1" ht="15" customHeight="1">
      <c r="A382" s="251"/>
      <c r="B382" s="273"/>
      <c r="C382" s="278"/>
      <c r="D382" s="271"/>
      <c r="E382" s="271"/>
      <c r="F382" s="271"/>
      <c r="G382" s="271"/>
      <c r="H382" s="271"/>
      <c r="I382" s="291"/>
      <c r="J382" s="290"/>
    </row>
    <row r="383" spans="1:10" s="289" customFormat="1" ht="15" customHeight="1">
      <c r="A383" s="251"/>
      <c r="B383" s="272" t="s">
        <v>356</v>
      </c>
      <c r="C383" s="278"/>
      <c r="D383" s="271">
        <v>1</v>
      </c>
      <c r="E383" s="292" t="s">
        <v>355</v>
      </c>
      <c r="F383" s="271">
        <v>3.76</v>
      </c>
      <c r="G383" s="271">
        <v>0.1</v>
      </c>
      <c r="H383" s="271">
        <f>PRODUCT(D383:G383)</f>
        <v>0.376</v>
      </c>
      <c r="I383" s="291"/>
      <c r="J383" s="290"/>
    </row>
    <row r="384" spans="1:10" s="289" customFormat="1" ht="15" customHeight="1">
      <c r="A384" s="251"/>
      <c r="B384" s="273"/>
      <c r="C384" s="278"/>
      <c r="D384" s="271"/>
      <c r="E384" s="271"/>
      <c r="F384" s="271"/>
      <c r="G384" s="271"/>
      <c r="H384" s="271"/>
      <c r="I384" s="291"/>
      <c r="J384" s="290"/>
    </row>
    <row r="385" spans="1:10" s="289" customFormat="1" ht="15" customHeight="1">
      <c r="A385" s="251"/>
      <c r="B385" s="273"/>
      <c r="C385" s="278"/>
      <c r="D385" s="271"/>
      <c r="E385" s="271"/>
      <c r="F385" s="271"/>
      <c r="G385" s="271"/>
      <c r="H385" s="271"/>
      <c r="I385" s="291"/>
      <c r="J385" s="290"/>
    </row>
    <row r="386" spans="1:10" s="289" customFormat="1" ht="15" customHeight="1">
      <c r="A386" s="251"/>
      <c r="B386" s="273"/>
      <c r="C386" s="278"/>
      <c r="D386" s="271"/>
      <c r="E386" s="271"/>
      <c r="F386" s="271"/>
      <c r="G386" s="271"/>
      <c r="H386" s="271"/>
      <c r="I386" s="291"/>
      <c r="J386" s="290"/>
    </row>
    <row r="387" spans="1:10" s="289" customFormat="1" ht="15" customHeight="1">
      <c r="A387" s="251"/>
      <c r="B387" s="273"/>
      <c r="C387" s="278"/>
      <c r="D387" s="271"/>
      <c r="E387" s="271"/>
      <c r="F387" s="271"/>
      <c r="G387" s="271"/>
      <c r="H387" s="271"/>
      <c r="I387" s="291"/>
      <c r="J387" s="290"/>
    </row>
    <row r="388" spans="1:10" s="289" customFormat="1" ht="15" customHeight="1">
      <c r="A388" s="251"/>
      <c r="B388" s="273"/>
      <c r="C388" s="278"/>
      <c r="D388" s="271"/>
      <c r="E388" s="271"/>
      <c r="F388" s="271"/>
      <c r="G388" s="271"/>
      <c r="H388" s="271"/>
      <c r="I388" s="291"/>
      <c r="J388" s="290"/>
    </row>
    <row r="389" spans="1:10" s="289" customFormat="1" ht="15" customHeight="1">
      <c r="A389" s="251"/>
      <c r="B389" s="273"/>
      <c r="C389" s="278"/>
      <c r="D389" s="292"/>
      <c r="E389" s="271"/>
      <c r="F389" s="271"/>
      <c r="G389" s="271"/>
      <c r="H389" s="271"/>
      <c r="I389" s="291"/>
      <c r="J389" s="290"/>
    </row>
    <row r="390" spans="1:10" s="289" customFormat="1" ht="15" customHeight="1">
      <c r="A390" s="251"/>
      <c r="B390" s="273"/>
      <c r="C390" s="278"/>
      <c r="D390" s="292"/>
      <c r="E390" s="271"/>
      <c r="F390" s="271"/>
      <c r="G390" s="271"/>
      <c r="H390" s="271"/>
      <c r="I390" s="291"/>
      <c r="J390" s="290"/>
    </row>
    <row r="391" spans="1:10" s="289" customFormat="1" ht="15" customHeight="1">
      <c r="A391" s="251"/>
      <c r="B391" s="273"/>
      <c r="C391" s="278"/>
      <c r="D391" s="292"/>
      <c r="E391" s="271"/>
      <c r="F391" s="271"/>
      <c r="G391" s="271"/>
      <c r="H391" s="271"/>
      <c r="I391" s="291"/>
      <c r="J391" s="290"/>
    </row>
    <row r="392" spans="1:10" s="289" customFormat="1" ht="15" customHeight="1">
      <c r="A392" s="251"/>
      <c r="B392" s="273"/>
      <c r="C392" s="278"/>
      <c r="D392" s="292"/>
      <c r="E392" s="271"/>
      <c r="F392" s="271"/>
      <c r="G392" s="271"/>
      <c r="H392" s="271"/>
      <c r="I392" s="291"/>
      <c r="J392" s="290"/>
    </row>
    <row r="393" spans="1:10" s="289" customFormat="1" ht="15" customHeight="1">
      <c r="A393" s="251" t="str">
        <f>A354 &amp; ".02"</f>
        <v>01.04.05.01.02</v>
      </c>
      <c r="B393" s="841" t="s">
        <v>1059</v>
      </c>
      <c r="C393" s="278" t="s">
        <v>55</v>
      </c>
      <c r="D393" s="292"/>
      <c r="E393" s="271"/>
      <c r="F393" s="271"/>
      <c r="G393" s="271"/>
      <c r="H393" s="271"/>
      <c r="I393" s="291">
        <f>SUM(H394:H416)</f>
        <v>31.1</v>
      </c>
      <c r="J393" s="290"/>
    </row>
    <row r="394" spans="1:10" s="289" customFormat="1" ht="15" customHeight="1">
      <c r="A394" s="251"/>
      <c r="B394" s="272" t="s">
        <v>354</v>
      </c>
      <c r="C394" s="278"/>
      <c r="D394" s="271">
        <v>1</v>
      </c>
      <c r="E394" s="292" t="s">
        <v>78</v>
      </c>
      <c r="F394" s="271">
        <v>16.600000000000001</v>
      </c>
      <c r="G394" s="271">
        <v>0.4</v>
      </c>
      <c r="H394" s="271">
        <f>PRODUCT(D394:G394)</f>
        <v>6.6400000000000006</v>
      </c>
      <c r="I394" s="291"/>
      <c r="J394" s="290"/>
    </row>
    <row r="395" spans="1:10" s="289" customFormat="1" ht="15" customHeight="1">
      <c r="A395" s="251"/>
      <c r="B395" s="273"/>
      <c r="C395" s="278"/>
      <c r="D395" s="271"/>
      <c r="E395" s="271"/>
      <c r="F395" s="271"/>
      <c r="G395" s="271"/>
      <c r="H395" s="271"/>
      <c r="I395" s="291"/>
      <c r="J395" s="290"/>
    </row>
    <row r="396" spans="1:10" s="289" customFormat="1" ht="15" customHeight="1">
      <c r="A396" s="251"/>
      <c r="B396" s="273"/>
      <c r="C396" s="278"/>
      <c r="D396" s="271"/>
      <c r="E396" s="271"/>
      <c r="F396" s="271"/>
      <c r="G396" s="271"/>
      <c r="H396" s="271"/>
      <c r="I396" s="291"/>
      <c r="J396" s="290"/>
    </row>
    <row r="397" spans="1:10" s="289" customFormat="1" ht="15" customHeight="1">
      <c r="A397" s="251"/>
      <c r="B397" s="273"/>
      <c r="C397" s="278"/>
      <c r="D397" s="271"/>
      <c r="E397" s="271"/>
      <c r="F397" s="271"/>
      <c r="G397" s="271"/>
      <c r="H397" s="271"/>
      <c r="I397" s="291"/>
      <c r="J397" s="290"/>
    </row>
    <row r="398" spans="1:10" s="289" customFormat="1" ht="15" customHeight="1">
      <c r="A398" s="251"/>
      <c r="B398" s="273"/>
      <c r="C398" s="278"/>
      <c r="D398" s="271"/>
      <c r="E398" s="271"/>
      <c r="F398" s="271"/>
      <c r="G398" s="271"/>
      <c r="H398" s="271"/>
      <c r="I398" s="291"/>
      <c r="J398" s="290"/>
    </row>
    <row r="399" spans="1:10" s="289" customFormat="1" ht="15" customHeight="1">
      <c r="A399" s="251"/>
      <c r="B399" s="272"/>
      <c r="C399" s="278"/>
      <c r="D399" s="271"/>
      <c r="E399" s="271"/>
      <c r="F399" s="271"/>
      <c r="G399" s="271"/>
      <c r="H399" s="271"/>
      <c r="I399" s="291"/>
      <c r="J399" s="290"/>
    </row>
    <row r="400" spans="1:10" s="289" customFormat="1" ht="15" customHeight="1">
      <c r="A400" s="251"/>
      <c r="B400" s="272" t="s">
        <v>354</v>
      </c>
      <c r="C400" s="278"/>
      <c r="D400" s="271">
        <v>1</v>
      </c>
      <c r="E400" s="292" t="s">
        <v>78</v>
      </c>
      <c r="F400" s="271">
        <v>19.8</v>
      </c>
      <c r="G400" s="271">
        <v>0.5</v>
      </c>
      <c r="H400" s="271">
        <f>PRODUCT(D400:G400)</f>
        <v>9.9</v>
      </c>
      <c r="I400" s="291"/>
      <c r="J400" s="290"/>
    </row>
    <row r="401" spans="1:10" s="289" customFormat="1" ht="15" customHeight="1">
      <c r="A401" s="251"/>
      <c r="B401" s="273"/>
      <c r="C401" s="278"/>
      <c r="D401" s="271"/>
      <c r="E401" s="271"/>
      <c r="F401" s="271"/>
      <c r="G401" s="271"/>
      <c r="H401" s="271"/>
      <c r="I401" s="291"/>
      <c r="J401" s="290"/>
    </row>
    <row r="402" spans="1:10" s="289" customFormat="1" ht="15" customHeight="1">
      <c r="A402" s="251"/>
      <c r="B402" s="273"/>
      <c r="C402" s="278"/>
      <c r="D402" s="271"/>
      <c r="E402" s="271"/>
      <c r="F402" s="271"/>
      <c r="G402" s="271"/>
      <c r="H402" s="271"/>
      <c r="I402" s="291"/>
      <c r="J402" s="290"/>
    </row>
    <row r="403" spans="1:10" s="289" customFormat="1" ht="15" customHeight="1">
      <c r="A403" s="251"/>
      <c r="B403" s="273"/>
      <c r="C403" s="278"/>
      <c r="D403" s="271"/>
      <c r="E403" s="271"/>
      <c r="F403" s="271"/>
      <c r="G403" s="271"/>
      <c r="H403" s="271"/>
      <c r="I403" s="291"/>
      <c r="J403" s="290"/>
    </row>
    <row r="404" spans="1:10" s="289" customFormat="1" ht="15" customHeight="1">
      <c r="A404" s="251"/>
      <c r="B404" s="273"/>
      <c r="C404" s="278"/>
      <c r="D404" s="271"/>
      <c r="E404" s="271"/>
      <c r="F404" s="271"/>
      <c r="G404" s="271"/>
      <c r="H404" s="271"/>
      <c r="I404" s="291"/>
      <c r="J404" s="290"/>
    </row>
    <row r="405" spans="1:10" s="289" customFormat="1" ht="15" customHeight="1">
      <c r="A405" s="251"/>
      <c r="B405" s="273"/>
      <c r="C405" s="278"/>
      <c r="D405" s="271"/>
      <c r="E405" s="271"/>
      <c r="F405" s="271"/>
      <c r="G405" s="271"/>
      <c r="H405" s="271"/>
      <c r="I405" s="291"/>
      <c r="J405" s="290"/>
    </row>
    <row r="406" spans="1:10" s="289" customFormat="1" ht="15" customHeight="1">
      <c r="A406" s="251"/>
      <c r="B406" s="272" t="s">
        <v>353</v>
      </c>
      <c r="C406" s="278"/>
      <c r="D406" s="271">
        <v>1</v>
      </c>
      <c r="E406" s="292" t="s">
        <v>78</v>
      </c>
      <c r="F406" s="271">
        <v>17.399999999999999</v>
      </c>
      <c r="G406" s="271">
        <v>0.4</v>
      </c>
      <c r="H406" s="271">
        <f>PRODUCT(D406:G406)</f>
        <v>6.96</v>
      </c>
      <c r="I406" s="291"/>
      <c r="J406" s="290"/>
    </row>
    <row r="407" spans="1:10" s="289" customFormat="1" ht="15" customHeight="1">
      <c r="A407" s="251"/>
      <c r="B407" s="273"/>
      <c r="C407" s="278"/>
      <c r="D407" s="271"/>
      <c r="E407" s="271"/>
      <c r="F407" s="271"/>
      <c r="G407" s="271"/>
      <c r="H407" s="271"/>
      <c r="I407" s="291"/>
      <c r="J407" s="290"/>
    </row>
    <row r="408" spans="1:10" s="289" customFormat="1" ht="15" customHeight="1">
      <c r="A408" s="251"/>
      <c r="B408" s="273"/>
      <c r="C408" s="278"/>
      <c r="D408" s="271"/>
      <c r="E408" s="271"/>
      <c r="F408" s="271"/>
      <c r="G408" s="271"/>
      <c r="H408" s="271"/>
      <c r="I408" s="291"/>
      <c r="J408" s="290"/>
    </row>
    <row r="409" spans="1:10" s="289" customFormat="1" ht="15" customHeight="1">
      <c r="A409" s="251"/>
      <c r="B409" s="273"/>
      <c r="C409" s="278"/>
      <c r="D409" s="271"/>
      <c r="E409" s="271"/>
      <c r="F409" s="271"/>
      <c r="G409" s="271"/>
      <c r="H409" s="271"/>
      <c r="I409" s="291"/>
      <c r="J409" s="290"/>
    </row>
    <row r="410" spans="1:10" s="289" customFormat="1" ht="15" customHeight="1">
      <c r="A410" s="251"/>
      <c r="B410" s="273"/>
      <c r="C410" s="278"/>
      <c r="D410" s="271"/>
      <c r="E410" s="271"/>
      <c r="F410" s="271"/>
      <c r="G410" s="271"/>
      <c r="H410" s="271"/>
      <c r="I410" s="291"/>
      <c r="J410" s="290"/>
    </row>
    <row r="411" spans="1:10" s="289" customFormat="1" ht="15" customHeight="1">
      <c r="A411" s="251"/>
      <c r="B411" s="273"/>
      <c r="C411" s="278"/>
      <c r="D411" s="271"/>
      <c r="E411" s="271"/>
      <c r="F411" s="271"/>
      <c r="G411" s="271"/>
      <c r="H411" s="271"/>
      <c r="I411" s="291"/>
      <c r="J411" s="290"/>
    </row>
    <row r="412" spans="1:10" s="289" customFormat="1" ht="15" customHeight="1">
      <c r="A412" s="251"/>
      <c r="B412" s="272" t="s">
        <v>353</v>
      </c>
      <c r="C412" s="278"/>
      <c r="D412" s="271">
        <v>1</v>
      </c>
      <c r="E412" s="292" t="s">
        <v>78</v>
      </c>
      <c r="F412" s="271">
        <v>19</v>
      </c>
      <c r="G412" s="271">
        <v>0.4</v>
      </c>
      <c r="H412" s="271">
        <f>PRODUCT(D412:G412)</f>
        <v>7.6000000000000005</v>
      </c>
      <c r="I412" s="291"/>
      <c r="J412" s="290"/>
    </row>
    <row r="413" spans="1:10" s="289" customFormat="1" ht="15" customHeight="1">
      <c r="A413" s="251"/>
      <c r="B413" s="272"/>
      <c r="C413" s="278"/>
      <c r="D413" s="271"/>
      <c r="E413" s="271"/>
      <c r="F413" s="271"/>
      <c r="G413" s="271"/>
      <c r="H413" s="271"/>
      <c r="I413" s="291"/>
      <c r="J413" s="290"/>
    </row>
    <row r="414" spans="1:10" s="289" customFormat="1" ht="15" customHeight="1">
      <c r="A414" s="251"/>
      <c r="B414" s="272"/>
      <c r="C414" s="278"/>
      <c r="D414" s="292"/>
      <c r="E414" s="271"/>
      <c r="F414" s="271"/>
      <c r="G414" s="271"/>
      <c r="H414" s="271"/>
      <c r="I414" s="291"/>
      <c r="J414" s="290"/>
    </row>
    <row r="415" spans="1:10" s="289" customFormat="1" ht="15" customHeight="1">
      <c r="A415" s="251"/>
      <c r="B415" s="272"/>
      <c r="C415" s="278"/>
      <c r="D415" s="292"/>
      <c r="E415" s="271"/>
      <c r="F415" s="271"/>
      <c r="G415" s="271"/>
      <c r="H415" s="271"/>
      <c r="I415" s="291"/>
      <c r="J415" s="290"/>
    </row>
    <row r="416" spans="1:10" s="289" customFormat="1" ht="15" customHeight="1">
      <c r="A416" s="251"/>
      <c r="B416" s="272"/>
      <c r="C416" s="278"/>
      <c r="D416" s="292"/>
      <c r="E416" s="271"/>
      <c r="F416" s="271"/>
      <c r="G416" s="271"/>
      <c r="H416" s="271"/>
      <c r="I416" s="291"/>
      <c r="J416" s="290"/>
    </row>
    <row r="417" spans="1:10" s="289" customFormat="1" ht="15" customHeight="1">
      <c r="A417" s="251"/>
      <c r="B417" s="272"/>
      <c r="C417" s="278"/>
      <c r="D417" s="292"/>
      <c r="E417" s="271"/>
      <c r="F417" s="271"/>
      <c r="G417" s="271"/>
      <c r="H417" s="271"/>
      <c r="I417" s="291"/>
      <c r="J417" s="290"/>
    </row>
    <row r="418" spans="1:10" s="289" customFormat="1" ht="15" customHeight="1">
      <c r="A418" s="294" t="str">
        <f>A$353&amp; ".02"</f>
        <v>01.04.05.02</v>
      </c>
      <c r="B418" s="293" t="s">
        <v>117</v>
      </c>
      <c r="C418" s="278"/>
      <c r="D418" s="292"/>
      <c r="E418" s="271"/>
      <c r="F418" s="271"/>
      <c r="G418" s="271"/>
      <c r="H418" s="271"/>
      <c r="I418" s="291"/>
      <c r="J418" s="290"/>
    </row>
    <row r="419" spans="1:10" s="289" customFormat="1" ht="15" customHeight="1">
      <c r="A419" s="251" t="str">
        <f>A418 &amp; ".01"</f>
        <v>01.04.05.02.01</v>
      </c>
      <c r="B419" s="273" t="s">
        <v>352</v>
      </c>
      <c r="C419" s="278" t="s">
        <v>0</v>
      </c>
      <c r="D419" s="292"/>
      <c r="E419" s="271"/>
      <c r="F419" s="271"/>
      <c r="G419" s="271"/>
      <c r="H419" s="271"/>
      <c r="I419" s="291">
        <f>H420</f>
        <v>12.6</v>
      </c>
      <c r="J419" s="290"/>
    </row>
    <row r="420" spans="1:10" s="289" customFormat="1" ht="15" customHeight="1">
      <c r="A420" s="251"/>
      <c r="B420" s="272" t="s">
        <v>349</v>
      </c>
      <c r="C420" s="278"/>
      <c r="D420" s="271">
        <v>1</v>
      </c>
      <c r="E420" s="271">
        <v>12.6</v>
      </c>
      <c r="F420" s="271"/>
      <c r="G420" s="271"/>
      <c r="H420" s="271">
        <f>E420</f>
        <v>12.6</v>
      </c>
      <c r="I420" s="291"/>
      <c r="J420" s="290"/>
    </row>
    <row r="421" spans="1:10" s="289" customFormat="1" ht="15" customHeight="1">
      <c r="A421" s="251"/>
      <c r="B421" s="272"/>
      <c r="C421" s="278"/>
      <c r="D421" s="271"/>
      <c r="E421" s="271"/>
      <c r="F421" s="271"/>
      <c r="G421" s="271"/>
      <c r="H421" s="271"/>
      <c r="I421" s="291"/>
      <c r="J421" s="290"/>
    </row>
    <row r="422" spans="1:10" s="289" customFormat="1" ht="15" customHeight="1">
      <c r="A422" s="251" t="str">
        <f>A418 &amp; ".02"</f>
        <v>01.04.05.02.02</v>
      </c>
      <c r="B422" s="273" t="s">
        <v>351</v>
      </c>
      <c r="C422" s="278" t="s">
        <v>0</v>
      </c>
      <c r="D422" s="271"/>
      <c r="E422" s="271"/>
      <c r="F422" s="271"/>
      <c r="G422" s="271"/>
      <c r="H422" s="271"/>
      <c r="I422" s="291">
        <f>H423</f>
        <v>12.6</v>
      </c>
      <c r="J422" s="290"/>
    </row>
    <row r="423" spans="1:10" s="289" customFormat="1" ht="15" customHeight="1">
      <c r="A423" s="251"/>
      <c r="B423" s="272" t="s">
        <v>349</v>
      </c>
      <c r="C423" s="278"/>
      <c r="D423" s="271">
        <v>1</v>
      </c>
      <c r="E423" s="271">
        <v>12.6</v>
      </c>
      <c r="F423" s="271"/>
      <c r="G423" s="271"/>
      <c r="H423" s="271">
        <f>E423</f>
        <v>12.6</v>
      </c>
      <c r="I423" s="291"/>
      <c r="J423" s="290"/>
    </row>
    <row r="424" spans="1:10" s="289" customFormat="1" ht="15" customHeight="1">
      <c r="A424" s="251"/>
      <c r="B424" s="272"/>
      <c r="C424" s="278"/>
      <c r="D424" s="271"/>
      <c r="E424" s="271"/>
      <c r="F424" s="271"/>
      <c r="G424" s="271"/>
      <c r="H424" s="271"/>
      <c r="I424" s="291"/>
      <c r="J424" s="290"/>
    </row>
    <row r="425" spans="1:10" s="289" customFormat="1" ht="15" customHeight="1">
      <c r="A425" s="251" t="str">
        <f>A418 &amp; ".03"</f>
        <v>01.04.05.02.03</v>
      </c>
      <c r="B425" s="273" t="s">
        <v>350</v>
      </c>
      <c r="C425" s="278" t="s">
        <v>0</v>
      </c>
      <c r="D425" s="271"/>
      <c r="E425" s="271"/>
      <c r="F425" s="271"/>
      <c r="G425" s="271"/>
      <c r="H425" s="271"/>
      <c r="I425" s="291">
        <f>H426</f>
        <v>12.6</v>
      </c>
      <c r="J425" s="290"/>
    </row>
    <row r="426" spans="1:10" s="289" customFormat="1" ht="15" customHeight="1">
      <c r="A426" s="251"/>
      <c r="B426" s="272" t="s">
        <v>349</v>
      </c>
      <c r="C426" s="278"/>
      <c r="D426" s="271">
        <v>1</v>
      </c>
      <c r="E426" s="271">
        <v>12.6</v>
      </c>
      <c r="F426" s="271"/>
      <c r="G426" s="271"/>
      <c r="H426" s="271">
        <f>E426</f>
        <v>12.6</v>
      </c>
      <c r="I426" s="291"/>
      <c r="J426" s="290"/>
    </row>
    <row r="427" spans="1:10" s="289" customFormat="1" ht="15" customHeight="1">
      <c r="A427" s="251"/>
      <c r="B427" s="272"/>
      <c r="C427" s="278"/>
      <c r="D427" s="271"/>
      <c r="E427" s="271"/>
      <c r="F427" s="271"/>
      <c r="G427" s="271"/>
      <c r="H427" s="271"/>
      <c r="I427" s="291"/>
      <c r="J427" s="290"/>
    </row>
    <row r="428" spans="1:10" s="269" customFormat="1" ht="15" customHeight="1">
      <c r="A428" s="81" t="str">
        <f>A$26 &amp; ".06"</f>
        <v>01.04.06</v>
      </c>
      <c r="B428" s="81" t="s">
        <v>1060</v>
      </c>
      <c r="C428" s="288"/>
      <c r="D428" s="271"/>
      <c r="E428" s="287"/>
      <c r="F428" s="286"/>
      <c r="G428" s="286"/>
      <c r="H428" s="286"/>
      <c r="I428" s="245"/>
    </row>
    <row r="429" spans="1:10" s="269" customFormat="1" ht="15" customHeight="1">
      <c r="A429" s="249" t="str">
        <f>A428 &amp; ".01"</f>
        <v>01.04.06.01</v>
      </c>
      <c r="B429" s="285" t="s">
        <v>107</v>
      </c>
      <c r="C429" s="288"/>
      <c r="D429" s="271"/>
      <c r="E429" s="287"/>
      <c r="F429" s="286"/>
      <c r="G429" s="286"/>
      <c r="H429" s="286"/>
      <c r="I429" s="245"/>
    </row>
    <row r="430" spans="1:10" s="269" customFormat="1" ht="15" customHeight="1">
      <c r="A430" s="251" t="str">
        <f>A429 &amp; ".01"</f>
        <v>01.04.06.01.01</v>
      </c>
      <c r="B430" s="273" t="s">
        <v>106</v>
      </c>
      <c r="C430" s="278" t="s">
        <v>55</v>
      </c>
      <c r="D430" s="271"/>
      <c r="E430" s="287"/>
      <c r="F430" s="286"/>
      <c r="G430" s="286"/>
      <c r="H430" s="286"/>
      <c r="I430" s="245">
        <f>SUM(H431)</f>
        <v>11.76</v>
      </c>
    </row>
    <row r="431" spans="1:10" s="269" customFormat="1" ht="15" customHeight="1">
      <c r="A431" s="81"/>
      <c r="B431" s="272" t="s">
        <v>105</v>
      </c>
      <c r="C431" s="278"/>
      <c r="D431" s="271">
        <v>1</v>
      </c>
      <c r="E431" s="271">
        <v>29.4</v>
      </c>
      <c r="F431" s="271">
        <v>0.4</v>
      </c>
      <c r="G431" s="286"/>
      <c r="H431" s="246">
        <f>ROUND(PRODUCT(D431:G431),2)</f>
        <v>11.76</v>
      </c>
      <c r="I431" s="245"/>
    </row>
    <row r="432" spans="1:10" s="269" customFormat="1" ht="15" customHeight="1">
      <c r="A432" s="81"/>
      <c r="B432" s="81"/>
      <c r="C432" s="278"/>
      <c r="D432" s="271"/>
      <c r="E432" s="271"/>
      <c r="F432" s="271"/>
      <c r="G432" s="286"/>
      <c r="H432" s="286"/>
      <c r="I432" s="245"/>
    </row>
    <row r="433" spans="1:9" s="269" customFormat="1" ht="15" customHeight="1">
      <c r="A433" s="251" t="str">
        <f>A429 &amp; ".02"</f>
        <v>01.04.06.01.02</v>
      </c>
      <c r="B433" s="273" t="s">
        <v>104</v>
      </c>
      <c r="C433" s="278" t="s">
        <v>55</v>
      </c>
      <c r="D433" s="271"/>
      <c r="E433" s="271"/>
      <c r="F433" s="271"/>
      <c r="G433" s="286"/>
      <c r="H433" s="286"/>
      <c r="I433" s="245">
        <f>SUM(H434)</f>
        <v>11.76</v>
      </c>
    </row>
    <row r="434" spans="1:9" s="269" customFormat="1" ht="15" customHeight="1">
      <c r="A434" s="251"/>
      <c r="B434" s="272" t="s">
        <v>102</v>
      </c>
      <c r="C434" s="278"/>
      <c r="D434" s="271">
        <v>1</v>
      </c>
      <c r="E434" s="271">
        <v>29.4</v>
      </c>
      <c r="F434" s="271">
        <v>0.4</v>
      </c>
      <c r="G434" s="286"/>
      <c r="H434" s="246">
        <f>ROUND(PRODUCT(D434:G434),2)</f>
        <v>11.76</v>
      </c>
      <c r="I434" s="245"/>
    </row>
    <row r="435" spans="1:9" s="269" customFormat="1" ht="15" customHeight="1">
      <c r="A435" s="251"/>
      <c r="B435" s="273"/>
      <c r="C435" s="278"/>
      <c r="D435" s="271"/>
      <c r="E435" s="271"/>
      <c r="F435" s="271"/>
      <c r="G435" s="286"/>
      <c r="H435" s="286"/>
      <c r="I435" s="245"/>
    </row>
    <row r="436" spans="1:9" s="269" customFormat="1" ht="15" customHeight="1">
      <c r="A436" s="251" t="str">
        <f>A429 &amp; ".03"</f>
        <v>01.04.06.01.03</v>
      </c>
      <c r="B436" s="273" t="s">
        <v>247</v>
      </c>
      <c r="C436" s="278" t="s">
        <v>55</v>
      </c>
      <c r="D436" s="271"/>
      <c r="E436" s="271"/>
      <c r="F436" s="271"/>
      <c r="G436" s="286"/>
      <c r="H436" s="286"/>
      <c r="I436" s="245">
        <f>SUM(H437)</f>
        <v>11.76</v>
      </c>
    </row>
    <row r="437" spans="1:9" s="269" customFormat="1" ht="15" customHeight="1">
      <c r="A437" s="81"/>
      <c r="B437" s="272" t="s">
        <v>102</v>
      </c>
      <c r="C437" s="278"/>
      <c r="D437" s="271">
        <v>1</v>
      </c>
      <c r="E437" s="271">
        <v>29.4</v>
      </c>
      <c r="F437" s="271">
        <v>0.4</v>
      </c>
      <c r="G437" s="286"/>
      <c r="H437" s="246">
        <f>ROUND(PRODUCT(D437:G437),2)</f>
        <v>11.76</v>
      </c>
      <c r="I437" s="245"/>
    </row>
    <row r="438" spans="1:9" s="269" customFormat="1" ht="15" customHeight="1">
      <c r="A438" s="81"/>
      <c r="B438" s="81"/>
      <c r="C438" s="278"/>
      <c r="D438" s="271"/>
      <c r="E438" s="271"/>
      <c r="F438" s="271"/>
      <c r="G438" s="286"/>
      <c r="H438" s="286"/>
      <c r="I438" s="245"/>
    </row>
    <row r="439" spans="1:9" s="269" customFormat="1" ht="15" customHeight="1">
      <c r="A439" s="249" t="str">
        <f>A428 &amp; ".02"</f>
        <v>01.04.06.02</v>
      </c>
      <c r="B439" s="285" t="s">
        <v>101</v>
      </c>
      <c r="C439" s="20"/>
      <c r="D439" s="271"/>
      <c r="E439" s="247"/>
      <c r="F439" s="247"/>
      <c r="G439" s="247"/>
      <c r="H439" s="246"/>
      <c r="I439" s="245"/>
    </row>
    <row r="440" spans="1:9" s="269" customFormat="1" ht="15" customHeight="1">
      <c r="A440" s="251" t="str">
        <f>A439 &amp; ".01"</f>
        <v>01.04.06.02.01</v>
      </c>
      <c r="B440" s="273" t="s">
        <v>348</v>
      </c>
      <c r="C440" s="260" t="s">
        <v>93</v>
      </c>
      <c r="D440" s="271"/>
      <c r="E440" s="247"/>
      <c r="F440" s="247"/>
      <c r="G440" s="247"/>
      <c r="H440" s="257"/>
      <c r="I440" s="245">
        <f>+SUM(H441)</f>
        <v>1.1499999999999999</v>
      </c>
    </row>
    <row r="441" spans="1:9" s="269" customFormat="1" ht="15" customHeight="1">
      <c r="A441" s="276"/>
      <c r="B441" s="272" t="s">
        <v>347</v>
      </c>
      <c r="C441" s="284"/>
      <c r="D441" s="271">
        <v>12</v>
      </c>
      <c r="E441" s="247">
        <v>0.4</v>
      </c>
      <c r="F441" s="247">
        <v>0.4</v>
      </c>
      <c r="G441" s="247">
        <v>0.6</v>
      </c>
      <c r="H441" s="246">
        <f>ROUND(PRODUCT(D441:G441),2)</f>
        <v>1.1499999999999999</v>
      </c>
      <c r="I441" s="245"/>
    </row>
    <row r="442" spans="1:9" s="269" customFormat="1" ht="15" customHeight="1">
      <c r="A442" s="276"/>
      <c r="B442" s="275"/>
      <c r="C442" s="20"/>
      <c r="D442" s="271"/>
      <c r="E442" s="258"/>
      <c r="F442" s="259"/>
      <c r="G442" s="258"/>
      <c r="H442" s="257"/>
      <c r="I442" s="245"/>
    </row>
    <row r="443" spans="1:9" s="269" customFormat="1" ht="15" customHeight="1">
      <c r="A443" s="283" t="str">
        <f>A439 &amp; ".02"</f>
        <v>01.04.06.02.02</v>
      </c>
      <c r="B443" s="282" t="s">
        <v>317</v>
      </c>
      <c r="C443" s="278" t="s">
        <v>93</v>
      </c>
      <c r="D443" s="271"/>
      <c r="E443" s="271"/>
      <c r="F443" s="271"/>
      <c r="G443" s="271"/>
      <c r="H443" s="281"/>
      <c r="I443" s="280">
        <f>SUM(H444:H444)</f>
        <v>1.38</v>
      </c>
    </row>
    <row r="444" spans="1:9" s="269" customFormat="1" ht="15" customHeight="1">
      <c r="A444" s="279"/>
      <c r="B444" s="272" t="s">
        <v>346</v>
      </c>
      <c r="C444" s="278"/>
      <c r="D444" s="271">
        <v>1</v>
      </c>
      <c r="E444" s="271">
        <v>1.2</v>
      </c>
      <c r="F444" s="271" t="s">
        <v>236</v>
      </c>
      <c r="G444" s="271">
        <f>+I440</f>
        <v>1.1499999999999999</v>
      </c>
      <c r="H444" s="277">
        <f>+ROUND(PRODUCT(D444:G444),2)</f>
        <v>1.38</v>
      </c>
      <c r="I444" s="103"/>
    </row>
    <row r="445" spans="1:9" ht="15" customHeight="1">
      <c r="A445" s="276"/>
      <c r="B445" s="275"/>
      <c r="C445" s="20"/>
      <c r="D445" s="271"/>
      <c r="E445" s="258"/>
      <c r="F445" s="259"/>
      <c r="G445" s="258"/>
      <c r="H445" s="257"/>
      <c r="I445" s="245"/>
    </row>
    <row r="446" spans="1:9" s="269" customFormat="1" ht="15" customHeight="1">
      <c r="A446" s="249" t="str">
        <f>A428 &amp; ".03"</f>
        <v>01.04.06.03</v>
      </c>
      <c r="B446" s="274" t="s">
        <v>95</v>
      </c>
      <c r="C446" s="260"/>
      <c r="D446" s="271"/>
      <c r="E446" s="258"/>
      <c r="F446" s="259"/>
      <c r="G446" s="258"/>
      <c r="H446" s="257"/>
      <c r="I446" s="245"/>
    </row>
    <row r="447" spans="1:9" s="269" customFormat="1" ht="15" customHeight="1">
      <c r="A447" s="251" t="str">
        <f>A446 &amp; ".01"</f>
        <v>01.04.06.03.01</v>
      </c>
      <c r="B447" s="273" t="s">
        <v>94</v>
      </c>
      <c r="C447" s="20" t="s">
        <v>93</v>
      </c>
      <c r="D447" s="271"/>
      <c r="E447" s="258"/>
      <c r="F447" s="259"/>
      <c r="G447" s="258"/>
      <c r="H447" s="257"/>
      <c r="I447" s="245">
        <f>+SUM(H448)</f>
        <v>1.1499999999999999</v>
      </c>
    </row>
    <row r="448" spans="1:9" s="269" customFormat="1" ht="15" customHeight="1">
      <c r="A448" s="270"/>
      <c r="B448" s="272" t="s">
        <v>92</v>
      </c>
      <c r="C448" s="260"/>
      <c r="D448" s="271">
        <v>12</v>
      </c>
      <c r="E448" s="247">
        <v>0.4</v>
      </c>
      <c r="F448" s="247">
        <v>0.4</v>
      </c>
      <c r="G448" s="247">
        <v>0.6</v>
      </c>
      <c r="H448" s="246">
        <f>ROUND(PRODUCT(D448:G448),2)</f>
        <v>1.1499999999999999</v>
      </c>
      <c r="I448" s="245"/>
    </row>
    <row r="449" spans="1:10" s="269" customFormat="1" ht="15" customHeight="1">
      <c r="A449" s="270"/>
      <c r="B449" s="264"/>
      <c r="C449" s="260"/>
      <c r="E449" s="258"/>
      <c r="F449" s="259"/>
      <c r="G449" s="258"/>
      <c r="H449" s="257"/>
      <c r="I449" s="245"/>
    </row>
    <row r="450" spans="1:10" ht="15" customHeight="1">
      <c r="A450" s="249" t="str">
        <f>A428 &amp; ".04"</f>
        <v>01.04.06.04</v>
      </c>
      <c r="B450" s="252" t="s">
        <v>91</v>
      </c>
      <c r="C450" s="260"/>
      <c r="D450" s="269"/>
      <c r="E450" s="258"/>
      <c r="F450" s="259"/>
      <c r="G450" s="258"/>
      <c r="H450" s="257"/>
      <c r="I450" s="245"/>
      <c r="J450" s="267"/>
    </row>
    <row r="451" spans="1:10" ht="15" customHeight="1">
      <c r="A451" s="251" t="str">
        <f>A450 &amp; ".01"</f>
        <v>01.04.06.04.01</v>
      </c>
      <c r="B451" s="263" t="s">
        <v>90</v>
      </c>
      <c r="C451" s="20" t="s">
        <v>58</v>
      </c>
      <c r="D451" s="268"/>
      <c r="E451" s="247"/>
      <c r="F451" s="247"/>
      <c r="G451" s="247"/>
      <c r="H451" s="246"/>
      <c r="I451" s="245">
        <f>+SUM(H452)</f>
        <v>12</v>
      </c>
      <c r="J451" s="267"/>
    </row>
    <row r="452" spans="1:10" ht="15" customHeight="1">
      <c r="A452" s="266"/>
      <c r="B452" s="264"/>
      <c r="C452" s="20"/>
      <c r="D452" s="248">
        <v>12</v>
      </c>
      <c r="E452" s="247"/>
      <c r="F452" s="247"/>
      <c r="G452" s="247"/>
      <c r="H452" s="246">
        <f>D452</f>
        <v>12</v>
      </c>
      <c r="I452" s="245"/>
    </row>
    <row r="453" spans="1:10" ht="15" customHeight="1">
      <c r="A453" s="265"/>
      <c r="B453" s="264"/>
      <c r="C453" s="260"/>
      <c r="D453" s="248"/>
      <c r="E453" s="247"/>
      <c r="F453" s="247"/>
      <c r="G453" s="247"/>
      <c r="H453" s="246"/>
      <c r="I453" s="245"/>
    </row>
    <row r="454" spans="1:10" ht="15" customHeight="1">
      <c r="A454" s="251" t="str">
        <f>A450 &amp; ".02"</f>
        <v>01.04.06.04.02</v>
      </c>
      <c r="B454" s="263" t="s">
        <v>89</v>
      </c>
      <c r="C454" s="20" t="s">
        <v>58</v>
      </c>
      <c r="D454" s="248"/>
      <c r="E454" s="247"/>
      <c r="F454" s="247"/>
      <c r="G454" s="247"/>
      <c r="H454" s="246"/>
      <c r="I454" s="245">
        <f>SUM(H455:H458)</f>
        <v>66</v>
      </c>
    </row>
    <row r="455" spans="1:10" ht="15" customHeight="1">
      <c r="A455" s="251"/>
      <c r="B455" s="77" t="s">
        <v>88</v>
      </c>
      <c r="C455" s="260"/>
      <c r="D455" s="248">
        <v>18</v>
      </c>
      <c r="E455" s="258"/>
      <c r="F455" s="259"/>
      <c r="G455" s="258"/>
      <c r="H455" s="257">
        <f>D455</f>
        <v>18</v>
      </c>
      <c r="I455" s="245"/>
    </row>
    <row r="456" spans="1:10" ht="15" customHeight="1">
      <c r="A456" s="251"/>
      <c r="B456" s="77" t="s">
        <v>87</v>
      </c>
      <c r="C456" s="260"/>
      <c r="D456" s="248">
        <v>18</v>
      </c>
      <c r="E456" s="258"/>
      <c r="F456" s="262"/>
      <c r="G456" s="262"/>
      <c r="H456" s="257">
        <f>D456</f>
        <v>18</v>
      </c>
      <c r="I456" s="245"/>
    </row>
    <row r="457" spans="1:10" ht="15" customHeight="1">
      <c r="A457" s="253"/>
      <c r="B457" s="77" t="s">
        <v>86</v>
      </c>
      <c r="C457" s="260"/>
      <c r="D457" s="248">
        <v>18</v>
      </c>
      <c r="E457" s="258"/>
      <c r="F457" s="259"/>
      <c r="G457" s="258"/>
      <c r="H457" s="257">
        <f>D457</f>
        <v>18</v>
      </c>
      <c r="I457" s="245"/>
    </row>
    <row r="458" spans="1:10" ht="15" customHeight="1">
      <c r="A458" s="253"/>
      <c r="B458" s="77" t="s">
        <v>85</v>
      </c>
      <c r="C458" s="260"/>
      <c r="D458" s="248">
        <v>12</v>
      </c>
      <c r="E458" s="247"/>
      <c r="F458" s="259"/>
      <c r="G458" s="258"/>
      <c r="H458" s="257">
        <f>D458</f>
        <v>12</v>
      </c>
      <c r="I458" s="245"/>
    </row>
    <row r="459" spans="1:10" ht="15" customHeight="1">
      <c r="A459" s="253"/>
      <c r="B459" s="261"/>
      <c r="C459" s="260"/>
      <c r="D459" s="248"/>
      <c r="E459" s="247"/>
      <c r="F459" s="259"/>
      <c r="G459" s="258"/>
      <c r="H459" s="246"/>
      <c r="I459" s="245"/>
      <c r="J459" s="255"/>
    </row>
    <row r="460" spans="1:10" ht="15" customHeight="1">
      <c r="A460" s="249" t="str">
        <f>A428 &amp; ".05"</f>
        <v>01.04.06.05</v>
      </c>
      <c r="B460" s="252" t="s">
        <v>84</v>
      </c>
      <c r="C460" s="260"/>
      <c r="D460" s="248"/>
      <c r="E460" s="258"/>
      <c r="F460" s="259"/>
      <c r="G460" s="258"/>
      <c r="H460" s="257"/>
      <c r="I460" s="245"/>
      <c r="J460" s="255"/>
    </row>
    <row r="461" spans="1:10" ht="15" customHeight="1">
      <c r="A461" s="251" t="str">
        <f>A460 &amp; ".01"</f>
        <v>01.04.06.05.01</v>
      </c>
      <c r="B461" s="256" t="s">
        <v>83</v>
      </c>
      <c r="C461" s="20" t="s">
        <v>0</v>
      </c>
      <c r="D461" s="248"/>
      <c r="E461" s="247"/>
      <c r="F461" s="247"/>
      <c r="G461" s="247"/>
      <c r="H461" s="246"/>
      <c r="I461" s="245">
        <f>SUM(H462:H480)</f>
        <v>139.42999999999998</v>
      </c>
      <c r="J461" s="255"/>
    </row>
    <row r="462" spans="1:10" ht="15" customHeight="1">
      <c r="A462" s="253"/>
      <c r="B462" s="254" t="s">
        <v>82</v>
      </c>
      <c r="C462" s="20"/>
      <c r="D462" s="248"/>
      <c r="E462" s="247"/>
      <c r="F462" s="247"/>
      <c r="G462" s="247"/>
      <c r="H462" s="246"/>
      <c r="I462" s="245"/>
      <c r="J462" s="255"/>
    </row>
    <row r="463" spans="1:10" ht="15" customHeight="1">
      <c r="A463" s="253"/>
      <c r="B463" s="254" t="s">
        <v>345</v>
      </c>
      <c r="C463" s="20"/>
      <c r="D463" s="20">
        <v>1</v>
      </c>
      <c r="E463" s="59" t="s">
        <v>78</v>
      </c>
      <c r="F463" s="247">
        <v>6.42</v>
      </c>
      <c r="G463" s="247"/>
      <c r="H463" s="246">
        <f>PRODUCT(C463:G463)</f>
        <v>6.42</v>
      </c>
      <c r="I463" s="245"/>
      <c r="J463" s="255"/>
    </row>
    <row r="464" spans="1:10" ht="15" customHeight="1">
      <c r="A464" s="253"/>
      <c r="B464" s="250"/>
      <c r="C464" s="20"/>
      <c r="D464" s="20">
        <v>1</v>
      </c>
      <c r="E464" s="59" t="s">
        <v>78</v>
      </c>
      <c r="F464" s="247">
        <v>6.65</v>
      </c>
      <c r="G464" s="247"/>
      <c r="H464" s="246">
        <f>PRODUCT(C464:G464)</f>
        <v>6.65</v>
      </c>
      <c r="I464" s="245"/>
      <c r="J464" s="255"/>
    </row>
    <row r="465" spans="1:10" ht="15" customHeight="1">
      <c r="A465" s="253"/>
      <c r="B465" s="254" t="s">
        <v>344</v>
      </c>
      <c r="C465" s="20"/>
      <c r="D465" s="20">
        <v>2</v>
      </c>
      <c r="E465" s="59" t="s">
        <v>78</v>
      </c>
      <c r="F465" s="247">
        <v>6.42</v>
      </c>
      <c r="G465" s="247"/>
      <c r="H465" s="246">
        <f>PRODUCT(C465:G465)</f>
        <v>12.84</v>
      </c>
      <c r="I465" s="245"/>
      <c r="J465" s="255"/>
    </row>
    <row r="466" spans="1:10" ht="15" customHeight="1">
      <c r="A466" s="253"/>
      <c r="B466" s="254" t="s">
        <v>343</v>
      </c>
      <c r="C466" s="20"/>
      <c r="D466" s="20">
        <v>2</v>
      </c>
      <c r="E466" s="59" t="s">
        <v>78</v>
      </c>
      <c r="F466" s="247">
        <v>6.42</v>
      </c>
      <c r="G466" s="247"/>
      <c r="H466" s="246">
        <f>PRODUCT(C466:G466)</f>
        <v>12.84</v>
      </c>
      <c r="I466" s="245"/>
      <c r="J466" s="255"/>
    </row>
    <row r="467" spans="1:10" ht="15" customHeight="1">
      <c r="A467" s="253"/>
      <c r="B467" s="254" t="s">
        <v>81</v>
      </c>
      <c r="C467" s="20"/>
      <c r="D467" s="20"/>
      <c r="E467" s="248"/>
      <c r="F467" s="247"/>
      <c r="G467" s="247"/>
      <c r="H467" s="246"/>
      <c r="I467" s="245"/>
      <c r="J467" s="255"/>
    </row>
    <row r="468" spans="1:10" ht="15" customHeight="1">
      <c r="A468" s="253"/>
      <c r="B468" s="254" t="s">
        <v>342</v>
      </c>
      <c r="C468" s="20"/>
      <c r="D468" s="20">
        <v>2</v>
      </c>
      <c r="E468" s="59" t="s">
        <v>78</v>
      </c>
      <c r="F468" s="247">
        <v>5.98</v>
      </c>
      <c r="G468" s="247"/>
      <c r="H468" s="246">
        <f>PRODUCT(C468:G468)</f>
        <v>11.96</v>
      </c>
      <c r="I468" s="245"/>
    </row>
    <row r="469" spans="1:10" ht="15" customHeight="1">
      <c r="A469" s="253"/>
      <c r="B469" s="254" t="s">
        <v>341</v>
      </c>
      <c r="C469" s="20"/>
      <c r="D469" s="20">
        <v>2</v>
      </c>
      <c r="E469" s="59" t="s">
        <v>78</v>
      </c>
      <c r="F469" s="247">
        <v>5.98</v>
      </c>
      <c r="G469" s="247"/>
      <c r="H469" s="246">
        <f>PRODUCT(C469:G469)</f>
        <v>11.96</v>
      </c>
      <c r="I469" s="245"/>
    </row>
    <row r="470" spans="1:10" ht="15" customHeight="1">
      <c r="A470" s="253"/>
      <c r="B470" s="254" t="s">
        <v>340</v>
      </c>
      <c r="C470" s="20"/>
      <c r="D470" s="20">
        <v>2</v>
      </c>
      <c r="E470" s="59" t="s">
        <v>78</v>
      </c>
      <c r="F470" s="247">
        <v>5.99</v>
      </c>
      <c r="G470" s="247"/>
      <c r="H470" s="246">
        <f>PRODUCT(C470:G470)</f>
        <v>11.98</v>
      </c>
      <c r="I470" s="245"/>
    </row>
    <row r="471" spans="1:10" ht="15" customHeight="1">
      <c r="A471" s="253"/>
      <c r="B471" s="254" t="s">
        <v>80</v>
      </c>
      <c r="C471" s="20"/>
      <c r="D471" s="20"/>
      <c r="E471" s="248"/>
      <c r="F471" s="247"/>
      <c r="G471" s="247"/>
      <c r="H471" s="246"/>
      <c r="I471" s="245"/>
    </row>
    <row r="472" spans="1:10" ht="15" customHeight="1">
      <c r="A472" s="253"/>
      <c r="B472" s="254" t="s">
        <v>339</v>
      </c>
      <c r="C472" s="20"/>
      <c r="D472" s="20">
        <v>1</v>
      </c>
      <c r="E472" s="59" t="s">
        <v>78</v>
      </c>
      <c r="F472" s="247">
        <v>6.41</v>
      </c>
      <c r="G472" s="247"/>
      <c r="H472" s="246">
        <f t="shared" ref="H472:H477" si="6">PRODUCT(C472:G472)</f>
        <v>6.41</v>
      </c>
      <c r="I472" s="245"/>
    </row>
    <row r="473" spans="1:10" ht="15" customHeight="1">
      <c r="A473" s="253"/>
      <c r="B473" s="250"/>
      <c r="C473" s="20"/>
      <c r="D473" s="20">
        <v>1</v>
      </c>
      <c r="E473" s="59" t="s">
        <v>78</v>
      </c>
      <c r="F473" s="247">
        <v>6.41</v>
      </c>
      <c r="G473" s="247"/>
      <c r="H473" s="246">
        <f t="shared" si="6"/>
        <v>6.41</v>
      </c>
      <c r="I473" s="245"/>
    </row>
    <row r="474" spans="1:10" ht="15" customHeight="1">
      <c r="A474" s="253"/>
      <c r="B474" s="254" t="s">
        <v>338</v>
      </c>
      <c r="C474" s="20"/>
      <c r="D474" s="20">
        <v>1</v>
      </c>
      <c r="E474" s="59" t="s">
        <v>78</v>
      </c>
      <c r="F474" s="247">
        <v>6.41</v>
      </c>
      <c r="G474" s="247"/>
      <c r="H474" s="246">
        <f t="shared" si="6"/>
        <v>6.41</v>
      </c>
      <c r="I474" s="245"/>
    </row>
    <row r="475" spans="1:10" ht="15" customHeight="1">
      <c r="A475" s="253"/>
      <c r="B475" s="250"/>
      <c r="C475" s="20"/>
      <c r="D475" s="20">
        <v>1</v>
      </c>
      <c r="E475" s="59" t="s">
        <v>78</v>
      </c>
      <c r="F475" s="247">
        <v>6.41</v>
      </c>
      <c r="G475" s="247"/>
      <c r="H475" s="246">
        <f t="shared" si="6"/>
        <v>6.41</v>
      </c>
      <c r="I475" s="245"/>
    </row>
    <row r="476" spans="1:10" ht="15" customHeight="1">
      <c r="A476" s="253"/>
      <c r="B476" s="254" t="s">
        <v>337</v>
      </c>
      <c r="C476" s="20"/>
      <c r="D476" s="20">
        <v>1</v>
      </c>
      <c r="E476" s="59" t="s">
        <v>78</v>
      </c>
      <c r="F476" s="247">
        <v>6.41</v>
      </c>
      <c r="G476" s="247"/>
      <c r="H476" s="246">
        <f t="shared" si="6"/>
        <v>6.41</v>
      </c>
      <c r="I476" s="245"/>
    </row>
    <row r="477" spans="1:10" ht="15" customHeight="1">
      <c r="A477" s="253"/>
      <c r="B477" s="250"/>
      <c r="C477" s="20"/>
      <c r="D477" s="20">
        <v>1</v>
      </c>
      <c r="E477" s="59" t="s">
        <v>78</v>
      </c>
      <c r="F477" s="247">
        <v>6.41</v>
      </c>
      <c r="G477" s="247"/>
      <c r="H477" s="246">
        <f t="shared" si="6"/>
        <v>6.41</v>
      </c>
      <c r="I477" s="245"/>
    </row>
    <row r="478" spans="1:10" ht="15" customHeight="1">
      <c r="A478" s="253"/>
      <c r="B478" s="254" t="s">
        <v>79</v>
      </c>
      <c r="C478" s="20"/>
      <c r="D478" s="20"/>
      <c r="E478" s="248"/>
      <c r="F478" s="247"/>
      <c r="G478" s="247"/>
      <c r="H478" s="246"/>
      <c r="I478" s="245"/>
    </row>
    <row r="479" spans="1:10" ht="15" customHeight="1">
      <c r="A479" s="253"/>
      <c r="B479" s="254" t="s">
        <v>336</v>
      </c>
      <c r="C479" s="20"/>
      <c r="D479" s="20">
        <v>2</v>
      </c>
      <c r="E479" s="59" t="s">
        <v>78</v>
      </c>
      <c r="F479" s="247">
        <v>6.58</v>
      </c>
      <c r="G479" s="247"/>
      <c r="H479" s="246">
        <f>PRODUCT(C479:G479)</f>
        <v>13.16</v>
      </c>
      <c r="I479" s="245"/>
    </row>
    <row r="480" spans="1:10" ht="15" customHeight="1">
      <c r="A480" s="253"/>
      <c r="B480" s="254" t="s">
        <v>335</v>
      </c>
      <c r="C480" s="20"/>
      <c r="D480" s="20">
        <v>2</v>
      </c>
      <c r="E480" s="59" t="s">
        <v>78</v>
      </c>
      <c r="F480" s="247">
        <v>6.58</v>
      </c>
      <c r="G480" s="247"/>
      <c r="H480" s="246">
        <f>PRODUCT(C480:G480)</f>
        <v>13.16</v>
      </c>
      <c r="I480" s="245"/>
    </row>
    <row r="481" spans="1:9" ht="15" customHeight="1">
      <c r="A481" s="253"/>
      <c r="B481" s="250"/>
      <c r="C481" s="20"/>
      <c r="D481" s="59"/>
      <c r="E481" s="247"/>
      <c r="F481" s="247"/>
      <c r="G481" s="247"/>
      <c r="H481" s="246"/>
      <c r="I481" s="245"/>
    </row>
    <row r="482" spans="1:9" ht="15" customHeight="1">
      <c r="A482" s="249" t="str">
        <f>A428 &amp; ".06"</f>
        <v>01.04.06.06</v>
      </c>
      <c r="B482" s="252" t="s">
        <v>1040</v>
      </c>
      <c r="C482" s="20"/>
      <c r="D482" s="59"/>
      <c r="E482" s="247"/>
      <c r="F482" s="247"/>
      <c r="G482" s="247"/>
      <c r="H482" s="246"/>
      <c r="I482" s="245"/>
    </row>
    <row r="483" spans="1:9" ht="15" customHeight="1">
      <c r="A483" s="251" t="str">
        <f>A482 &amp; ".01"</f>
        <v>01.04.06.06.01</v>
      </c>
      <c r="B483" s="250" t="s">
        <v>77</v>
      </c>
      <c r="C483" s="20" t="s">
        <v>55</v>
      </c>
      <c r="D483" s="248"/>
      <c r="E483" s="247"/>
      <c r="F483" s="247"/>
      <c r="G483" s="247"/>
      <c r="H483" s="246"/>
      <c r="I483" s="245">
        <f>SUM(H484:H498)</f>
        <v>52.019999999999996</v>
      </c>
    </row>
    <row r="484" spans="1:9" ht="15" customHeight="1">
      <c r="A484" s="253"/>
      <c r="B484" s="254" t="s">
        <v>82</v>
      </c>
      <c r="C484" s="20"/>
      <c r="D484" s="248"/>
      <c r="E484" s="247"/>
      <c r="F484" s="247"/>
      <c r="G484" s="247"/>
      <c r="H484" s="246"/>
      <c r="I484" s="245"/>
    </row>
    <row r="485" spans="1:9" ht="15" customHeight="1">
      <c r="A485" s="253"/>
      <c r="B485" s="254" t="s">
        <v>345</v>
      </c>
      <c r="C485" s="20"/>
      <c r="D485" s="20">
        <v>2</v>
      </c>
      <c r="E485" s="248" t="s">
        <v>61</v>
      </c>
      <c r="F485" s="247">
        <v>2.4500000000000002</v>
      </c>
      <c r="G485" s="247"/>
      <c r="H485" s="246">
        <f>PRODUCT(C485:G485)</f>
        <v>4.9000000000000004</v>
      </c>
      <c r="I485" s="245"/>
    </row>
    <row r="486" spans="1:9" ht="15" customHeight="1">
      <c r="A486" s="253"/>
      <c r="B486" s="254" t="s">
        <v>344</v>
      </c>
      <c r="C486" s="20"/>
      <c r="D486" s="20">
        <v>2</v>
      </c>
      <c r="E486" s="248" t="s">
        <v>61</v>
      </c>
      <c r="F486" s="247">
        <v>2.4500000000000002</v>
      </c>
      <c r="G486" s="247"/>
      <c r="H486" s="246">
        <f>PRODUCT(C486:G486)</f>
        <v>4.9000000000000004</v>
      </c>
      <c r="I486" s="245"/>
    </row>
    <row r="487" spans="1:9" ht="15" customHeight="1">
      <c r="A487" s="253"/>
      <c r="B487" s="254" t="s">
        <v>343</v>
      </c>
      <c r="C487" s="20"/>
      <c r="D487" s="20">
        <v>2</v>
      </c>
      <c r="E487" s="248" t="s">
        <v>61</v>
      </c>
      <c r="F487" s="247">
        <v>2.4500000000000002</v>
      </c>
      <c r="G487" s="247"/>
      <c r="H487" s="246">
        <f>PRODUCT(C487:G487)</f>
        <v>4.9000000000000004</v>
      </c>
      <c r="I487" s="245"/>
    </row>
    <row r="488" spans="1:9" ht="15" customHeight="1">
      <c r="A488" s="253"/>
      <c r="B488" s="254" t="s">
        <v>81</v>
      </c>
      <c r="C488" s="20"/>
      <c r="D488" s="20"/>
      <c r="E488" s="248"/>
      <c r="F488" s="247"/>
      <c r="G488" s="247"/>
      <c r="H488" s="246"/>
      <c r="I488" s="245"/>
    </row>
    <row r="489" spans="1:9" ht="15" customHeight="1">
      <c r="A489" s="253"/>
      <c r="B489" s="254" t="s">
        <v>342</v>
      </c>
      <c r="C489" s="20"/>
      <c r="D489" s="20">
        <v>2</v>
      </c>
      <c r="E489" s="248" t="s">
        <v>61</v>
      </c>
      <c r="F489" s="247">
        <v>2.0299999999999998</v>
      </c>
      <c r="G489" s="247"/>
      <c r="H489" s="246">
        <f>PRODUCT(C489:G489)</f>
        <v>4.0599999999999996</v>
      </c>
      <c r="I489" s="245"/>
    </row>
    <row r="490" spans="1:9" ht="15" customHeight="1">
      <c r="A490" s="253"/>
      <c r="B490" s="254" t="s">
        <v>341</v>
      </c>
      <c r="C490" s="20"/>
      <c r="D490" s="20">
        <v>2</v>
      </c>
      <c r="E490" s="248" t="s">
        <v>61</v>
      </c>
      <c r="F490" s="247">
        <v>2.0299999999999998</v>
      </c>
      <c r="G490" s="247"/>
      <c r="H490" s="246">
        <f>PRODUCT(C490:G490)</f>
        <v>4.0599999999999996</v>
      </c>
      <c r="I490" s="245"/>
    </row>
    <row r="491" spans="1:9" ht="15" customHeight="1">
      <c r="A491" s="253"/>
      <c r="B491" s="254" t="s">
        <v>340</v>
      </c>
      <c r="C491" s="20"/>
      <c r="D491" s="20">
        <v>2</v>
      </c>
      <c r="E491" s="248" t="s">
        <v>61</v>
      </c>
      <c r="F491" s="247">
        <v>2.0299999999999998</v>
      </c>
      <c r="G491" s="247"/>
      <c r="H491" s="246">
        <f>PRODUCT(C491:G491)</f>
        <v>4.0599999999999996</v>
      </c>
      <c r="I491" s="245"/>
    </row>
    <row r="492" spans="1:9" ht="15" customHeight="1">
      <c r="A492" s="253"/>
      <c r="B492" s="254" t="s">
        <v>80</v>
      </c>
      <c r="C492" s="20"/>
      <c r="D492" s="20"/>
      <c r="E492" s="248"/>
      <c r="F492" s="247"/>
      <c r="G492" s="247"/>
      <c r="H492" s="246"/>
      <c r="I492" s="245"/>
    </row>
    <row r="493" spans="1:9" ht="15" customHeight="1">
      <c r="A493" s="253"/>
      <c r="B493" s="254" t="s">
        <v>339</v>
      </c>
      <c r="C493" s="20"/>
      <c r="D493" s="20">
        <v>2</v>
      </c>
      <c r="E493" s="248" t="s">
        <v>61</v>
      </c>
      <c r="F493" s="247">
        <v>2.4500000000000002</v>
      </c>
      <c r="G493" s="247"/>
      <c r="H493" s="246">
        <f>PRODUCT(C493:G493)</f>
        <v>4.9000000000000004</v>
      </c>
      <c r="I493" s="245"/>
    </row>
    <row r="494" spans="1:9" ht="15" customHeight="1">
      <c r="A494" s="253"/>
      <c r="B494" s="254" t="s">
        <v>338</v>
      </c>
      <c r="C494" s="20"/>
      <c r="D494" s="20">
        <v>2</v>
      </c>
      <c r="E494" s="248" t="s">
        <v>61</v>
      </c>
      <c r="F494" s="247">
        <v>2.4500000000000002</v>
      </c>
      <c r="G494" s="247"/>
      <c r="H494" s="246">
        <f>PRODUCT(C494:G494)</f>
        <v>4.9000000000000004</v>
      </c>
      <c r="I494" s="245"/>
    </row>
    <row r="495" spans="1:9" ht="15" customHeight="1">
      <c r="A495" s="253"/>
      <c r="B495" s="254" t="s">
        <v>337</v>
      </c>
      <c r="C495" s="20"/>
      <c r="D495" s="20">
        <v>2</v>
      </c>
      <c r="E495" s="248" t="s">
        <v>61</v>
      </c>
      <c r="F495" s="247">
        <v>2.4500000000000002</v>
      </c>
      <c r="G495" s="247"/>
      <c r="H495" s="246">
        <f>PRODUCT(C495:G495)</f>
        <v>4.9000000000000004</v>
      </c>
      <c r="I495" s="245"/>
    </row>
    <row r="496" spans="1:9" ht="15" customHeight="1">
      <c r="A496" s="253"/>
      <c r="B496" s="254" t="s">
        <v>79</v>
      </c>
      <c r="C496" s="20"/>
      <c r="D496" s="20"/>
      <c r="E496" s="248"/>
      <c r="F496" s="247"/>
      <c r="G496" s="247"/>
      <c r="H496" s="246"/>
      <c r="I496" s="245"/>
    </row>
    <row r="497" spans="1:9" ht="15" customHeight="1">
      <c r="A497" s="253"/>
      <c r="B497" s="254" t="s">
        <v>336</v>
      </c>
      <c r="C497" s="20"/>
      <c r="D497" s="20">
        <v>2</v>
      </c>
      <c r="E497" s="248" t="s">
        <v>61</v>
      </c>
      <c r="F497" s="247">
        <v>2.61</v>
      </c>
      <c r="G497" s="247"/>
      <c r="H497" s="246">
        <f>PRODUCT(C497:G497)</f>
        <v>5.22</v>
      </c>
      <c r="I497" s="245"/>
    </row>
    <row r="498" spans="1:9" ht="15" customHeight="1">
      <c r="A498" s="253"/>
      <c r="B498" s="254" t="s">
        <v>335</v>
      </c>
      <c r="C498" s="20"/>
      <c r="D498" s="20">
        <v>2</v>
      </c>
      <c r="E498" s="248" t="s">
        <v>61</v>
      </c>
      <c r="F498" s="247">
        <v>2.61</v>
      </c>
      <c r="G498" s="247"/>
      <c r="H498" s="246">
        <f>PRODUCT(C498:G498)</f>
        <v>5.22</v>
      </c>
      <c r="I498" s="245"/>
    </row>
    <row r="499" spans="1:9" ht="15" customHeight="1">
      <c r="A499" s="253"/>
      <c r="C499" s="20"/>
      <c r="D499" s="248"/>
      <c r="E499" s="247"/>
      <c r="F499" s="247"/>
      <c r="G499" s="247"/>
      <c r="H499" s="246"/>
      <c r="I499" s="245"/>
    </row>
    <row r="500" spans="1:9" ht="15" customHeight="1">
      <c r="A500" s="249" t="str">
        <f>A428 &amp; ".07"</f>
        <v>01.04.06.07</v>
      </c>
      <c r="B500" s="252" t="s">
        <v>60</v>
      </c>
      <c r="C500" s="20"/>
      <c r="D500" s="248"/>
      <c r="E500" s="247"/>
      <c r="F500" s="247"/>
      <c r="G500" s="247"/>
      <c r="H500" s="246"/>
      <c r="I500" s="245"/>
    </row>
    <row r="501" spans="1:9" ht="15" customHeight="1">
      <c r="A501" s="251" t="str">
        <f>A500 &amp; ".01"</f>
        <v>01.04.06.07.01</v>
      </c>
      <c r="B501" s="250" t="s">
        <v>59</v>
      </c>
      <c r="C501" s="20" t="s">
        <v>58</v>
      </c>
      <c r="D501" s="248">
        <v>1</v>
      </c>
      <c r="E501" s="247"/>
      <c r="F501" s="247"/>
      <c r="G501" s="247"/>
      <c r="H501" s="246">
        <f>D501</f>
        <v>1</v>
      </c>
      <c r="I501" s="245">
        <f>H501</f>
        <v>1</v>
      </c>
    </row>
    <row r="502" spans="1:9" ht="15" customHeight="1">
      <c r="A502" s="249"/>
      <c r="B502" s="252"/>
      <c r="C502" s="20"/>
      <c r="D502" s="248"/>
      <c r="E502" s="247"/>
      <c r="F502" s="247"/>
      <c r="G502" s="247"/>
      <c r="H502" s="246"/>
      <c r="I502" s="245"/>
    </row>
    <row r="503" spans="1:9" ht="15" customHeight="1">
      <c r="A503" s="249" t="str">
        <f>A428 &amp; ".08"</f>
        <v>01.04.06.08</v>
      </c>
      <c r="B503" s="252" t="s">
        <v>57</v>
      </c>
      <c r="C503" s="20"/>
      <c r="D503" s="248"/>
      <c r="E503" s="247"/>
      <c r="F503" s="247"/>
      <c r="G503" s="247"/>
      <c r="H503" s="246"/>
      <c r="I503" s="245"/>
    </row>
    <row r="504" spans="1:9" ht="15" customHeight="1">
      <c r="A504" s="251" t="str">
        <f>A503 &amp; ".01"</f>
        <v>01.04.06.08.01</v>
      </c>
      <c r="B504" s="250" t="s">
        <v>56</v>
      </c>
      <c r="C504" s="20" t="s">
        <v>55</v>
      </c>
      <c r="D504" s="248"/>
      <c r="E504" s="247"/>
      <c r="F504" s="247"/>
      <c r="G504" s="247"/>
      <c r="H504" s="246"/>
      <c r="I504" s="245">
        <f>SUM(H505:H511)</f>
        <v>132.37049999999999</v>
      </c>
    </row>
    <row r="505" spans="1:9" ht="15" customHeight="1">
      <c r="A505" s="249"/>
      <c r="B505" s="61" t="s">
        <v>54</v>
      </c>
      <c r="C505" s="20"/>
      <c r="D505" s="248">
        <f>I451</f>
        <v>12</v>
      </c>
      <c r="E505" s="247">
        <v>0.24</v>
      </c>
      <c r="F505" s="247"/>
      <c r="G505" s="247">
        <v>2.2999999999999998</v>
      </c>
      <c r="H505" s="246">
        <f t="shared" ref="H505:H511" si="7">PRODUCT(D505:G505)</f>
        <v>6.6239999999999997</v>
      </c>
      <c r="I505" s="245"/>
    </row>
    <row r="506" spans="1:9" ht="15" customHeight="1">
      <c r="A506" s="249"/>
      <c r="B506" s="61" t="s">
        <v>53</v>
      </c>
      <c r="C506" s="20"/>
      <c r="D506" s="248">
        <f>I454</f>
        <v>66</v>
      </c>
      <c r="E506" s="247">
        <v>0.24</v>
      </c>
      <c r="F506" s="247"/>
      <c r="G506" s="247">
        <v>0.05</v>
      </c>
      <c r="H506" s="246">
        <f t="shared" si="7"/>
        <v>0.79200000000000004</v>
      </c>
      <c r="I506" s="245"/>
    </row>
    <row r="507" spans="1:9" ht="15" customHeight="1">
      <c r="A507" s="249"/>
      <c r="B507" s="61" t="s">
        <v>52</v>
      </c>
      <c r="C507" s="20"/>
      <c r="D507" s="248">
        <v>1</v>
      </c>
      <c r="E507" s="247">
        <v>0.15</v>
      </c>
      <c r="F507" s="247"/>
      <c r="G507" s="247">
        <f>SUM(H463:H466)</f>
        <v>38.75</v>
      </c>
      <c r="H507" s="246">
        <f t="shared" si="7"/>
        <v>5.8125</v>
      </c>
      <c r="I507" s="245"/>
    </row>
    <row r="508" spans="1:9" ht="15" customHeight="1">
      <c r="A508" s="249"/>
      <c r="B508" s="61" t="s">
        <v>51</v>
      </c>
      <c r="C508" s="20"/>
      <c r="D508" s="248">
        <v>1</v>
      </c>
      <c r="E508" s="247">
        <v>0.15</v>
      </c>
      <c r="F508" s="247"/>
      <c r="G508" s="247">
        <f>SUM(H468:H470)</f>
        <v>35.900000000000006</v>
      </c>
      <c r="H508" s="246">
        <f t="shared" si="7"/>
        <v>5.3850000000000007</v>
      </c>
      <c r="I508" s="245"/>
    </row>
    <row r="509" spans="1:9" ht="15" customHeight="1">
      <c r="A509" s="249"/>
      <c r="B509" s="61" t="s">
        <v>50</v>
      </c>
      <c r="C509" s="20"/>
      <c r="D509" s="248">
        <v>1</v>
      </c>
      <c r="E509" s="247">
        <v>0.15</v>
      </c>
      <c r="F509" s="247"/>
      <c r="G509" s="247">
        <f>SUM(H472:H477)</f>
        <v>38.459999999999994</v>
      </c>
      <c r="H509" s="246">
        <f t="shared" si="7"/>
        <v>5.7689999999999992</v>
      </c>
      <c r="I509" s="245"/>
    </row>
    <row r="510" spans="1:9" ht="15" customHeight="1">
      <c r="A510" s="249"/>
      <c r="B510" s="61" t="s">
        <v>49</v>
      </c>
      <c r="C510" s="20"/>
      <c r="D510" s="248">
        <v>1</v>
      </c>
      <c r="E510" s="247">
        <v>0.15</v>
      </c>
      <c r="F510" s="247"/>
      <c r="G510" s="247">
        <f>SUM(H479:H480)</f>
        <v>26.32</v>
      </c>
      <c r="H510" s="246">
        <f t="shared" si="7"/>
        <v>3.948</v>
      </c>
      <c r="I510" s="245"/>
    </row>
    <row r="511" spans="1:9" ht="15" customHeight="1">
      <c r="A511" s="249"/>
      <c r="B511" s="61" t="s">
        <v>48</v>
      </c>
      <c r="C511" s="20"/>
      <c r="D511" s="248">
        <v>2</v>
      </c>
      <c r="E511" s="247"/>
      <c r="F511" s="247" t="s">
        <v>61</v>
      </c>
      <c r="G511" s="247">
        <f>I483</f>
        <v>52.019999999999996</v>
      </c>
      <c r="H511" s="246">
        <f t="shared" si="7"/>
        <v>104.03999999999999</v>
      </c>
      <c r="I511" s="245"/>
    </row>
    <row r="512" spans="1:9" ht="15" customHeight="1">
      <c r="A512" s="244"/>
      <c r="B512" s="243"/>
      <c r="C512" s="242"/>
      <c r="D512" s="241"/>
      <c r="E512" s="240"/>
      <c r="F512" s="240"/>
      <c r="G512" s="240"/>
      <c r="H512" s="239"/>
      <c r="I512" s="238"/>
    </row>
  </sheetData>
  <mergeCells count="4">
    <mergeCell ref="A2:I2"/>
    <mergeCell ref="A5:I5"/>
    <mergeCell ref="A3:I3"/>
    <mergeCell ref="B7:H23"/>
  </mergeCells>
  <conditionalFormatting sqref="B64">
    <cfRule type="expression" priority="22" stopIfTrue="1">
      <formula>ROW()=CELL("fila")</formula>
    </cfRule>
  </conditionalFormatting>
  <conditionalFormatting sqref="B81">
    <cfRule type="expression" priority="21" stopIfTrue="1">
      <formula>ROW()=CELL("fila")</formula>
    </cfRule>
  </conditionalFormatting>
  <conditionalFormatting sqref="B85">
    <cfRule type="expression" priority="20" stopIfTrue="1">
      <formula>ROW()=CELL("fila")</formula>
    </cfRule>
  </conditionalFormatting>
  <conditionalFormatting sqref="B106">
    <cfRule type="expression" priority="19" stopIfTrue="1">
      <formula>ROW()=CELL("fila")</formula>
    </cfRule>
  </conditionalFormatting>
  <conditionalFormatting sqref="B110">
    <cfRule type="expression" priority="18" stopIfTrue="1">
      <formula>ROW()=CELL("fila")</formula>
    </cfRule>
  </conditionalFormatting>
  <conditionalFormatting sqref="B132">
    <cfRule type="expression" priority="17" stopIfTrue="1">
      <formula>ROW()=CELL("fila")</formula>
    </cfRule>
  </conditionalFormatting>
  <conditionalFormatting sqref="B143">
    <cfRule type="expression" priority="16" stopIfTrue="1">
      <formula>ROW()=CELL("fila")</formula>
    </cfRule>
  </conditionalFormatting>
  <conditionalFormatting sqref="B146">
    <cfRule type="expression" priority="15" stopIfTrue="1">
      <formula>ROW()=CELL("fila")</formula>
    </cfRule>
  </conditionalFormatting>
  <conditionalFormatting sqref="B149">
    <cfRule type="expression" priority="14" stopIfTrue="1">
      <formula>ROW()=CELL("fila")</formula>
    </cfRule>
  </conditionalFormatting>
  <conditionalFormatting sqref="B152">
    <cfRule type="expression" priority="13" stopIfTrue="1">
      <formula>ROW()=CELL("fila")</formula>
    </cfRule>
  </conditionalFormatting>
  <conditionalFormatting sqref="B167">
    <cfRule type="expression" priority="12" stopIfTrue="1">
      <formula>ROW()=CELL("fila")</formula>
    </cfRule>
  </conditionalFormatting>
  <conditionalFormatting sqref="B171">
    <cfRule type="expression" priority="11" stopIfTrue="1">
      <formula>ROW()=CELL("fila")</formula>
    </cfRule>
  </conditionalFormatting>
  <conditionalFormatting sqref="B174">
    <cfRule type="expression" priority="10" stopIfTrue="1">
      <formula>ROW()=CELL("fila")</formula>
    </cfRule>
  </conditionalFormatting>
  <conditionalFormatting sqref="B178">
    <cfRule type="expression" priority="9" stopIfTrue="1">
      <formula>ROW()=CELL("fila")</formula>
    </cfRule>
  </conditionalFormatting>
  <conditionalFormatting sqref="B184">
    <cfRule type="expression" priority="8" stopIfTrue="1">
      <formula>ROW()=CELL("fila")</formula>
    </cfRule>
  </conditionalFormatting>
  <conditionalFormatting sqref="B187">
    <cfRule type="expression" priority="7" stopIfTrue="1">
      <formula>ROW()=CELL("fila")</formula>
    </cfRule>
  </conditionalFormatting>
  <conditionalFormatting sqref="B192">
    <cfRule type="expression" priority="6" stopIfTrue="1">
      <formula>ROW()=CELL("fila")</formula>
    </cfRule>
  </conditionalFormatting>
  <conditionalFormatting sqref="B200">
    <cfRule type="expression" priority="5" stopIfTrue="1">
      <formula>ROW()=CELL("fila")</formula>
    </cfRule>
  </conditionalFormatting>
  <conditionalFormatting sqref="B233">
    <cfRule type="expression" priority="4" stopIfTrue="1">
      <formula>ROW()=CELL("fila")</formula>
    </cfRule>
  </conditionalFormatting>
  <conditionalFormatting sqref="B240">
    <cfRule type="expression" priority="3" stopIfTrue="1">
      <formula>ROW()=CELL("fila")</formula>
    </cfRule>
  </conditionalFormatting>
  <conditionalFormatting sqref="B355">
    <cfRule type="expression" priority="2" stopIfTrue="1">
      <formula>ROW()=CELL("fila")</formula>
    </cfRule>
  </conditionalFormatting>
  <conditionalFormatting sqref="B393">
    <cfRule type="expression" priority="1" stopIfTrue="1">
      <formula>ROW()=CELL("fila")</formula>
    </cfRule>
  </conditionalFormatting>
  <printOptions horizontalCentered="1"/>
  <pageMargins left="0.70866141732283472" right="0.70866141732283472" top="0.74803149606299213" bottom="0.94488188976377963" header="0.31496062992125984" footer="0.31496062992125984"/>
  <pageSetup paperSize="9" scale="53" fitToHeight="0" orientation="portrait" horizontalDpi="4294967295" verticalDpi="4294967295" r:id="rId1"/>
  <headerFooter>
    <oddFooter>Página &amp;P&amp;R&amp;A</oddFooter>
  </headerFooter>
  <rowBreaks count="2" manualBreakCount="2">
    <brk id="239" max="8" man="1"/>
    <brk id="421" max="8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2CF12-B2ED-41F6-A995-00B995CD133A}">
  <sheetPr codeName="Hoja6">
    <pageSetUpPr fitToPage="1"/>
  </sheetPr>
  <dimension ref="B2:S148"/>
  <sheetViews>
    <sheetView view="pageBreakPreview" zoomScale="70" zoomScaleNormal="60" zoomScaleSheetLayoutView="70" workbookViewId="0">
      <selection activeCell="D6" sqref="D6:I7"/>
    </sheetView>
  </sheetViews>
  <sheetFormatPr baseColWidth="10" defaultColWidth="11.5" defaultRowHeight="15"/>
  <cols>
    <col min="1" max="1" width="6.33203125" style="405" customWidth="1"/>
    <col min="2" max="19" width="11.5" style="405"/>
    <col min="20" max="20" width="6.5" style="405" customWidth="1"/>
    <col min="21" max="16384" width="11.5" style="405"/>
  </cols>
  <sheetData>
    <row r="2" spans="2:19" ht="18">
      <c r="B2" s="1001" t="s">
        <v>283</v>
      </c>
      <c r="C2" s="1001"/>
      <c r="D2" s="1001"/>
      <c r="E2" s="1001"/>
      <c r="F2" s="1001"/>
      <c r="G2" s="1001"/>
      <c r="H2" s="1001"/>
      <c r="I2" s="1001"/>
      <c r="J2" s="1001"/>
      <c r="K2" s="1001"/>
      <c r="L2" s="1001"/>
      <c r="M2" s="1001"/>
      <c r="N2" s="1001"/>
      <c r="O2" s="1001"/>
      <c r="P2" s="1002"/>
      <c r="Q2" s="1002"/>
      <c r="R2" s="1002"/>
      <c r="S2" s="1002"/>
    </row>
    <row r="3" spans="2:19">
      <c r="B3" s="1003" t="s">
        <v>282</v>
      </c>
      <c r="C3" s="1004"/>
      <c r="D3" s="1038" t="s">
        <v>1086</v>
      </c>
      <c r="E3" s="1004"/>
      <c r="F3" s="1004"/>
      <c r="G3" s="1004"/>
      <c r="H3" s="1004"/>
      <c r="I3" s="1004"/>
      <c r="J3" s="1004"/>
      <c r="K3" s="1004"/>
      <c r="L3" s="1004"/>
      <c r="M3" s="1004"/>
      <c r="N3" s="1004"/>
      <c r="O3" s="1005"/>
      <c r="P3" s="1006" t="s">
        <v>281</v>
      </c>
      <c r="Q3" s="1007"/>
      <c r="R3" s="1007"/>
      <c r="S3" s="1008"/>
    </row>
    <row r="4" spans="2:19">
      <c r="B4" s="1004"/>
      <c r="C4" s="1004"/>
      <c r="D4" s="1004"/>
      <c r="E4" s="1004"/>
      <c r="F4" s="1004"/>
      <c r="G4" s="1004"/>
      <c r="H4" s="1004"/>
      <c r="I4" s="1004"/>
      <c r="J4" s="1004"/>
      <c r="K4" s="1004"/>
      <c r="L4" s="1004"/>
      <c r="M4" s="1004"/>
      <c r="N4" s="1004"/>
      <c r="O4" s="1005"/>
      <c r="P4" s="996" t="s">
        <v>503</v>
      </c>
      <c r="Q4" s="997"/>
      <c r="R4" s="997"/>
      <c r="S4" s="998"/>
    </row>
    <row r="5" spans="2:19" ht="27" customHeight="1">
      <c r="B5" s="1004"/>
      <c r="C5" s="1004"/>
      <c r="D5" s="1004"/>
      <c r="E5" s="1004"/>
      <c r="F5" s="1004"/>
      <c r="G5" s="1004"/>
      <c r="H5" s="1004"/>
      <c r="I5" s="1004"/>
      <c r="J5" s="1004"/>
      <c r="K5" s="1004"/>
      <c r="L5" s="1004"/>
      <c r="M5" s="1004"/>
      <c r="N5" s="1004"/>
      <c r="O5" s="1004"/>
      <c r="P5" s="999" t="s">
        <v>299</v>
      </c>
      <c r="Q5" s="999"/>
      <c r="R5" s="999"/>
      <c r="S5" s="999"/>
    </row>
    <row r="6" spans="2:19">
      <c r="B6" s="974" t="s">
        <v>278</v>
      </c>
      <c r="C6" s="976" t="s">
        <v>2</v>
      </c>
      <c r="D6" s="976" t="s">
        <v>277</v>
      </c>
      <c r="E6" s="978"/>
      <c r="F6" s="978"/>
      <c r="G6" s="978"/>
      <c r="H6" s="978"/>
      <c r="I6" s="979"/>
      <c r="J6" s="982" t="s">
        <v>276</v>
      </c>
      <c r="K6" s="982" t="s">
        <v>275</v>
      </c>
      <c r="L6" s="982" t="s">
        <v>274</v>
      </c>
      <c r="M6" s="1009" t="s">
        <v>273</v>
      </c>
      <c r="N6" s="988" t="s">
        <v>272</v>
      </c>
      <c r="O6" s="989"/>
      <c r="P6" s="989"/>
      <c r="Q6" s="989"/>
      <c r="R6" s="990"/>
      <c r="S6" s="991" t="s">
        <v>271</v>
      </c>
    </row>
    <row r="7" spans="2:19" ht="15.75" thickBot="1">
      <c r="B7" s="975"/>
      <c r="C7" s="977"/>
      <c r="D7" s="977"/>
      <c r="E7" s="980"/>
      <c r="F7" s="980"/>
      <c r="G7" s="980"/>
      <c r="H7" s="980"/>
      <c r="I7" s="981"/>
      <c r="J7" s="983"/>
      <c r="K7" s="983"/>
      <c r="L7" s="983" t="s">
        <v>270</v>
      </c>
      <c r="M7" s="1010" t="s">
        <v>270</v>
      </c>
      <c r="N7" s="164">
        <v>0.25</v>
      </c>
      <c r="O7" s="163">
        <v>0.375</v>
      </c>
      <c r="P7" s="163">
        <v>0.5</v>
      </c>
      <c r="Q7" s="163">
        <v>0.625</v>
      </c>
      <c r="R7" s="163">
        <v>0.75</v>
      </c>
      <c r="S7" s="992"/>
    </row>
    <row r="8" spans="2:19">
      <c r="B8" s="155"/>
      <c r="C8" s="993" t="s">
        <v>507</v>
      </c>
      <c r="D8" s="159"/>
      <c r="E8" s="160"/>
      <c r="F8" s="987"/>
      <c r="G8" s="987"/>
      <c r="H8" s="160"/>
      <c r="I8" s="158"/>
      <c r="J8" s="148"/>
      <c r="K8" s="148"/>
      <c r="L8" s="148"/>
      <c r="M8" s="148"/>
      <c r="N8" s="148"/>
      <c r="O8" s="148"/>
      <c r="P8" s="148"/>
      <c r="Q8" s="148"/>
      <c r="R8" s="148"/>
      <c r="S8" s="147"/>
    </row>
    <row r="9" spans="2:19">
      <c r="B9" s="155"/>
      <c r="C9" s="993"/>
      <c r="D9" s="159"/>
      <c r="E9" s="160"/>
      <c r="F9" s="153"/>
      <c r="G9" s="153"/>
      <c r="H9" s="160"/>
      <c r="I9" s="158"/>
      <c r="J9" s="148"/>
      <c r="K9" s="148"/>
      <c r="L9" s="148"/>
      <c r="M9" s="148"/>
      <c r="N9" s="148"/>
      <c r="O9" s="148"/>
      <c r="P9" s="148"/>
      <c r="Q9" s="148"/>
      <c r="R9" s="148"/>
      <c r="S9" s="147"/>
    </row>
    <row r="10" spans="2:19">
      <c r="B10" s="155">
        <v>1</v>
      </c>
      <c r="C10" s="993"/>
      <c r="D10" s="159"/>
      <c r="E10" s="151">
        <v>0.1</v>
      </c>
      <c r="F10" s="1037">
        <v>2.71</v>
      </c>
      <c r="G10" s="1037"/>
      <c r="H10" s="160"/>
      <c r="I10" s="417">
        <v>0.1</v>
      </c>
      <c r="J10" s="157">
        <v>0.375</v>
      </c>
      <c r="K10" s="156">
        <f>SUM(D8:I12)</f>
        <v>2.91</v>
      </c>
      <c r="L10" s="156">
        <v>16</v>
      </c>
      <c r="M10" s="156">
        <v>1</v>
      </c>
      <c r="N10" s="156" t="str">
        <f>IF(J10=1/4,L10*K10*M10,"-")</f>
        <v>-</v>
      </c>
      <c r="O10" s="156">
        <f>IF(J10=3/8,K10*L10*M10,"-")</f>
        <v>46.56</v>
      </c>
      <c r="P10" s="156" t="str">
        <f>IF(J10=1/2,L10*K10*M10,"-")</f>
        <v>-</v>
      </c>
      <c r="Q10" s="156" t="str">
        <f>IF(J10=5/8,L10*K10*M10,"-")</f>
        <v>-</v>
      </c>
      <c r="R10" s="156" t="str">
        <f>IF(J10=3/4,K10*L10,"-")</f>
        <v>-</v>
      </c>
      <c r="S10" s="147"/>
    </row>
    <row r="11" spans="2:19">
      <c r="B11" s="155"/>
      <c r="C11" s="994"/>
      <c r="D11" s="154"/>
      <c r="E11" s="151"/>
      <c r="F11" s="152"/>
      <c r="G11" s="151"/>
      <c r="H11" s="150"/>
      <c r="I11" s="150"/>
      <c r="J11" s="148"/>
      <c r="K11" s="149"/>
      <c r="L11" s="148"/>
      <c r="M11" s="149"/>
      <c r="N11" s="148"/>
      <c r="O11" s="149"/>
      <c r="P11" s="148"/>
      <c r="Q11" s="149"/>
      <c r="R11" s="148"/>
      <c r="S11" s="147"/>
    </row>
    <row r="12" spans="2:19">
      <c r="B12" s="146"/>
      <c r="C12" s="995"/>
      <c r="D12" s="145"/>
      <c r="E12" s="144"/>
      <c r="F12" s="143"/>
      <c r="G12" s="143"/>
      <c r="H12" s="142"/>
      <c r="I12" s="141"/>
      <c r="J12" s="140"/>
      <c r="K12" s="140"/>
      <c r="L12" s="140"/>
      <c r="M12" s="140"/>
      <c r="N12" s="140"/>
      <c r="O12" s="140"/>
      <c r="P12" s="140"/>
      <c r="Q12" s="140"/>
      <c r="R12" s="140"/>
      <c r="S12" s="139"/>
    </row>
    <row r="13" spans="2:19">
      <c r="B13" s="155"/>
      <c r="C13" s="993" t="s">
        <v>511</v>
      </c>
      <c r="D13" s="159"/>
      <c r="E13" s="160"/>
      <c r="F13" s="987"/>
      <c r="G13" s="987"/>
      <c r="H13" s="160"/>
      <c r="I13" s="158"/>
      <c r="J13" s="148"/>
      <c r="K13" s="148"/>
      <c r="L13" s="148"/>
      <c r="M13" s="148"/>
      <c r="N13" s="148"/>
      <c r="O13" s="148"/>
      <c r="P13" s="148"/>
      <c r="Q13" s="148"/>
      <c r="R13" s="148"/>
      <c r="S13" s="147"/>
    </row>
    <row r="14" spans="2:19">
      <c r="B14" s="155">
        <v>2</v>
      </c>
      <c r="C14" s="994"/>
      <c r="D14" s="154"/>
      <c r="E14" s="151"/>
      <c r="F14" s="151">
        <v>0.3</v>
      </c>
      <c r="G14" s="153">
        <v>0.3</v>
      </c>
      <c r="H14" s="150"/>
      <c r="I14" s="165"/>
      <c r="J14" s="157">
        <v>0.375</v>
      </c>
      <c r="K14" s="156">
        <f>SUM(D13:I18)</f>
        <v>2.2000000000000002</v>
      </c>
      <c r="L14" s="156">
        <v>16</v>
      </c>
      <c r="M14" s="156">
        <v>1</v>
      </c>
      <c r="N14" s="156" t="str">
        <f>IF(J14=1/4,L14*K14*M14,"-")</f>
        <v>-</v>
      </c>
      <c r="O14" s="156">
        <f>IF(J14=3/8,K14*L14*M14,"-")</f>
        <v>35.200000000000003</v>
      </c>
      <c r="P14" s="156" t="str">
        <f>IF(J14=1/2,L14*K14*M14,"-")</f>
        <v>-</v>
      </c>
      <c r="Q14" s="156" t="str">
        <f>IF(J14=5/8,L14*K14*M14,"-")</f>
        <v>-</v>
      </c>
      <c r="R14" s="156" t="str">
        <f>IF(J14=3/4,K14*L14,"-")</f>
        <v>-</v>
      </c>
      <c r="S14" s="147"/>
    </row>
    <row r="15" spans="2:19">
      <c r="B15" s="155"/>
      <c r="C15" s="994"/>
      <c r="D15" s="154"/>
      <c r="E15" s="416">
        <v>0.24</v>
      </c>
      <c r="F15" s="151"/>
      <c r="G15" s="151"/>
      <c r="H15" s="415">
        <v>0.24</v>
      </c>
      <c r="I15" s="414">
        <v>0.1</v>
      </c>
      <c r="J15" s="157"/>
      <c r="K15" s="156"/>
      <c r="L15" s="156"/>
      <c r="M15" s="156"/>
      <c r="N15" s="156"/>
      <c r="O15" s="156"/>
      <c r="P15" s="156"/>
      <c r="Q15" s="156"/>
      <c r="R15" s="156"/>
      <c r="S15" s="147"/>
    </row>
    <row r="16" spans="2:19">
      <c r="B16" s="155"/>
      <c r="C16" s="994"/>
      <c r="D16" s="413">
        <v>0.1</v>
      </c>
      <c r="E16" s="151"/>
      <c r="F16" s="151"/>
      <c r="G16" s="151"/>
      <c r="H16" s="150"/>
      <c r="I16" s="165"/>
      <c r="J16" s="157"/>
      <c r="K16" s="156"/>
      <c r="L16" s="156"/>
      <c r="M16" s="156"/>
      <c r="N16" s="156"/>
      <c r="O16" s="156"/>
      <c r="P16" s="156"/>
      <c r="Q16" s="156"/>
      <c r="R16" s="156"/>
      <c r="S16" s="147"/>
    </row>
    <row r="17" spans="2:19">
      <c r="B17" s="155"/>
      <c r="C17" s="994"/>
      <c r="D17" s="154"/>
      <c r="E17" s="412">
        <v>0.46</v>
      </c>
      <c r="F17" s="151"/>
      <c r="G17" s="151"/>
      <c r="H17" s="411">
        <v>0.46</v>
      </c>
      <c r="I17" s="165"/>
      <c r="J17" s="157"/>
      <c r="K17" s="156"/>
      <c r="L17" s="156"/>
      <c r="M17" s="156"/>
      <c r="N17" s="156"/>
      <c r="O17" s="156"/>
      <c r="P17" s="156"/>
      <c r="Q17" s="156"/>
      <c r="R17" s="156"/>
      <c r="S17" s="147"/>
    </row>
    <row r="18" spans="2:19">
      <c r="B18" s="146"/>
      <c r="C18" s="995"/>
      <c r="D18" s="145"/>
      <c r="E18" s="144"/>
      <c r="F18" s="143"/>
      <c r="G18" s="143"/>
      <c r="H18" s="142"/>
      <c r="I18" s="141"/>
      <c r="J18" s="140"/>
      <c r="K18" s="140"/>
      <c r="L18" s="140"/>
      <c r="M18" s="140"/>
      <c r="N18" s="140"/>
      <c r="O18" s="140"/>
      <c r="P18" s="140"/>
      <c r="Q18" s="140"/>
      <c r="R18" s="140"/>
      <c r="S18" s="139"/>
    </row>
    <row r="19" spans="2:19">
      <c r="B19" s="155"/>
      <c r="C19" s="993" t="s">
        <v>506</v>
      </c>
      <c r="D19" s="159"/>
      <c r="E19" s="160"/>
      <c r="F19" s="987"/>
      <c r="G19" s="987"/>
      <c r="H19" s="160"/>
      <c r="I19" s="158"/>
      <c r="J19" s="148"/>
      <c r="K19" s="148"/>
      <c r="L19" s="148"/>
      <c r="M19" s="148"/>
      <c r="N19" s="148"/>
      <c r="O19" s="148"/>
      <c r="P19" s="148"/>
      <c r="Q19" s="148"/>
      <c r="R19" s="148"/>
      <c r="S19" s="147"/>
    </row>
    <row r="20" spans="2:19">
      <c r="B20" s="155"/>
      <c r="C20" s="993"/>
      <c r="D20" s="159"/>
      <c r="E20" s="160"/>
      <c r="F20" s="153"/>
      <c r="G20" s="153"/>
      <c r="H20" s="160"/>
      <c r="I20" s="158"/>
      <c r="J20" s="148"/>
      <c r="K20" s="148"/>
      <c r="L20" s="148"/>
      <c r="M20" s="148"/>
      <c r="N20" s="148"/>
      <c r="O20" s="148"/>
      <c r="P20" s="148"/>
      <c r="Q20" s="148"/>
      <c r="R20" s="148"/>
      <c r="S20" s="147"/>
    </row>
    <row r="21" spans="2:19">
      <c r="B21" s="155"/>
      <c r="C21" s="993"/>
      <c r="D21" s="159"/>
      <c r="E21" s="151">
        <v>0.1</v>
      </c>
      <c r="F21" s="1037">
        <v>2.71</v>
      </c>
      <c r="G21" s="1037"/>
      <c r="H21" s="160"/>
      <c r="I21" s="417">
        <v>0.1</v>
      </c>
      <c r="J21" s="148"/>
      <c r="K21" s="148"/>
      <c r="L21" s="148"/>
      <c r="M21" s="148"/>
      <c r="N21" s="148"/>
      <c r="O21" s="148"/>
      <c r="P21" s="148"/>
      <c r="Q21" s="148"/>
      <c r="R21" s="148"/>
      <c r="S21" s="147"/>
    </row>
    <row r="22" spans="2:19">
      <c r="B22" s="155">
        <v>3</v>
      </c>
      <c r="C22" s="993"/>
      <c r="D22" s="159"/>
      <c r="E22" s="151"/>
      <c r="F22" s="152"/>
      <c r="G22" s="151"/>
      <c r="H22" s="150"/>
      <c r="I22" s="150"/>
      <c r="J22" s="157">
        <v>0.375</v>
      </c>
      <c r="K22" s="156">
        <f>SUM(D19:I23)</f>
        <v>2.91</v>
      </c>
      <c r="L22" s="156">
        <v>16</v>
      </c>
      <c r="M22" s="156">
        <v>1</v>
      </c>
      <c r="N22" s="156" t="str">
        <f>IF(J22=1/4,L22*K22*M22,"-")</f>
        <v>-</v>
      </c>
      <c r="O22" s="156">
        <f>IF(J22=3/8,K22*L22*M22,"-")</f>
        <v>46.56</v>
      </c>
      <c r="P22" s="156" t="str">
        <f>IF(J22=1/2,L22*K22*M22,"-")</f>
        <v>-</v>
      </c>
      <c r="Q22" s="156" t="str">
        <f>IF(J22=5/8,L22*K22*M22,"-")</f>
        <v>-</v>
      </c>
      <c r="R22" s="156" t="str">
        <f>IF(J22=3/4,K22*L22,"-")</f>
        <v>-</v>
      </c>
      <c r="S22" s="147"/>
    </row>
    <row r="23" spans="2:19">
      <c r="B23" s="146"/>
      <c r="C23" s="995"/>
      <c r="D23" s="145"/>
      <c r="E23" s="144"/>
      <c r="F23" s="143"/>
      <c r="G23" s="143"/>
      <c r="H23" s="142"/>
      <c r="I23" s="141"/>
      <c r="J23" s="140"/>
      <c r="K23" s="140"/>
      <c r="L23" s="140"/>
      <c r="M23" s="140"/>
      <c r="N23" s="140"/>
      <c r="O23" s="140"/>
      <c r="P23" s="140"/>
      <c r="Q23" s="140"/>
      <c r="R23" s="140"/>
      <c r="S23" s="139"/>
    </row>
    <row r="24" spans="2:19">
      <c r="B24" s="155"/>
      <c r="C24" s="993" t="s">
        <v>506</v>
      </c>
      <c r="D24" s="159"/>
      <c r="E24" s="160"/>
      <c r="F24" s="987"/>
      <c r="G24" s="987"/>
      <c r="H24" s="160"/>
      <c r="I24" s="158"/>
      <c r="J24" s="148"/>
      <c r="K24" s="148"/>
      <c r="L24" s="148"/>
      <c r="M24" s="148"/>
      <c r="N24" s="148"/>
      <c r="O24" s="148"/>
      <c r="P24" s="148"/>
      <c r="Q24" s="148"/>
      <c r="R24" s="148"/>
      <c r="S24" s="147"/>
    </row>
    <row r="25" spans="2:19">
      <c r="B25" s="155"/>
      <c r="C25" s="993"/>
      <c r="D25" s="154"/>
      <c r="E25" s="151"/>
      <c r="F25" s="151">
        <v>0.3</v>
      </c>
      <c r="G25" s="153">
        <v>0.3</v>
      </c>
      <c r="H25" s="150"/>
      <c r="I25" s="165"/>
      <c r="J25" s="148"/>
      <c r="K25" s="148"/>
      <c r="L25" s="148"/>
      <c r="M25" s="148"/>
      <c r="N25" s="148"/>
      <c r="O25" s="148"/>
      <c r="P25" s="148"/>
      <c r="Q25" s="148"/>
      <c r="R25" s="148"/>
      <c r="S25" s="147"/>
    </row>
    <row r="26" spans="2:19">
      <c r="B26" s="155"/>
      <c r="C26" s="993"/>
      <c r="D26" s="154"/>
      <c r="E26" s="416">
        <v>0.24</v>
      </c>
      <c r="F26" s="151"/>
      <c r="G26" s="151"/>
      <c r="H26" s="415">
        <v>0.24</v>
      </c>
      <c r="I26" s="414">
        <v>0.1</v>
      </c>
      <c r="J26" s="148"/>
      <c r="K26" s="148"/>
      <c r="L26" s="148"/>
      <c r="M26" s="148"/>
      <c r="N26" s="148"/>
      <c r="O26" s="148"/>
      <c r="P26" s="148"/>
      <c r="Q26" s="148"/>
      <c r="R26" s="148"/>
      <c r="S26" s="147"/>
    </row>
    <row r="27" spans="2:19">
      <c r="B27" s="155">
        <v>4</v>
      </c>
      <c r="C27" s="993"/>
      <c r="D27" s="413">
        <v>0.1</v>
      </c>
      <c r="E27" s="151"/>
      <c r="F27" s="151"/>
      <c r="G27" s="151"/>
      <c r="H27" s="150"/>
      <c r="I27" s="165"/>
      <c r="J27" s="157">
        <v>0.375</v>
      </c>
      <c r="K27" s="156">
        <f>SUM(D24:I29)</f>
        <v>2.2000000000000002</v>
      </c>
      <c r="L27" s="156">
        <v>16</v>
      </c>
      <c r="M27" s="156">
        <v>1</v>
      </c>
      <c r="N27" s="156" t="str">
        <f>IF(J27=1/4,L27*K27*M27,"-")</f>
        <v>-</v>
      </c>
      <c r="O27" s="156">
        <f>IF(J27=3/8,K27*L27*M27,"-")</f>
        <v>35.200000000000003</v>
      </c>
      <c r="P27" s="156" t="str">
        <f>IF(J27=1/2,L27*K27*M27,"-")</f>
        <v>-</v>
      </c>
      <c r="Q27" s="156" t="str">
        <f>IF(J27=5/8,L27*K27*M27,"-")</f>
        <v>-</v>
      </c>
      <c r="R27" s="156" t="str">
        <f>IF(J27=3/4,K27*L27,"-")</f>
        <v>-</v>
      </c>
      <c r="S27" s="147"/>
    </row>
    <row r="28" spans="2:19">
      <c r="B28" s="155"/>
      <c r="C28" s="994"/>
      <c r="D28" s="154"/>
      <c r="E28" s="412">
        <v>0.46</v>
      </c>
      <c r="F28" s="151"/>
      <c r="G28" s="151"/>
      <c r="H28" s="411">
        <v>0.46</v>
      </c>
      <c r="I28" s="165"/>
      <c r="J28" s="148"/>
      <c r="K28" s="149"/>
      <c r="L28" s="148"/>
      <c r="M28" s="149"/>
      <c r="N28" s="148"/>
      <c r="O28" s="149"/>
      <c r="P28" s="148"/>
      <c r="Q28" s="149"/>
      <c r="R28" s="148"/>
      <c r="S28" s="147"/>
    </row>
    <row r="29" spans="2:19">
      <c r="B29" s="146"/>
      <c r="C29" s="995"/>
      <c r="D29" s="145"/>
      <c r="E29" s="144"/>
      <c r="F29" s="143"/>
      <c r="G29" s="143"/>
      <c r="H29" s="142"/>
      <c r="I29" s="141"/>
      <c r="J29" s="140"/>
      <c r="K29" s="140"/>
      <c r="L29" s="140"/>
      <c r="M29" s="140"/>
      <c r="N29" s="140"/>
      <c r="O29" s="140"/>
      <c r="P29" s="140"/>
      <c r="Q29" s="140"/>
      <c r="R29" s="140"/>
      <c r="S29" s="139"/>
    </row>
    <row r="30" spans="2:19">
      <c r="B30" s="155"/>
      <c r="C30" s="993" t="s">
        <v>505</v>
      </c>
      <c r="D30" s="159"/>
      <c r="E30" s="160"/>
      <c r="F30" s="987"/>
      <c r="G30" s="987"/>
      <c r="H30" s="160"/>
      <c r="I30" s="158"/>
      <c r="J30" s="148"/>
      <c r="K30" s="148"/>
      <c r="L30" s="148"/>
      <c r="M30" s="148"/>
      <c r="N30" s="148"/>
      <c r="O30" s="148"/>
      <c r="P30" s="148"/>
      <c r="Q30" s="148"/>
      <c r="R30" s="148"/>
      <c r="S30" s="147"/>
    </row>
    <row r="31" spans="2:19">
      <c r="B31" s="155"/>
      <c r="C31" s="993"/>
      <c r="D31" s="159"/>
      <c r="E31" s="160"/>
      <c r="F31" s="1037">
        <v>2.4700000000000002</v>
      </c>
      <c r="G31" s="1037"/>
      <c r="H31" s="160"/>
      <c r="I31" s="158"/>
      <c r="J31" s="148"/>
      <c r="K31" s="148"/>
      <c r="L31" s="148"/>
      <c r="M31" s="148"/>
      <c r="N31" s="148"/>
      <c r="O31" s="148"/>
      <c r="P31" s="148"/>
      <c r="Q31" s="148"/>
      <c r="R31" s="148"/>
      <c r="S31" s="147"/>
    </row>
    <row r="32" spans="2:19">
      <c r="B32" s="155"/>
      <c r="C32" s="993"/>
      <c r="D32" s="409">
        <v>0.15</v>
      </c>
      <c r="E32" s="160"/>
      <c r="F32" s="987"/>
      <c r="G32" s="987"/>
      <c r="H32" s="160"/>
      <c r="I32" s="408">
        <v>0.15</v>
      </c>
      <c r="J32" s="148"/>
      <c r="K32" s="148"/>
      <c r="L32" s="148"/>
      <c r="M32" s="148"/>
      <c r="N32" s="148"/>
      <c r="O32" s="148"/>
      <c r="P32" s="148"/>
      <c r="Q32" s="148"/>
      <c r="R32" s="148"/>
      <c r="S32" s="147"/>
    </row>
    <row r="33" spans="2:19">
      <c r="B33" s="155">
        <v>5</v>
      </c>
      <c r="C33" s="993"/>
      <c r="D33" s="159"/>
      <c r="E33" s="407">
        <v>0.15</v>
      </c>
      <c r="F33" s="1037">
        <v>2.33</v>
      </c>
      <c r="G33" s="1037"/>
      <c r="H33" s="406">
        <v>0.15</v>
      </c>
      <c r="I33" s="158"/>
      <c r="J33" s="157">
        <v>0.375</v>
      </c>
      <c r="K33" s="156">
        <f>SUM(D30:I34)</f>
        <v>5.4</v>
      </c>
      <c r="L33" s="156">
        <v>8</v>
      </c>
      <c r="M33" s="156">
        <v>4</v>
      </c>
      <c r="N33" s="156" t="str">
        <f>IF(J33=1/4,L33*K33*M33,"-")</f>
        <v>-</v>
      </c>
      <c r="O33" s="156">
        <f>IF(J33=3/8,K33*L33*M33,"-")</f>
        <v>172.8</v>
      </c>
      <c r="P33" s="156" t="str">
        <f>IF(J33=1/2,L33*K33*M33,"-")</f>
        <v>-</v>
      </c>
      <c r="Q33" s="156" t="str">
        <f>IF(J33=5/8,L33*K33*M33,"-")</f>
        <v>-</v>
      </c>
      <c r="R33" s="156" t="str">
        <f>IF(J33=3/4,K33*L33,"-")</f>
        <v>-</v>
      </c>
      <c r="S33" s="147"/>
    </row>
    <row r="34" spans="2:19">
      <c r="B34" s="146"/>
      <c r="C34" s="995"/>
      <c r="D34" s="145"/>
      <c r="E34" s="144"/>
      <c r="F34" s="143"/>
      <c r="G34" s="143"/>
      <c r="H34" s="142"/>
      <c r="I34" s="141"/>
      <c r="J34" s="140"/>
      <c r="K34" s="140"/>
      <c r="L34" s="140"/>
      <c r="M34" s="140"/>
      <c r="N34" s="140"/>
      <c r="O34" s="140"/>
      <c r="P34" s="140"/>
      <c r="Q34" s="140"/>
      <c r="R34" s="140"/>
      <c r="S34" s="139"/>
    </row>
    <row r="35" spans="2:19">
      <c r="B35" s="155"/>
      <c r="C35" s="993" t="s">
        <v>500</v>
      </c>
      <c r="D35" s="159"/>
      <c r="E35" s="418">
        <v>0.12</v>
      </c>
      <c r="F35" s="153">
        <v>0.15</v>
      </c>
      <c r="G35" s="152"/>
      <c r="H35" s="160"/>
      <c r="I35" s="158"/>
      <c r="J35" s="148"/>
      <c r="K35" s="148"/>
      <c r="L35" s="148"/>
      <c r="M35" s="148"/>
      <c r="N35" s="148"/>
      <c r="O35" s="148"/>
      <c r="P35" s="148"/>
      <c r="Q35" s="148"/>
      <c r="R35" s="148"/>
      <c r="S35" s="147"/>
    </row>
    <row r="36" spans="2:19">
      <c r="B36" s="155"/>
      <c r="C36" s="993"/>
      <c r="D36" s="159"/>
      <c r="E36" s="160"/>
      <c r="F36" s="987"/>
      <c r="G36" s="987"/>
      <c r="H36" s="160"/>
      <c r="I36" s="158"/>
      <c r="J36" s="148"/>
      <c r="K36" s="148"/>
      <c r="L36" s="148"/>
      <c r="M36" s="148"/>
      <c r="N36" s="148"/>
      <c r="O36" s="148"/>
      <c r="P36" s="148"/>
      <c r="Q36" s="148"/>
      <c r="R36" s="148"/>
      <c r="S36" s="147"/>
    </row>
    <row r="37" spans="2:19">
      <c r="B37" s="155"/>
      <c r="C37" s="993"/>
      <c r="D37" s="159"/>
      <c r="E37" s="421"/>
      <c r="F37" s="421"/>
      <c r="G37" s="421"/>
      <c r="H37" s="421"/>
      <c r="I37" s="158"/>
      <c r="J37" s="148"/>
      <c r="K37" s="148"/>
      <c r="L37" s="148"/>
      <c r="M37" s="148"/>
      <c r="N37" s="148"/>
      <c r="O37" s="148"/>
      <c r="P37" s="148"/>
      <c r="Q37" s="148"/>
      <c r="R37" s="148"/>
      <c r="S37" s="147"/>
    </row>
    <row r="38" spans="2:19">
      <c r="B38" s="155"/>
      <c r="C38" s="993"/>
      <c r="D38" s="159"/>
      <c r="E38" s="421">
        <v>1.62</v>
      </c>
      <c r="F38" s="162">
        <v>1.62</v>
      </c>
      <c r="G38" s="421"/>
      <c r="H38" s="421"/>
      <c r="I38" s="158"/>
      <c r="J38" s="148"/>
      <c r="K38" s="148"/>
      <c r="L38" s="148"/>
      <c r="M38" s="148"/>
      <c r="N38" s="148"/>
      <c r="O38" s="148"/>
      <c r="P38" s="148"/>
      <c r="Q38" s="148"/>
      <c r="R38" s="148"/>
      <c r="S38" s="147"/>
    </row>
    <row r="39" spans="2:19">
      <c r="B39" s="155">
        <v>6</v>
      </c>
      <c r="C39" s="993"/>
      <c r="D39" s="159"/>
      <c r="E39" s="421"/>
      <c r="F39" s="421"/>
      <c r="G39" s="421"/>
      <c r="H39" s="421"/>
      <c r="I39" s="158"/>
      <c r="J39" s="157">
        <v>0.375</v>
      </c>
      <c r="K39" s="156">
        <f>SUM(D35:I42)</f>
        <v>3.81</v>
      </c>
      <c r="L39" s="156">
        <v>12</v>
      </c>
      <c r="M39" s="156">
        <v>4</v>
      </c>
      <c r="N39" s="156" t="str">
        <f>IF(J39=1/4,L39*K39*M39,"-")</f>
        <v>-</v>
      </c>
      <c r="O39" s="156">
        <f>IF(J39=3/8,K39*L39*M39,"-")</f>
        <v>182.88</v>
      </c>
      <c r="P39" s="156" t="str">
        <f>IF(J39=1/2,L39*K39*M39,"-")</f>
        <v>-</v>
      </c>
      <c r="Q39" s="156" t="str">
        <f>IF(J39=5/8,L39*K39*M39,"-")</f>
        <v>-</v>
      </c>
      <c r="R39" s="156" t="str">
        <f>IF(J39=3/4,K39*L39,"-")</f>
        <v>-</v>
      </c>
      <c r="S39" s="147"/>
    </row>
    <row r="40" spans="2:19">
      <c r="B40" s="155"/>
      <c r="C40" s="994"/>
      <c r="D40" s="154"/>
      <c r="E40" s="153"/>
      <c r="F40" s="152"/>
      <c r="G40" s="151"/>
      <c r="H40" s="150"/>
      <c r="I40" s="150"/>
      <c r="J40" s="148"/>
      <c r="K40" s="149"/>
      <c r="L40" s="148"/>
      <c r="M40" s="149"/>
      <c r="N40" s="148"/>
      <c r="O40" s="149"/>
      <c r="P40" s="148"/>
      <c r="Q40" s="149"/>
      <c r="R40" s="148"/>
      <c r="S40" s="147"/>
    </row>
    <row r="41" spans="2:19">
      <c r="B41" s="155"/>
      <c r="C41" s="994"/>
      <c r="D41" s="154"/>
      <c r="E41" s="153"/>
      <c r="F41" s="152"/>
      <c r="G41" s="151"/>
      <c r="H41" s="150"/>
      <c r="I41" s="150"/>
      <c r="J41" s="148"/>
      <c r="K41" s="149"/>
      <c r="L41" s="148"/>
      <c r="M41" s="149"/>
      <c r="N41" s="148"/>
      <c r="O41" s="149"/>
      <c r="P41" s="148"/>
      <c r="Q41" s="149"/>
      <c r="R41" s="148"/>
      <c r="S41" s="147"/>
    </row>
    <row r="42" spans="2:19">
      <c r="B42" s="146"/>
      <c r="C42" s="995"/>
      <c r="D42" s="145"/>
      <c r="E42" s="420">
        <v>0.15</v>
      </c>
      <c r="F42" s="419">
        <v>0.15</v>
      </c>
      <c r="G42" s="143"/>
      <c r="H42" s="142"/>
      <c r="I42" s="141"/>
      <c r="J42" s="140"/>
      <c r="K42" s="140"/>
      <c r="L42" s="140"/>
      <c r="M42" s="140"/>
      <c r="N42" s="140"/>
      <c r="O42" s="140"/>
      <c r="P42" s="140"/>
      <c r="Q42" s="140"/>
      <c r="R42" s="140"/>
      <c r="S42" s="139"/>
    </row>
    <row r="43" spans="2:19">
      <c r="B43" s="155"/>
      <c r="C43" s="993" t="s">
        <v>510</v>
      </c>
      <c r="D43" s="159"/>
      <c r="E43" s="160"/>
      <c r="F43" s="987"/>
      <c r="G43" s="987"/>
      <c r="H43" s="160"/>
      <c r="I43" s="158"/>
      <c r="J43" s="148"/>
      <c r="K43" s="148"/>
      <c r="L43" s="148"/>
      <c r="M43" s="148"/>
      <c r="N43" s="148"/>
      <c r="O43" s="148"/>
      <c r="P43" s="148"/>
      <c r="Q43" s="148"/>
      <c r="R43" s="148"/>
      <c r="S43" s="147"/>
    </row>
    <row r="44" spans="2:19">
      <c r="B44" s="155"/>
      <c r="C44" s="993"/>
      <c r="D44" s="159"/>
      <c r="E44" s="160"/>
      <c r="F44" s="1041">
        <v>2.64</v>
      </c>
      <c r="G44" s="1041"/>
      <c r="H44" s="160"/>
      <c r="I44" s="158"/>
      <c r="J44" s="148"/>
      <c r="K44" s="148"/>
      <c r="L44" s="148"/>
      <c r="M44" s="148"/>
      <c r="N44" s="148"/>
      <c r="O44" s="148"/>
      <c r="P44" s="148"/>
      <c r="Q44" s="148"/>
      <c r="R44" s="148"/>
      <c r="S44" s="147"/>
    </row>
    <row r="45" spans="2:19">
      <c r="B45" s="155">
        <v>7</v>
      </c>
      <c r="C45" s="993"/>
      <c r="D45" s="159"/>
      <c r="E45" s="160"/>
      <c r="F45" s="987"/>
      <c r="G45" s="987"/>
      <c r="H45" s="160"/>
      <c r="I45" s="158"/>
      <c r="J45" s="157">
        <v>0.375</v>
      </c>
      <c r="K45" s="156">
        <f>SUM(D43:I46)</f>
        <v>2.64</v>
      </c>
      <c r="L45" s="156">
        <v>13</v>
      </c>
      <c r="M45" s="156">
        <v>1</v>
      </c>
      <c r="N45" s="156" t="str">
        <f>IF(J45=1/4,L45*K45*M45,"-")</f>
        <v>-</v>
      </c>
      <c r="O45" s="156">
        <f>IF(J45=3/8,K45*L45*M45,"-")</f>
        <v>34.32</v>
      </c>
      <c r="P45" s="156" t="str">
        <f>IF(J45=1/2,L45*K45*M45,"-")</f>
        <v>-</v>
      </c>
      <c r="Q45" s="156" t="str">
        <f>IF(J45=5/8,L45*K45*M45,"-")</f>
        <v>-</v>
      </c>
      <c r="R45" s="156" t="str">
        <f>IF(J45=3/4,K45*L45,"-")</f>
        <v>-</v>
      </c>
      <c r="S45" s="147"/>
    </row>
    <row r="46" spans="2:19">
      <c r="B46" s="146"/>
      <c r="C46" s="995"/>
      <c r="D46" s="145"/>
      <c r="E46" s="144"/>
      <c r="F46" s="143"/>
      <c r="G46" s="143"/>
      <c r="H46" s="142"/>
      <c r="I46" s="141"/>
      <c r="J46" s="140"/>
      <c r="K46" s="140"/>
      <c r="L46" s="140"/>
      <c r="M46" s="140"/>
      <c r="N46" s="140"/>
      <c r="O46" s="140"/>
      <c r="P46" s="140"/>
      <c r="Q46" s="140"/>
      <c r="R46" s="140"/>
      <c r="S46" s="139"/>
    </row>
    <row r="47" spans="2:19">
      <c r="B47" s="155"/>
      <c r="C47" s="993" t="s">
        <v>509</v>
      </c>
      <c r="D47" s="159"/>
      <c r="E47" s="160"/>
      <c r="F47" s="987"/>
      <c r="G47" s="987"/>
      <c r="H47" s="160"/>
      <c r="I47" s="158"/>
      <c r="J47" s="148"/>
      <c r="K47" s="148"/>
      <c r="L47" s="148"/>
      <c r="M47" s="148"/>
      <c r="N47" s="148"/>
      <c r="O47" s="148"/>
      <c r="P47" s="148"/>
      <c r="Q47" s="148"/>
      <c r="R47" s="148"/>
      <c r="S47" s="147"/>
    </row>
    <row r="48" spans="2:19">
      <c r="B48" s="155"/>
      <c r="C48" s="993"/>
      <c r="D48" s="159"/>
      <c r="E48" s="160"/>
      <c r="F48" s="1041">
        <v>2.64</v>
      </c>
      <c r="G48" s="1041"/>
      <c r="H48" s="160"/>
      <c r="I48" s="158"/>
      <c r="J48" s="148"/>
      <c r="K48" s="148"/>
      <c r="L48" s="148"/>
      <c r="M48" s="148"/>
      <c r="N48" s="148"/>
      <c r="O48" s="148"/>
      <c r="P48" s="148"/>
      <c r="Q48" s="148"/>
      <c r="R48" s="148"/>
      <c r="S48" s="147"/>
    </row>
    <row r="49" spans="2:19">
      <c r="B49" s="155">
        <v>8</v>
      </c>
      <c r="C49" s="993"/>
      <c r="D49" s="159"/>
      <c r="E49" s="160"/>
      <c r="F49" s="987"/>
      <c r="G49" s="987"/>
      <c r="H49" s="160"/>
      <c r="I49" s="158"/>
      <c r="J49" s="157">
        <v>0.375</v>
      </c>
      <c r="K49" s="156">
        <f>SUM(D47:I51)</f>
        <v>2.64</v>
      </c>
      <c r="L49" s="156">
        <v>13</v>
      </c>
      <c r="M49" s="156">
        <v>1</v>
      </c>
      <c r="N49" s="156" t="str">
        <f>IF(J49=1/4,L49*K49*M49,"-")</f>
        <v>-</v>
      </c>
      <c r="O49" s="156">
        <f>IF(J49=3/8,K49*L49*M49,"-")</f>
        <v>34.32</v>
      </c>
      <c r="P49" s="156" t="str">
        <f>IF(J49=1/2,L49*K49*M49,"-")</f>
        <v>-</v>
      </c>
      <c r="Q49" s="156" t="str">
        <f>IF(J49=5/8,L49*K49*M49,"-")</f>
        <v>-</v>
      </c>
      <c r="R49" s="156" t="str">
        <f>IF(J49=3/4,K49*L49,"-")</f>
        <v>-</v>
      </c>
      <c r="S49" s="147"/>
    </row>
    <row r="50" spans="2:19">
      <c r="B50" s="155"/>
      <c r="C50" s="994"/>
      <c r="D50" s="154"/>
      <c r="E50" s="153"/>
      <c r="F50" s="152"/>
      <c r="G50" s="151"/>
      <c r="H50" s="150"/>
      <c r="I50" s="150"/>
      <c r="J50" s="148"/>
      <c r="K50" s="149"/>
      <c r="L50" s="148"/>
      <c r="M50" s="149"/>
      <c r="N50" s="148"/>
      <c r="O50" s="149"/>
      <c r="P50" s="148"/>
      <c r="Q50" s="149"/>
      <c r="R50" s="148"/>
      <c r="S50" s="147"/>
    </row>
    <row r="51" spans="2:19">
      <c r="B51" s="146"/>
      <c r="C51" s="995"/>
      <c r="D51" s="145"/>
      <c r="E51" s="144"/>
      <c r="F51" s="143"/>
      <c r="G51" s="143"/>
      <c r="H51" s="142"/>
      <c r="I51" s="141"/>
      <c r="J51" s="140"/>
      <c r="K51" s="140"/>
      <c r="L51" s="140"/>
      <c r="M51" s="140"/>
      <c r="N51" s="140"/>
      <c r="O51" s="140"/>
      <c r="P51" s="140"/>
      <c r="Q51" s="140"/>
      <c r="R51" s="140"/>
      <c r="S51" s="139"/>
    </row>
    <row r="52" spans="2:19">
      <c r="B52" s="155"/>
      <c r="C52" s="993" t="s">
        <v>508</v>
      </c>
      <c r="D52" s="159"/>
      <c r="E52" s="160"/>
      <c r="F52" s="987"/>
      <c r="G52" s="987"/>
      <c r="H52" s="160"/>
      <c r="I52" s="158"/>
      <c r="J52" s="148"/>
      <c r="K52" s="148"/>
      <c r="L52" s="148"/>
      <c r="M52" s="148"/>
      <c r="N52" s="148"/>
      <c r="O52" s="148"/>
      <c r="P52" s="148"/>
      <c r="Q52" s="148"/>
      <c r="R52" s="148"/>
      <c r="S52" s="147"/>
    </row>
    <row r="53" spans="2:19">
      <c r="B53" s="155"/>
      <c r="C53" s="993"/>
      <c r="D53" s="159"/>
      <c r="E53" s="160"/>
      <c r="F53" s="1039">
        <v>0.74</v>
      </c>
      <c r="G53" s="1039"/>
      <c r="H53" s="160"/>
      <c r="I53" s="158"/>
      <c r="J53" s="148"/>
      <c r="K53" s="149"/>
      <c r="L53" s="148"/>
      <c r="M53" s="149"/>
      <c r="N53" s="148"/>
      <c r="O53" s="149"/>
      <c r="P53" s="148"/>
      <c r="Q53" s="149"/>
      <c r="R53" s="148"/>
      <c r="S53" s="147"/>
    </row>
    <row r="54" spans="2:19">
      <c r="B54" s="155">
        <v>9</v>
      </c>
      <c r="C54" s="993"/>
      <c r="D54" s="159"/>
      <c r="E54" s="422">
        <v>0.15</v>
      </c>
      <c r="F54" s="1040">
        <v>0.15</v>
      </c>
      <c r="G54" s="1040"/>
      <c r="H54" s="160"/>
      <c r="I54" s="158"/>
      <c r="J54" s="157">
        <v>0.375</v>
      </c>
      <c r="K54" s="156">
        <f>SUM(D52:I56)</f>
        <v>1.04</v>
      </c>
      <c r="L54" s="156">
        <v>4</v>
      </c>
      <c r="M54" s="156">
        <v>1</v>
      </c>
      <c r="N54" s="156" t="str">
        <f>IF(J54=1/4,L54*K54*M54,"-")</f>
        <v>-</v>
      </c>
      <c r="O54" s="156">
        <f>IF(J54=3/8,K54*L54*M54,"-")</f>
        <v>4.16</v>
      </c>
      <c r="P54" s="156" t="str">
        <f>IF(J54=1/2,L54*K54*M54,"-")</f>
        <v>-</v>
      </c>
      <c r="Q54" s="156" t="str">
        <f>IF(J54=5/8,L54*K54*M54,"-")</f>
        <v>-</v>
      </c>
      <c r="R54" s="156" t="str">
        <f>IF(J54=3/4,K54*L54,"-")</f>
        <v>-</v>
      </c>
      <c r="S54" s="147"/>
    </row>
    <row r="55" spans="2:19">
      <c r="B55" s="155"/>
      <c r="C55" s="993"/>
      <c r="D55" s="159"/>
      <c r="E55" s="160"/>
      <c r="F55" s="153"/>
      <c r="G55" s="153"/>
      <c r="H55" s="160"/>
      <c r="I55" s="158"/>
      <c r="J55" s="148"/>
      <c r="K55" s="149"/>
      <c r="L55" s="148"/>
      <c r="M55" s="149"/>
      <c r="N55" s="148"/>
      <c r="O55" s="149"/>
      <c r="P55" s="148"/>
      <c r="Q55" s="149"/>
      <c r="R55" s="148"/>
      <c r="S55" s="147"/>
    </row>
    <row r="56" spans="2:19">
      <c r="B56" s="146"/>
      <c r="C56" s="995"/>
      <c r="D56" s="145"/>
      <c r="E56" s="144"/>
      <c r="F56" s="143"/>
      <c r="G56" s="143"/>
      <c r="H56" s="142"/>
      <c r="I56" s="141"/>
      <c r="J56" s="140"/>
      <c r="K56" s="140"/>
      <c r="L56" s="140"/>
      <c r="M56" s="140"/>
      <c r="N56" s="140"/>
      <c r="O56" s="140"/>
      <c r="P56" s="140"/>
      <c r="Q56" s="140"/>
      <c r="R56" s="140"/>
      <c r="S56" s="139"/>
    </row>
    <row r="57" spans="2:19" ht="15.75" thickBot="1">
      <c r="B57" s="138"/>
      <c r="C57" s="137"/>
      <c r="D57" s="137"/>
      <c r="E57" s="137"/>
      <c r="F57" s="137"/>
      <c r="G57" s="137"/>
      <c r="H57" s="137"/>
      <c r="I57" s="137"/>
      <c r="J57" s="984" t="s">
        <v>263</v>
      </c>
      <c r="K57" s="985"/>
      <c r="L57" s="986"/>
      <c r="M57" s="136"/>
      <c r="N57" s="136">
        <f>SUM(N8:N29)</f>
        <v>0</v>
      </c>
      <c r="O57" s="136">
        <f>SUM(O8:O56)</f>
        <v>592.00000000000011</v>
      </c>
      <c r="P57" s="136">
        <f>SUM(P8:P29)</f>
        <v>0</v>
      </c>
      <c r="Q57" s="136">
        <f>SUM(Q8:Q29)</f>
        <v>0</v>
      </c>
      <c r="R57" s="136">
        <f>SUM(R8:R29)</f>
        <v>0</v>
      </c>
      <c r="S57" s="135"/>
    </row>
    <row r="58" spans="2:19">
      <c r="J58" s="963" t="s">
        <v>262</v>
      </c>
      <c r="K58" s="963"/>
      <c r="L58" s="963"/>
      <c r="M58" s="133"/>
      <c r="N58" s="132">
        <v>0.22</v>
      </c>
      <c r="O58" s="132">
        <v>0.56000000000000005</v>
      </c>
      <c r="P58" s="134">
        <v>0.99399999999999999</v>
      </c>
      <c r="Q58" s="134">
        <v>1.552</v>
      </c>
      <c r="R58" s="134">
        <v>2.2349999999999999</v>
      </c>
      <c r="S58" s="133"/>
    </row>
    <row r="59" spans="2:19">
      <c r="J59" s="964" t="s">
        <v>261</v>
      </c>
      <c r="K59" s="964"/>
      <c r="L59" s="964"/>
      <c r="M59" s="132"/>
      <c r="N59" s="132">
        <f>N57*N58</f>
        <v>0</v>
      </c>
      <c r="O59" s="132">
        <f>O57*O58</f>
        <v>331.5200000000001</v>
      </c>
      <c r="P59" s="132">
        <f>P57*P58</f>
        <v>0</v>
      </c>
      <c r="Q59" s="132">
        <f>Q57*Q58</f>
        <v>0</v>
      </c>
      <c r="R59" s="132">
        <f>R57*R58</f>
        <v>0</v>
      </c>
      <c r="S59" s="132"/>
    </row>
    <row r="60" spans="2:19">
      <c r="J60" s="965" t="s">
        <v>260</v>
      </c>
      <c r="K60" s="966"/>
      <c r="L60" s="967"/>
      <c r="M60" s="968">
        <v>1</v>
      </c>
      <c r="N60" s="969"/>
      <c r="O60" s="969"/>
      <c r="P60" s="969"/>
      <c r="Q60" s="969"/>
      <c r="R60" s="969"/>
      <c r="S60" s="970"/>
    </row>
    <row r="61" spans="2:19">
      <c r="J61" s="965" t="s">
        <v>259</v>
      </c>
      <c r="K61" s="966"/>
      <c r="L61" s="967"/>
      <c r="M61" s="971">
        <f>SUM(N59:S59)*M60</f>
        <v>331.5200000000001</v>
      </c>
      <c r="N61" s="972"/>
      <c r="O61" s="972"/>
      <c r="P61" s="972"/>
      <c r="Q61" s="972"/>
      <c r="R61" s="972"/>
      <c r="S61" s="973"/>
    </row>
    <row r="64" spans="2:19" ht="18">
      <c r="B64" s="1001" t="s">
        <v>283</v>
      </c>
      <c r="C64" s="1001"/>
      <c r="D64" s="1001"/>
      <c r="E64" s="1001"/>
      <c r="F64" s="1001"/>
      <c r="G64" s="1001"/>
      <c r="H64" s="1001"/>
      <c r="I64" s="1001"/>
      <c r="J64" s="1001"/>
      <c r="K64" s="1001"/>
      <c r="L64" s="1001"/>
      <c r="M64" s="1001"/>
      <c r="N64" s="1001"/>
      <c r="O64" s="1001"/>
      <c r="P64" s="1002"/>
      <c r="Q64" s="1002"/>
      <c r="R64" s="1002"/>
      <c r="S64" s="1002"/>
    </row>
    <row r="65" spans="2:19">
      <c r="B65" s="1003" t="s">
        <v>282</v>
      </c>
      <c r="C65" s="1004"/>
      <c r="D65" s="1038" t="s">
        <v>1086</v>
      </c>
      <c r="E65" s="1004"/>
      <c r="F65" s="1004"/>
      <c r="G65" s="1004"/>
      <c r="H65" s="1004"/>
      <c r="I65" s="1004"/>
      <c r="J65" s="1004"/>
      <c r="K65" s="1004"/>
      <c r="L65" s="1004"/>
      <c r="M65" s="1004"/>
      <c r="N65" s="1004"/>
      <c r="O65" s="1005"/>
      <c r="P65" s="1006" t="s">
        <v>281</v>
      </c>
      <c r="Q65" s="1007"/>
      <c r="R65" s="1007"/>
      <c r="S65" s="1008"/>
    </row>
    <row r="66" spans="2:19">
      <c r="B66" s="1004"/>
      <c r="C66" s="1004"/>
      <c r="D66" s="1004"/>
      <c r="E66" s="1004"/>
      <c r="F66" s="1004"/>
      <c r="G66" s="1004"/>
      <c r="H66" s="1004"/>
      <c r="I66" s="1004"/>
      <c r="J66" s="1004"/>
      <c r="K66" s="1004"/>
      <c r="L66" s="1004"/>
      <c r="M66" s="1004"/>
      <c r="N66" s="1004"/>
      <c r="O66" s="1005"/>
      <c r="P66" s="996" t="s">
        <v>503</v>
      </c>
      <c r="Q66" s="997"/>
      <c r="R66" s="997"/>
      <c r="S66" s="998"/>
    </row>
    <row r="67" spans="2:19" ht="25.5" customHeight="1">
      <c r="B67" s="1004"/>
      <c r="C67" s="1004"/>
      <c r="D67" s="1004"/>
      <c r="E67" s="1004"/>
      <c r="F67" s="1004"/>
      <c r="G67" s="1004"/>
      <c r="H67" s="1004"/>
      <c r="I67" s="1004"/>
      <c r="J67" s="1004"/>
      <c r="K67" s="1004"/>
      <c r="L67" s="1004"/>
      <c r="M67" s="1004"/>
      <c r="N67" s="1004"/>
      <c r="O67" s="1004"/>
      <c r="P67" s="999" t="s">
        <v>468</v>
      </c>
      <c r="Q67" s="999"/>
      <c r="R67" s="999"/>
      <c r="S67" s="999"/>
    </row>
    <row r="68" spans="2:19">
      <c r="B68" s="974" t="s">
        <v>278</v>
      </c>
      <c r="C68" s="976" t="s">
        <v>2</v>
      </c>
      <c r="D68" s="976" t="s">
        <v>277</v>
      </c>
      <c r="E68" s="978"/>
      <c r="F68" s="978"/>
      <c r="G68" s="978"/>
      <c r="H68" s="978"/>
      <c r="I68" s="979"/>
      <c r="J68" s="982" t="s">
        <v>276</v>
      </c>
      <c r="K68" s="982" t="s">
        <v>275</v>
      </c>
      <c r="L68" s="982" t="s">
        <v>274</v>
      </c>
      <c r="M68" s="1009" t="s">
        <v>273</v>
      </c>
      <c r="N68" s="988" t="s">
        <v>272</v>
      </c>
      <c r="O68" s="989"/>
      <c r="P68" s="989"/>
      <c r="Q68" s="989"/>
      <c r="R68" s="990"/>
      <c r="S68" s="991" t="s">
        <v>271</v>
      </c>
    </row>
    <row r="69" spans="2:19" ht="15.75" thickBot="1">
      <c r="B69" s="975"/>
      <c r="C69" s="977"/>
      <c r="D69" s="977"/>
      <c r="E69" s="980"/>
      <c r="F69" s="980"/>
      <c r="G69" s="980"/>
      <c r="H69" s="980"/>
      <c r="I69" s="981"/>
      <c r="J69" s="983"/>
      <c r="K69" s="983"/>
      <c r="L69" s="983" t="s">
        <v>270</v>
      </c>
      <c r="M69" s="1010" t="s">
        <v>270</v>
      </c>
      <c r="N69" s="164">
        <v>0.25</v>
      </c>
      <c r="O69" s="163">
        <v>0.375</v>
      </c>
      <c r="P69" s="163">
        <v>0.5</v>
      </c>
      <c r="Q69" s="163">
        <v>0.625</v>
      </c>
      <c r="R69" s="163">
        <v>0.75</v>
      </c>
      <c r="S69" s="992"/>
    </row>
    <row r="70" spans="2:19">
      <c r="B70" s="155"/>
      <c r="C70" s="993" t="s">
        <v>507</v>
      </c>
      <c r="D70" s="159"/>
      <c r="E70" s="160"/>
      <c r="F70" s="987"/>
      <c r="G70" s="987"/>
      <c r="H70" s="160"/>
      <c r="I70" s="158"/>
      <c r="J70" s="148"/>
      <c r="K70" s="148"/>
      <c r="L70" s="148"/>
      <c r="M70" s="148"/>
      <c r="N70" s="148"/>
      <c r="O70" s="148"/>
      <c r="P70" s="148"/>
      <c r="Q70" s="148"/>
      <c r="R70" s="148"/>
      <c r="S70" s="147"/>
    </row>
    <row r="71" spans="2:19">
      <c r="B71" s="155"/>
      <c r="C71" s="993"/>
      <c r="D71" s="159"/>
      <c r="E71" s="160"/>
      <c r="F71" s="153"/>
      <c r="G71" s="153"/>
      <c r="H71" s="160"/>
      <c r="I71" s="158"/>
      <c r="J71" s="148"/>
      <c r="K71" s="148"/>
      <c r="L71" s="148"/>
      <c r="M71" s="148"/>
      <c r="N71" s="148"/>
      <c r="O71" s="148"/>
      <c r="P71" s="148"/>
      <c r="Q71" s="148"/>
      <c r="R71" s="148"/>
      <c r="S71" s="147"/>
    </row>
    <row r="72" spans="2:19">
      <c r="B72" s="155">
        <v>1</v>
      </c>
      <c r="C72" s="993"/>
      <c r="D72" s="159"/>
      <c r="E72" s="151"/>
      <c r="F72" s="1037">
        <v>1.22</v>
      </c>
      <c r="G72" s="1037"/>
      <c r="H72" s="160"/>
      <c r="I72" s="417"/>
      <c r="J72" s="157">
        <v>0.375</v>
      </c>
      <c r="K72" s="156">
        <f>SUM(D70:I74)</f>
        <v>1.22</v>
      </c>
      <c r="L72" s="156">
        <v>8</v>
      </c>
      <c r="M72" s="156">
        <v>1</v>
      </c>
      <c r="N72" s="156" t="str">
        <f>IF(J72=1/4,L72*K72*M72,"-")</f>
        <v>-</v>
      </c>
      <c r="O72" s="156">
        <f>IF(J72=3/8,K72*L72*M72,"-")</f>
        <v>9.76</v>
      </c>
      <c r="P72" s="156" t="str">
        <f>IF(J72=1/2,L72*K72*M72,"-")</f>
        <v>-</v>
      </c>
      <c r="Q72" s="156" t="str">
        <f>IF(J72=5/8,L72*K72*M72,"-")</f>
        <v>-</v>
      </c>
      <c r="R72" s="156" t="str">
        <f>IF(J72=3/4,K72*L72,"-")</f>
        <v>-</v>
      </c>
      <c r="S72" s="147"/>
    </row>
    <row r="73" spans="2:19">
      <c r="B73" s="155"/>
      <c r="C73" s="994"/>
      <c r="D73" s="154"/>
      <c r="E73" s="151"/>
      <c r="F73" s="152"/>
      <c r="G73" s="151"/>
      <c r="H73" s="150"/>
      <c r="I73" s="150"/>
      <c r="J73" s="148"/>
      <c r="K73" s="149"/>
      <c r="L73" s="148"/>
      <c r="M73" s="149"/>
      <c r="N73" s="148"/>
      <c r="O73" s="149"/>
      <c r="P73" s="148"/>
      <c r="Q73" s="149"/>
      <c r="R73" s="148"/>
      <c r="S73" s="147"/>
    </row>
    <row r="74" spans="2:19">
      <c r="B74" s="146"/>
      <c r="C74" s="995"/>
      <c r="D74" s="145"/>
      <c r="E74" s="144"/>
      <c r="F74" s="143"/>
      <c r="G74" s="143"/>
      <c r="H74" s="142"/>
      <c r="I74" s="141"/>
      <c r="J74" s="140"/>
      <c r="K74" s="140"/>
      <c r="L74" s="140"/>
      <c r="M74" s="140"/>
      <c r="N74" s="140"/>
      <c r="O74" s="140"/>
      <c r="P74" s="140"/>
      <c r="Q74" s="140"/>
      <c r="R74" s="140"/>
      <c r="S74" s="139"/>
    </row>
    <row r="75" spans="2:19">
      <c r="B75" s="155"/>
      <c r="C75" s="993" t="s">
        <v>506</v>
      </c>
      <c r="D75" s="159"/>
      <c r="E75" s="160"/>
      <c r="F75" s="987"/>
      <c r="G75" s="987"/>
      <c r="H75" s="160"/>
      <c r="I75" s="158"/>
      <c r="J75" s="148"/>
      <c r="K75" s="148"/>
      <c r="L75" s="148"/>
      <c r="M75" s="148"/>
      <c r="N75" s="148"/>
      <c r="O75" s="148"/>
      <c r="P75" s="148"/>
      <c r="Q75" s="148"/>
      <c r="R75" s="148"/>
      <c r="S75" s="147"/>
    </row>
    <row r="76" spans="2:19">
      <c r="B76" s="155">
        <v>2</v>
      </c>
      <c r="C76" s="994"/>
      <c r="D76" s="154"/>
      <c r="E76" s="151"/>
      <c r="F76" s="161">
        <v>1.32</v>
      </c>
      <c r="G76" s="153"/>
      <c r="H76" s="150"/>
      <c r="I76" s="165"/>
      <c r="J76" s="157">
        <v>0.375</v>
      </c>
      <c r="K76" s="156">
        <f>SUM(D75:I78)</f>
        <v>1.32</v>
      </c>
      <c r="L76" s="156">
        <v>6</v>
      </c>
      <c r="M76" s="156">
        <v>1</v>
      </c>
      <c r="N76" s="156" t="str">
        <f>IF(J76=1/4,L76*K76*M76,"-")</f>
        <v>-</v>
      </c>
      <c r="O76" s="156">
        <f>IF(J76=3/8,K76*L76*M76,"-")</f>
        <v>7.92</v>
      </c>
      <c r="P76" s="156" t="str">
        <f>IF(J76=1/2,L76*K76*M76,"-")</f>
        <v>-</v>
      </c>
      <c r="Q76" s="156" t="str">
        <f>IF(J76=5/8,L76*K76*M76,"-")</f>
        <v>-</v>
      </c>
      <c r="R76" s="156" t="str">
        <f>IF(J76=3/4,K76*L76,"-")</f>
        <v>-</v>
      </c>
      <c r="S76" s="147"/>
    </row>
    <row r="77" spans="2:19">
      <c r="B77" s="155"/>
      <c r="C77" s="994"/>
      <c r="D77" s="154"/>
      <c r="E77" s="416"/>
      <c r="F77" s="151"/>
      <c r="G77" s="151"/>
      <c r="H77" s="415"/>
      <c r="I77" s="414"/>
      <c r="J77" s="157"/>
      <c r="K77" s="156"/>
      <c r="L77" s="156"/>
      <c r="M77" s="156"/>
      <c r="N77" s="156"/>
      <c r="O77" s="156"/>
      <c r="P77" s="156"/>
      <c r="Q77" s="156"/>
      <c r="R77" s="156"/>
      <c r="S77" s="147"/>
    </row>
    <row r="78" spans="2:19">
      <c r="B78" s="146"/>
      <c r="C78" s="995"/>
      <c r="D78" s="145"/>
      <c r="E78" s="144"/>
      <c r="F78" s="143"/>
      <c r="G78" s="143"/>
      <c r="H78" s="142"/>
      <c r="I78" s="141"/>
      <c r="J78" s="140"/>
      <c r="K78" s="140"/>
      <c r="L78" s="140"/>
      <c r="M78" s="140"/>
      <c r="N78" s="140"/>
      <c r="O78" s="140"/>
      <c r="P78" s="140"/>
      <c r="Q78" s="140"/>
      <c r="R78" s="140"/>
      <c r="S78" s="139"/>
    </row>
    <row r="79" spans="2:19">
      <c r="B79" s="155"/>
      <c r="C79" s="993" t="s">
        <v>505</v>
      </c>
      <c r="D79" s="159"/>
      <c r="E79" s="160"/>
      <c r="F79" s="987"/>
      <c r="G79" s="987"/>
      <c r="H79" s="160"/>
      <c r="I79" s="158"/>
      <c r="J79" s="148"/>
      <c r="K79" s="148"/>
      <c r="L79" s="148"/>
      <c r="M79" s="148"/>
      <c r="N79" s="148"/>
      <c r="O79" s="148"/>
      <c r="P79" s="148"/>
      <c r="Q79" s="148"/>
      <c r="R79" s="148"/>
      <c r="S79" s="147"/>
    </row>
    <row r="80" spans="2:19">
      <c r="B80" s="155"/>
      <c r="C80" s="993"/>
      <c r="D80" s="159"/>
      <c r="E80" s="160"/>
      <c r="F80" s="153"/>
      <c r="G80" s="153"/>
      <c r="H80" s="160"/>
      <c r="I80" s="158"/>
      <c r="J80" s="148"/>
      <c r="K80" s="148"/>
      <c r="L80" s="148"/>
      <c r="M80" s="148"/>
      <c r="N80" s="148"/>
      <c r="O80" s="148"/>
      <c r="P80" s="148"/>
      <c r="Q80" s="148"/>
      <c r="R80" s="148"/>
      <c r="S80" s="147"/>
    </row>
    <row r="81" spans="2:19">
      <c r="B81" s="155">
        <v>3</v>
      </c>
      <c r="C81" s="993"/>
      <c r="D81" s="159"/>
      <c r="E81" s="151">
        <v>0.15</v>
      </c>
      <c r="F81" s="1037">
        <v>1.34</v>
      </c>
      <c r="G81" s="1037"/>
      <c r="H81" s="160"/>
      <c r="I81" s="417">
        <v>0.15</v>
      </c>
      <c r="J81" s="157">
        <v>0.375</v>
      </c>
      <c r="K81" s="156">
        <f>SUM(D79:I83)</f>
        <v>1.64</v>
      </c>
      <c r="L81" s="156">
        <v>5</v>
      </c>
      <c r="M81" s="156">
        <v>4</v>
      </c>
      <c r="N81" s="156" t="str">
        <f>IF(J81=1/4,L81*K81*M81,"-")</f>
        <v>-</v>
      </c>
      <c r="O81" s="156">
        <f>IF(J81=3/8,K81*L81*M81,"-")</f>
        <v>32.799999999999997</v>
      </c>
      <c r="P81" s="156" t="str">
        <f>IF(J81=1/2,L81*K81*M81,"-")</f>
        <v>-</v>
      </c>
      <c r="Q81" s="156" t="str">
        <f>IF(J81=5/8,L81*K81*M81,"-")</f>
        <v>-</v>
      </c>
      <c r="R81" s="156" t="str">
        <f>IF(J81=3/4,K81*L81,"-")</f>
        <v>-</v>
      </c>
      <c r="S81" s="147"/>
    </row>
    <row r="82" spans="2:19">
      <c r="B82" s="155"/>
      <c r="C82" s="993"/>
      <c r="D82" s="159"/>
      <c r="E82" s="151"/>
      <c r="F82" s="152"/>
      <c r="G82" s="151"/>
      <c r="H82" s="150"/>
      <c r="I82" s="150"/>
      <c r="J82" s="157"/>
      <c r="K82" s="156"/>
      <c r="L82" s="156"/>
      <c r="M82" s="156"/>
      <c r="N82" s="156"/>
      <c r="O82" s="156"/>
      <c r="P82" s="156"/>
      <c r="Q82" s="156"/>
      <c r="R82" s="156"/>
      <c r="S82" s="147"/>
    </row>
    <row r="83" spans="2:19">
      <c r="B83" s="146"/>
      <c r="C83" s="995"/>
      <c r="D83" s="145"/>
      <c r="E83" s="144"/>
      <c r="F83" s="143"/>
      <c r="G83" s="143"/>
      <c r="H83" s="142"/>
      <c r="I83" s="141"/>
      <c r="J83" s="140"/>
      <c r="K83" s="140"/>
      <c r="L83" s="140"/>
      <c r="M83" s="140"/>
      <c r="N83" s="140"/>
      <c r="O83" s="140"/>
      <c r="P83" s="140"/>
      <c r="Q83" s="140"/>
      <c r="R83" s="140"/>
      <c r="S83" s="139"/>
    </row>
    <row r="84" spans="2:19">
      <c r="B84" s="155"/>
      <c r="C84" s="993" t="s">
        <v>500</v>
      </c>
      <c r="D84" s="159"/>
      <c r="E84" s="160"/>
      <c r="F84" s="987"/>
      <c r="G84" s="987"/>
      <c r="H84" s="160"/>
      <c r="I84" s="158"/>
      <c r="J84" s="148"/>
      <c r="K84" s="148"/>
      <c r="L84" s="148"/>
      <c r="M84" s="148"/>
      <c r="N84" s="148"/>
      <c r="O84" s="148"/>
      <c r="P84" s="148"/>
      <c r="Q84" s="148"/>
      <c r="R84" s="148"/>
      <c r="S84" s="147"/>
    </row>
    <row r="85" spans="2:19">
      <c r="B85" s="155"/>
      <c r="C85" s="993"/>
      <c r="D85" s="154"/>
      <c r="E85" s="151"/>
      <c r="F85" s="410">
        <v>0.15</v>
      </c>
      <c r="G85" s="153"/>
      <c r="H85" s="150"/>
      <c r="I85" s="165"/>
      <c r="J85" s="148"/>
      <c r="K85" s="148"/>
      <c r="L85" s="148"/>
      <c r="M85" s="148"/>
      <c r="N85" s="148"/>
      <c r="O85" s="148"/>
      <c r="P85" s="148"/>
      <c r="Q85" s="148"/>
      <c r="R85" s="148"/>
      <c r="S85" s="147"/>
    </row>
    <row r="86" spans="2:19">
      <c r="B86" s="155">
        <v>4</v>
      </c>
      <c r="C86" s="993"/>
      <c r="D86" s="154"/>
      <c r="E86" s="416"/>
      <c r="F86" s="1042">
        <v>1.03</v>
      </c>
      <c r="G86" s="151"/>
      <c r="H86" s="415"/>
      <c r="I86" s="414"/>
      <c r="J86" s="157">
        <v>0.375</v>
      </c>
      <c r="K86" s="156">
        <f>SUM(D84:I89)</f>
        <v>1.3299999999999998</v>
      </c>
      <c r="L86" s="156">
        <v>20</v>
      </c>
      <c r="M86" s="156">
        <v>1</v>
      </c>
      <c r="N86" s="156" t="str">
        <f>IF(J86=1/4,L86*K86*M86,"-")</f>
        <v>-</v>
      </c>
      <c r="O86" s="156">
        <f>IF(J86=3/8,K86*L86*M86,"-")</f>
        <v>26.599999999999998</v>
      </c>
      <c r="P86" s="156" t="str">
        <f>IF(J86=1/2,L86*K86*M86,"-")</f>
        <v>-</v>
      </c>
      <c r="Q86" s="156" t="str">
        <f>IF(J86=5/8,L86*K86*M86,"-")</f>
        <v>-</v>
      </c>
      <c r="R86" s="156" t="str">
        <f>IF(J86=3/4,K86*L86,"-")</f>
        <v>-</v>
      </c>
      <c r="S86" s="147"/>
    </row>
    <row r="87" spans="2:19">
      <c r="B87" s="155"/>
      <c r="C87" s="993"/>
      <c r="D87" s="413"/>
      <c r="E87" s="151"/>
      <c r="F87" s="1042"/>
      <c r="G87" s="151"/>
      <c r="H87" s="150"/>
      <c r="I87" s="165"/>
      <c r="J87" s="157"/>
      <c r="K87" s="156"/>
      <c r="L87" s="156"/>
      <c r="M87" s="156"/>
      <c r="N87" s="156"/>
      <c r="O87" s="156"/>
      <c r="P87" s="156"/>
      <c r="Q87" s="156"/>
      <c r="R87" s="156"/>
      <c r="S87" s="147"/>
    </row>
    <row r="88" spans="2:19">
      <c r="B88" s="155"/>
      <c r="C88" s="994"/>
      <c r="D88" s="154"/>
      <c r="E88" s="412"/>
      <c r="F88" s="161">
        <v>0.15</v>
      </c>
      <c r="G88" s="151"/>
      <c r="H88" s="411"/>
      <c r="I88" s="165"/>
      <c r="J88" s="148"/>
      <c r="K88" s="149"/>
      <c r="L88" s="148"/>
      <c r="M88" s="149"/>
      <c r="N88" s="148"/>
      <c r="O88" s="149"/>
      <c r="P88" s="148"/>
      <c r="Q88" s="149"/>
      <c r="R88" s="148"/>
      <c r="S88" s="147"/>
    </row>
    <row r="89" spans="2:19">
      <c r="B89" s="146"/>
      <c r="C89" s="995"/>
      <c r="D89" s="145"/>
      <c r="E89" s="144"/>
      <c r="F89" s="143"/>
      <c r="G89" s="143"/>
      <c r="H89" s="142"/>
      <c r="I89" s="141"/>
      <c r="J89" s="140"/>
      <c r="K89" s="140"/>
      <c r="L89" s="140"/>
      <c r="M89" s="140"/>
      <c r="N89" s="140"/>
      <c r="O89" s="140"/>
      <c r="P89" s="140"/>
      <c r="Q89" s="140"/>
      <c r="R89" s="140"/>
      <c r="S89" s="139"/>
    </row>
    <row r="90" spans="2:19">
      <c r="B90" s="155"/>
      <c r="C90" s="993" t="s">
        <v>498</v>
      </c>
      <c r="D90" s="159"/>
      <c r="E90" s="160"/>
      <c r="F90" s="987"/>
      <c r="G90" s="987"/>
      <c r="H90" s="160"/>
      <c r="I90" s="158"/>
      <c r="J90" s="148"/>
      <c r="K90" s="148"/>
      <c r="L90" s="148"/>
      <c r="M90" s="148"/>
      <c r="N90" s="148"/>
      <c r="O90" s="148"/>
      <c r="P90" s="148"/>
      <c r="Q90" s="148"/>
      <c r="R90" s="148"/>
      <c r="S90" s="147"/>
    </row>
    <row r="91" spans="2:19">
      <c r="B91" s="155"/>
      <c r="C91" s="993"/>
      <c r="D91" s="159"/>
      <c r="E91" s="160"/>
      <c r="F91" s="410">
        <v>0.15</v>
      </c>
      <c r="G91" s="153"/>
      <c r="H91" s="160"/>
      <c r="I91" s="158"/>
      <c r="J91" s="148"/>
      <c r="K91" s="148"/>
      <c r="L91" s="148"/>
      <c r="M91" s="148"/>
      <c r="N91" s="148"/>
      <c r="O91" s="148"/>
      <c r="P91" s="148"/>
      <c r="Q91" s="148"/>
      <c r="R91" s="148"/>
      <c r="S91" s="147"/>
    </row>
    <row r="92" spans="2:19">
      <c r="B92" s="155"/>
      <c r="C92" s="993"/>
      <c r="D92" s="409"/>
      <c r="E92" s="160"/>
      <c r="F92" s="1042">
        <v>1.32</v>
      </c>
      <c r="G92" s="151"/>
      <c r="H92" s="160"/>
      <c r="I92" s="408"/>
      <c r="J92" s="148"/>
      <c r="K92" s="148"/>
      <c r="L92" s="148"/>
      <c r="M92" s="148"/>
      <c r="N92" s="148"/>
      <c r="O92" s="148"/>
      <c r="P92" s="148"/>
      <c r="Q92" s="148"/>
      <c r="R92" s="148"/>
      <c r="S92" s="147"/>
    </row>
    <row r="93" spans="2:19">
      <c r="B93" s="155">
        <v>5</v>
      </c>
      <c r="C93" s="993"/>
      <c r="D93" s="159"/>
      <c r="E93" s="407"/>
      <c r="F93" s="1042"/>
      <c r="G93" s="151"/>
      <c r="H93" s="406"/>
      <c r="I93" s="158"/>
      <c r="J93" s="157">
        <v>0.375</v>
      </c>
      <c r="K93" s="156">
        <f>SUM(D90:I95)</f>
        <v>1.6199999999999999</v>
      </c>
      <c r="L93" s="156">
        <v>7</v>
      </c>
      <c r="M93" s="156">
        <v>1</v>
      </c>
      <c r="N93" s="156" t="str">
        <f>IF(J93=1/4,L93*K93*M93,"-")</f>
        <v>-</v>
      </c>
      <c r="O93" s="156">
        <f>IF(J93=3/8,K93*L93*M93,"-")</f>
        <v>11.34</v>
      </c>
      <c r="P93" s="156" t="str">
        <f>IF(J93=1/2,L93*K93*M93,"-")</f>
        <v>-</v>
      </c>
      <c r="Q93" s="156" t="str">
        <f>IF(J93=5/8,L93*K93*M93,"-")</f>
        <v>-</v>
      </c>
      <c r="R93" s="156" t="str">
        <f>IF(J93=3/4,K93*L93,"-")</f>
        <v>-</v>
      </c>
      <c r="S93" s="147"/>
    </row>
    <row r="94" spans="2:19">
      <c r="B94" s="155"/>
      <c r="C94" s="993"/>
      <c r="D94" s="159"/>
      <c r="E94" s="407"/>
      <c r="F94" s="161">
        <v>0.15</v>
      </c>
      <c r="G94" s="151"/>
      <c r="H94" s="406"/>
      <c r="I94" s="158"/>
      <c r="J94" s="157"/>
      <c r="K94" s="156"/>
      <c r="L94" s="156"/>
      <c r="M94" s="156"/>
      <c r="N94" s="156"/>
      <c r="O94" s="156"/>
      <c r="P94" s="156"/>
      <c r="Q94" s="156"/>
      <c r="R94" s="156"/>
      <c r="S94" s="147"/>
    </row>
    <row r="95" spans="2:19">
      <c r="B95" s="146"/>
      <c r="C95" s="995"/>
      <c r="D95" s="145"/>
      <c r="E95" s="144"/>
      <c r="F95" s="143"/>
      <c r="G95" s="143"/>
      <c r="H95" s="142"/>
      <c r="I95" s="141"/>
      <c r="J95" s="140"/>
      <c r="K95" s="140"/>
      <c r="L95" s="140"/>
      <c r="M95" s="140"/>
      <c r="N95" s="140"/>
      <c r="O95" s="140"/>
      <c r="P95" s="140"/>
      <c r="Q95" s="140"/>
      <c r="R95" s="140"/>
      <c r="S95" s="139"/>
    </row>
    <row r="96" spans="2:19">
      <c r="B96" s="155"/>
      <c r="C96" s="993" t="s">
        <v>504</v>
      </c>
      <c r="D96" s="159"/>
      <c r="E96" s="418"/>
      <c r="F96" s="153"/>
      <c r="G96" s="152"/>
      <c r="H96" s="160"/>
      <c r="I96" s="158"/>
      <c r="J96" s="148"/>
      <c r="K96" s="148"/>
      <c r="L96" s="148"/>
      <c r="M96" s="148"/>
      <c r="N96" s="148"/>
      <c r="O96" s="148"/>
      <c r="P96" s="148"/>
      <c r="Q96" s="148"/>
      <c r="R96" s="148"/>
      <c r="S96" s="147"/>
    </row>
    <row r="97" spans="2:19">
      <c r="B97" s="155"/>
      <c r="C97" s="993"/>
      <c r="D97" s="159"/>
      <c r="E97" s="160"/>
      <c r="F97" s="1043">
        <v>1.32</v>
      </c>
      <c r="G97" s="1043"/>
      <c r="H97" s="160"/>
      <c r="I97" s="158"/>
      <c r="J97" s="148"/>
      <c r="K97" s="148"/>
      <c r="L97" s="148"/>
      <c r="M97" s="148"/>
      <c r="N97" s="148"/>
      <c r="O97" s="148"/>
      <c r="P97" s="148"/>
      <c r="Q97" s="148"/>
      <c r="R97" s="148"/>
      <c r="S97" s="147"/>
    </row>
    <row r="98" spans="2:19">
      <c r="B98" s="155"/>
      <c r="C98" s="993"/>
      <c r="D98" s="159"/>
      <c r="E98" s="421"/>
      <c r="F98" s="421"/>
      <c r="G98" s="421"/>
      <c r="H98" s="421"/>
      <c r="I98" s="158"/>
      <c r="J98" s="148"/>
      <c r="K98" s="148"/>
      <c r="L98" s="148"/>
      <c r="M98" s="148"/>
      <c r="N98" s="148"/>
      <c r="O98" s="148"/>
      <c r="P98" s="148"/>
      <c r="Q98" s="148"/>
      <c r="R98" s="148"/>
      <c r="S98" s="147"/>
    </row>
    <row r="99" spans="2:19">
      <c r="B99" s="155">
        <v>6</v>
      </c>
      <c r="C99" s="993"/>
      <c r="D99" s="159"/>
      <c r="E99" s="421">
        <v>0.15</v>
      </c>
      <c r="F99" s="421"/>
      <c r="G99" s="162">
        <v>0.15</v>
      </c>
      <c r="H99" s="421"/>
      <c r="I99" s="158"/>
      <c r="J99" s="157">
        <v>0.375</v>
      </c>
      <c r="K99" s="156">
        <f>SUM(D96:I101)</f>
        <v>1.6199999999999999</v>
      </c>
      <c r="L99" s="156">
        <v>8</v>
      </c>
      <c r="M99" s="156">
        <v>1</v>
      </c>
      <c r="N99" s="156" t="str">
        <f>IF(J99=1/4,L99*K99*M99,"-")</f>
        <v>-</v>
      </c>
      <c r="O99" s="156">
        <f>IF(J99=3/8,K99*L99*M99,"-")</f>
        <v>12.959999999999999</v>
      </c>
      <c r="P99" s="156" t="str">
        <f>IF(J99=1/2,L99*K99*M99,"-")</f>
        <v>-</v>
      </c>
      <c r="Q99" s="156" t="str">
        <f>IF(J99=5/8,L99*K99*M99,"-")</f>
        <v>-</v>
      </c>
      <c r="R99" s="156" t="str">
        <f>IF(J99=3/4,K99*L99,"-")</f>
        <v>-</v>
      </c>
      <c r="S99" s="147"/>
    </row>
    <row r="100" spans="2:19">
      <c r="B100" s="155"/>
      <c r="C100" s="994"/>
      <c r="D100" s="154"/>
      <c r="E100" s="153"/>
      <c r="F100" s="152"/>
      <c r="G100" s="151"/>
      <c r="H100" s="150"/>
      <c r="I100" s="150"/>
      <c r="J100" s="148"/>
      <c r="K100" s="149"/>
      <c r="L100" s="148"/>
      <c r="M100" s="149"/>
      <c r="N100" s="148"/>
      <c r="O100" s="149"/>
      <c r="P100" s="148"/>
      <c r="Q100" s="149"/>
      <c r="R100" s="148"/>
      <c r="S100" s="147"/>
    </row>
    <row r="101" spans="2:19">
      <c r="B101" s="146"/>
      <c r="C101" s="995"/>
      <c r="D101" s="145"/>
      <c r="E101" s="420"/>
      <c r="F101" s="419"/>
      <c r="G101" s="143"/>
      <c r="H101" s="142"/>
      <c r="I101" s="141"/>
      <c r="J101" s="140"/>
      <c r="K101" s="140"/>
      <c r="L101" s="140"/>
      <c r="M101" s="140"/>
      <c r="N101" s="140"/>
      <c r="O101" s="140"/>
      <c r="P101" s="140"/>
      <c r="Q101" s="140"/>
      <c r="R101" s="140"/>
      <c r="S101" s="139"/>
    </row>
    <row r="102" spans="2:19" ht="15.75" thickBot="1">
      <c r="B102" s="138"/>
      <c r="C102" s="137"/>
      <c r="D102" s="137"/>
      <c r="E102" s="137"/>
      <c r="F102" s="137"/>
      <c r="G102" s="137"/>
      <c r="H102" s="137"/>
      <c r="I102" s="137"/>
      <c r="J102" s="984" t="s">
        <v>263</v>
      </c>
      <c r="K102" s="985"/>
      <c r="L102" s="986"/>
      <c r="M102" s="136"/>
      <c r="N102" s="136">
        <f>SUM(N70:N89)</f>
        <v>0</v>
      </c>
      <c r="O102" s="136">
        <f>SUM(O70:O101)</f>
        <v>101.38</v>
      </c>
      <c r="P102" s="136">
        <f>SUM(P70:P89)</f>
        <v>0</v>
      </c>
      <c r="Q102" s="136">
        <f>SUM(Q70:Q89)</f>
        <v>0</v>
      </c>
      <c r="R102" s="136">
        <f>SUM(R70:R89)</f>
        <v>0</v>
      </c>
      <c r="S102" s="135"/>
    </row>
    <row r="103" spans="2:19">
      <c r="J103" s="963" t="s">
        <v>262</v>
      </c>
      <c r="K103" s="963"/>
      <c r="L103" s="963"/>
      <c r="M103" s="133"/>
      <c r="N103" s="132">
        <v>0.22</v>
      </c>
      <c r="O103" s="132">
        <v>0.56000000000000005</v>
      </c>
      <c r="P103" s="134">
        <v>0.99399999999999999</v>
      </c>
      <c r="Q103" s="134">
        <v>1.552</v>
      </c>
      <c r="R103" s="134">
        <v>2.2349999999999999</v>
      </c>
      <c r="S103" s="133"/>
    </row>
    <row r="104" spans="2:19">
      <c r="J104" s="964" t="s">
        <v>261</v>
      </c>
      <c r="K104" s="964"/>
      <c r="L104" s="964"/>
      <c r="M104" s="132"/>
      <c r="N104" s="132">
        <f>N102*N103</f>
        <v>0</v>
      </c>
      <c r="O104" s="132">
        <f>O102*O103</f>
        <v>56.772800000000004</v>
      </c>
      <c r="P104" s="132">
        <f>P102*P103</f>
        <v>0</v>
      </c>
      <c r="Q104" s="132">
        <f>Q102*Q103</f>
        <v>0</v>
      </c>
      <c r="R104" s="132">
        <f>R102*R103</f>
        <v>0</v>
      </c>
      <c r="S104" s="132"/>
    </row>
    <row r="105" spans="2:19">
      <c r="J105" s="965" t="s">
        <v>260</v>
      </c>
      <c r="K105" s="966"/>
      <c r="L105" s="967"/>
      <c r="M105" s="968">
        <v>1</v>
      </c>
      <c r="N105" s="969"/>
      <c r="O105" s="969"/>
      <c r="P105" s="969"/>
      <c r="Q105" s="969"/>
      <c r="R105" s="969"/>
      <c r="S105" s="970"/>
    </row>
    <row r="106" spans="2:19">
      <c r="J106" s="965" t="s">
        <v>259</v>
      </c>
      <c r="K106" s="966"/>
      <c r="L106" s="967"/>
      <c r="M106" s="971">
        <f>SUM(N104:S104)*M105</f>
        <v>56.772800000000004</v>
      </c>
      <c r="N106" s="972"/>
      <c r="O106" s="972"/>
      <c r="P106" s="972"/>
      <c r="Q106" s="972"/>
      <c r="R106" s="972"/>
      <c r="S106" s="973"/>
    </row>
    <row r="109" spans="2:19" ht="18">
      <c r="B109" s="1001" t="s">
        <v>283</v>
      </c>
      <c r="C109" s="1001"/>
      <c r="D109" s="1001"/>
      <c r="E109" s="1001"/>
      <c r="F109" s="1001"/>
      <c r="G109" s="1001"/>
      <c r="H109" s="1001"/>
      <c r="I109" s="1001"/>
      <c r="J109" s="1001"/>
      <c r="K109" s="1001"/>
      <c r="L109" s="1001"/>
      <c r="M109" s="1001"/>
      <c r="N109" s="1001"/>
      <c r="O109" s="1001"/>
      <c r="P109" s="1002"/>
      <c r="Q109" s="1002"/>
      <c r="R109" s="1002"/>
      <c r="S109" s="1002"/>
    </row>
    <row r="110" spans="2:19">
      <c r="B110" s="1003" t="s">
        <v>282</v>
      </c>
      <c r="C110" s="1004"/>
      <c r="D110" s="1038" t="s">
        <v>1086</v>
      </c>
      <c r="E110" s="1004"/>
      <c r="F110" s="1004"/>
      <c r="G110" s="1004"/>
      <c r="H110" s="1004"/>
      <c r="I110" s="1004"/>
      <c r="J110" s="1004"/>
      <c r="K110" s="1004"/>
      <c r="L110" s="1004"/>
      <c r="M110" s="1004"/>
      <c r="N110" s="1004"/>
      <c r="O110" s="1005"/>
      <c r="P110" s="1006" t="s">
        <v>281</v>
      </c>
      <c r="Q110" s="1007"/>
      <c r="R110" s="1007"/>
      <c r="S110" s="1008"/>
    </row>
    <row r="111" spans="2:19">
      <c r="B111" s="1004"/>
      <c r="C111" s="1004"/>
      <c r="D111" s="1004"/>
      <c r="E111" s="1004"/>
      <c r="F111" s="1004"/>
      <c r="G111" s="1004"/>
      <c r="H111" s="1004"/>
      <c r="I111" s="1004"/>
      <c r="J111" s="1004"/>
      <c r="K111" s="1004"/>
      <c r="L111" s="1004"/>
      <c r="M111" s="1004"/>
      <c r="N111" s="1004"/>
      <c r="O111" s="1005"/>
      <c r="P111" s="996" t="s">
        <v>503</v>
      </c>
      <c r="Q111" s="997"/>
      <c r="R111" s="997"/>
      <c r="S111" s="998"/>
    </row>
    <row r="112" spans="2:19" ht="29.25" customHeight="1">
      <c r="B112" s="1004"/>
      <c r="C112" s="1004"/>
      <c r="D112" s="1004"/>
      <c r="E112" s="1004"/>
      <c r="F112" s="1004"/>
      <c r="G112" s="1004"/>
      <c r="H112" s="1004"/>
      <c r="I112" s="1004"/>
      <c r="J112" s="1004"/>
      <c r="K112" s="1004"/>
      <c r="L112" s="1004"/>
      <c r="M112" s="1004"/>
      <c r="N112" s="1004"/>
      <c r="O112" s="1004"/>
      <c r="P112" s="999" t="s">
        <v>419</v>
      </c>
      <c r="Q112" s="999"/>
      <c r="R112" s="999"/>
      <c r="S112" s="999"/>
    </row>
    <row r="113" spans="2:19">
      <c r="B113" s="974" t="s">
        <v>278</v>
      </c>
      <c r="C113" s="976" t="s">
        <v>2</v>
      </c>
      <c r="D113" s="976" t="s">
        <v>277</v>
      </c>
      <c r="E113" s="978"/>
      <c r="F113" s="978"/>
      <c r="G113" s="978"/>
      <c r="H113" s="978"/>
      <c r="I113" s="979"/>
      <c r="J113" s="982" t="s">
        <v>276</v>
      </c>
      <c r="K113" s="982" t="s">
        <v>275</v>
      </c>
      <c r="L113" s="982" t="s">
        <v>274</v>
      </c>
      <c r="M113" s="1009" t="s">
        <v>273</v>
      </c>
      <c r="N113" s="988" t="s">
        <v>272</v>
      </c>
      <c r="O113" s="989"/>
      <c r="P113" s="989"/>
      <c r="Q113" s="989"/>
      <c r="R113" s="990"/>
      <c r="S113" s="991" t="s">
        <v>271</v>
      </c>
    </row>
    <row r="114" spans="2:19" ht="15.75" thickBot="1">
      <c r="B114" s="975"/>
      <c r="C114" s="977"/>
      <c r="D114" s="977"/>
      <c r="E114" s="980"/>
      <c r="F114" s="980"/>
      <c r="G114" s="980"/>
      <c r="H114" s="980"/>
      <c r="I114" s="981"/>
      <c r="J114" s="983"/>
      <c r="K114" s="983"/>
      <c r="L114" s="983" t="s">
        <v>270</v>
      </c>
      <c r="M114" s="1010" t="s">
        <v>270</v>
      </c>
      <c r="N114" s="164">
        <v>0.25</v>
      </c>
      <c r="O114" s="163">
        <v>0.375</v>
      </c>
      <c r="P114" s="163">
        <v>0.5</v>
      </c>
      <c r="Q114" s="163">
        <v>0.625</v>
      </c>
      <c r="R114" s="163">
        <v>0.75</v>
      </c>
      <c r="S114" s="992"/>
    </row>
    <row r="115" spans="2:19">
      <c r="B115" s="155"/>
      <c r="C115" s="993" t="s">
        <v>502</v>
      </c>
      <c r="D115" s="159"/>
      <c r="E115" s="160"/>
      <c r="F115" s="987"/>
      <c r="G115" s="987"/>
      <c r="H115" s="160"/>
      <c r="I115" s="15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7"/>
    </row>
    <row r="116" spans="2:19">
      <c r="B116" s="155"/>
      <c r="C116" s="993"/>
      <c r="D116" s="159"/>
      <c r="E116" s="418">
        <v>0.15</v>
      </c>
      <c r="F116" s="410">
        <v>0.73</v>
      </c>
      <c r="G116" s="153"/>
      <c r="H116" s="160"/>
      <c r="I116" s="15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7"/>
    </row>
    <row r="117" spans="2:19">
      <c r="B117" s="155">
        <v>1</v>
      </c>
      <c r="C117" s="993"/>
      <c r="D117" s="159"/>
      <c r="E117" s="151"/>
      <c r="F117" s="1037"/>
      <c r="G117" s="1037"/>
      <c r="H117" s="160"/>
      <c r="I117" s="417"/>
      <c r="J117" s="157">
        <v>0.375</v>
      </c>
      <c r="K117" s="156">
        <f>SUM(D115:I119)</f>
        <v>1.76</v>
      </c>
      <c r="L117" s="156">
        <v>4</v>
      </c>
      <c r="M117" s="156">
        <v>1</v>
      </c>
      <c r="N117" s="156" t="str">
        <f>IF(J117=1/4,L117*K117*M117,"-")</f>
        <v>-</v>
      </c>
      <c r="O117" s="156">
        <f>IF(J117=3/8,K117*L117*M117,"-")</f>
        <v>7.04</v>
      </c>
      <c r="P117" s="156" t="str">
        <f>IF(J117=1/2,L117*K117*M117,"-")</f>
        <v>-</v>
      </c>
      <c r="Q117" s="156" t="str">
        <f>IF(J117=5/8,L117*K117*M117,"-")</f>
        <v>-</v>
      </c>
      <c r="R117" s="156" t="str">
        <f>IF(J117=3/4,K117*L117,"-")</f>
        <v>-</v>
      </c>
      <c r="S117" s="147"/>
    </row>
    <row r="118" spans="2:19">
      <c r="B118" s="155"/>
      <c r="C118" s="994"/>
      <c r="D118" s="154"/>
      <c r="E118" s="161">
        <v>0.15</v>
      </c>
      <c r="F118" s="161">
        <v>0.73</v>
      </c>
      <c r="G118" s="151"/>
      <c r="H118" s="150"/>
      <c r="I118" s="150"/>
      <c r="J118" s="148"/>
      <c r="K118" s="149"/>
      <c r="L118" s="148"/>
      <c r="M118" s="149"/>
      <c r="N118" s="148"/>
      <c r="O118" s="149"/>
      <c r="P118" s="148"/>
      <c r="Q118" s="149"/>
      <c r="R118" s="148"/>
      <c r="S118" s="147"/>
    </row>
    <row r="119" spans="2:19">
      <c r="B119" s="146"/>
      <c r="C119" s="995"/>
      <c r="D119" s="145"/>
      <c r="E119" s="144"/>
      <c r="F119" s="143"/>
      <c r="G119" s="143"/>
      <c r="H119" s="142"/>
      <c r="I119" s="141"/>
      <c r="J119" s="140"/>
      <c r="K119" s="140"/>
      <c r="L119" s="140"/>
      <c r="M119" s="140"/>
      <c r="N119" s="140"/>
      <c r="O119" s="140"/>
      <c r="P119" s="140"/>
      <c r="Q119" s="140"/>
      <c r="R119" s="140"/>
      <c r="S119" s="139"/>
    </row>
    <row r="120" spans="2:19">
      <c r="B120" s="155"/>
      <c r="C120" s="993" t="s">
        <v>501</v>
      </c>
      <c r="D120" s="159"/>
      <c r="E120" s="160"/>
      <c r="F120" s="987"/>
      <c r="G120" s="987"/>
      <c r="H120" s="160"/>
      <c r="I120" s="15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7"/>
    </row>
    <row r="121" spans="2:19">
      <c r="B121" s="155"/>
      <c r="C121" s="993"/>
      <c r="D121" s="159"/>
      <c r="E121" s="160"/>
      <c r="F121" s="153">
        <v>0.15</v>
      </c>
      <c r="G121" s="153"/>
      <c r="H121" s="160"/>
      <c r="I121" s="15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7"/>
    </row>
    <row r="122" spans="2:19">
      <c r="B122" s="155">
        <v>2</v>
      </c>
      <c r="C122" s="994"/>
      <c r="D122" s="154"/>
      <c r="E122" s="151"/>
      <c r="F122" s="1044">
        <v>1.04</v>
      </c>
      <c r="G122" s="153"/>
      <c r="H122" s="150"/>
      <c r="I122" s="165"/>
      <c r="J122" s="157">
        <v>0.375</v>
      </c>
      <c r="K122" s="156">
        <f>SUM(D120:I125)</f>
        <v>1.3399999999999999</v>
      </c>
      <c r="L122" s="156">
        <v>4</v>
      </c>
      <c r="M122" s="156">
        <v>1</v>
      </c>
      <c r="N122" s="156" t="str">
        <f>IF(J122=1/4,L122*K122*M122,"-")</f>
        <v>-</v>
      </c>
      <c r="O122" s="156">
        <f>IF(J122=3/8,K122*L122*M122,"-")</f>
        <v>5.3599999999999994</v>
      </c>
      <c r="P122" s="156" t="str">
        <f>IF(J122=1/2,L122*K122*M122,"-")</f>
        <v>-</v>
      </c>
      <c r="Q122" s="156" t="str">
        <f>IF(J122=5/8,L122*K122*M122,"-")</f>
        <v>-</v>
      </c>
      <c r="R122" s="156" t="str">
        <f>IF(J122=3/4,K122*L122,"-")</f>
        <v>-</v>
      </c>
      <c r="S122" s="147"/>
    </row>
    <row r="123" spans="2:19">
      <c r="B123" s="155"/>
      <c r="C123" s="994"/>
      <c r="D123" s="154"/>
      <c r="E123" s="151"/>
      <c r="F123" s="1044"/>
      <c r="G123" s="153"/>
      <c r="H123" s="150"/>
      <c r="I123" s="165"/>
      <c r="J123" s="157"/>
      <c r="K123" s="156"/>
      <c r="L123" s="156"/>
      <c r="M123" s="156"/>
      <c r="N123" s="156"/>
      <c r="O123" s="156"/>
      <c r="P123" s="156"/>
      <c r="Q123" s="156"/>
      <c r="R123" s="156"/>
      <c r="S123" s="147"/>
    </row>
    <row r="124" spans="2:19">
      <c r="B124" s="155"/>
      <c r="C124" s="994"/>
      <c r="D124" s="154"/>
      <c r="E124" s="416"/>
      <c r="F124" s="153">
        <v>0.15</v>
      </c>
      <c r="G124" s="151"/>
      <c r="H124" s="415"/>
      <c r="I124" s="414"/>
      <c r="J124" s="157"/>
      <c r="K124" s="156"/>
      <c r="L124" s="156"/>
      <c r="M124" s="156"/>
      <c r="N124" s="156"/>
      <c r="O124" s="156"/>
      <c r="P124" s="156"/>
      <c r="Q124" s="156"/>
      <c r="R124" s="156"/>
      <c r="S124" s="147"/>
    </row>
    <row r="125" spans="2:19">
      <c r="B125" s="146"/>
      <c r="C125" s="995"/>
      <c r="D125" s="145"/>
      <c r="E125" s="144"/>
      <c r="F125" s="143"/>
      <c r="G125" s="143"/>
      <c r="H125" s="142"/>
      <c r="I125" s="141"/>
      <c r="J125" s="140"/>
      <c r="K125" s="140"/>
      <c r="L125" s="140"/>
      <c r="M125" s="140"/>
      <c r="N125" s="140"/>
      <c r="O125" s="140"/>
      <c r="P125" s="140"/>
      <c r="Q125" s="140"/>
      <c r="R125" s="140"/>
      <c r="S125" s="139"/>
    </row>
    <row r="126" spans="2:19">
      <c r="B126" s="155"/>
      <c r="C126" s="993" t="s">
        <v>500</v>
      </c>
      <c r="D126" s="159"/>
      <c r="E126" s="160"/>
      <c r="F126" s="987"/>
      <c r="G126" s="987"/>
      <c r="H126" s="160"/>
      <c r="I126" s="15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7"/>
    </row>
    <row r="127" spans="2:19">
      <c r="B127" s="155"/>
      <c r="C127" s="993"/>
      <c r="D127" s="159"/>
      <c r="E127" s="160"/>
      <c r="F127" s="153">
        <v>0.15</v>
      </c>
      <c r="G127" s="153"/>
      <c r="H127" s="160"/>
      <c r="I127" s="15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7"/>
    </row>
    <row r="128" spans="2:19">
      <c r="B128" s="155">
        <v>3</v>
      </c>
      <c r="C128" s="993"/>
      <c r="D128" s="159"/>
      <c r="E128" s="151"/>
      <c r="F128" s="1044">
        <v>1.04</v>
      </c>
      <c r="G128" s="153"/>
      <c r="H128" s="160"/>
      <c r="I128" s="417"/>
      <c r="J128" s="157">
        <v>0.375</v>
      </c>
      <c r="K128" s="156">
        <f>SUM(D126:I131)</f>
        <v>1.3399999999999999</v>
      </c>
      <c r="L128" s="156">
        <v>12</v>
      </c>
      <c r="M128" s="156">
        <v>1</v>
      </c>
      <c r="N128" s="156" t="str">
        <f>IF(J128=1/4,L128*K128*M128,"-")</f>
        <v>-</v>
      </c>
      <c r="O128" s="156">
        <f>IF(J128=3/8,K128*L128*M128,"-")</f>
        <v>16.079999999999998</v>
      </c>
      <c r="P128" s="156" t="str">
        <f>IF(J128=1/2,L128*K128*M128,"-")</f>
        <v>-</v>
      </c>
      <c r="Q128" s="156" t="str">
        <f>IF(J128=5/8,L128*K128*M128,"-")</f>
        <v>-</v>
      </c>
      <c r="R128" s="156" t="str">
        <f>IF(J128=3/4,K128*L128,"-")</f>
        <v>-</v>
      </c>
      <c r="S128" s="147"/>
    </row>
    <row r="129" spans="2:19">
      <c r="B129" s="155"/>
      <c r="C129" s="993"/>
      <c r="D129" s="159"/>
      <c r="E129" s="151"/>
      <c r="F129" s="1044"/>
      <c r="G129" s="153"/>
      <c r="H129" s="150"/>
      <c r="I129" s="150"/>
      <c r="J129" s="157"/>
      <c r="K129" s="156"/>
      <c r="L129" s="156"/>
      <c r="M129" s="156"/>
      <c r="N129" s="156"/>
      <c r="O129" s="156"/>
      <c r="P129" s="156"/>
      <c r="Q129" s="156"/>
      <c r="R129" s="156"/>
      <c r="S129" s="147"/>
    </row>
    <row r="130" spans="2:19">
      <c r="B130" s="155"/>
      <c r="C130" s="993"/>
      <c r="D130" s="159"/>
      <c r="E130" s="151"/>
      <c r="F130" s="153">
        <v>0.15</v>
      </c>
      <c r="G130" s="151"/>
      <c r="H130" s="150"/>
      <c r="I130" s="150"/>
      <c r="J130" s="157"/>
      <c r="K130" s="156"/>
      <c r="L130" s="156"/>
      <c r="M130" s="156"/>
      <c r="N130" s="156"/>
      <c r="O130" s="156"/>
      <c r="P130" s="156"/>
      <c r="Q130" s="156"/>
      <c r="R130" s="156"/>
      <c r="S130" s="147"/>
    </row>
    <row r="131" spans="2:19">
      <c r="B131" s="146"/>
      <c r="C131" s="995"/>
      <c r="D131" s="145"/>
      <c r="E131" s="144"/>
      <c r="F131" s="143"/>
      <c r="G131" s="143"/>
      <c r="H131" s="142"/>
      <c r="I131" s="141"/>
      <c r="J131" s="140"/>
      <c r="K131" s="140"/>
      <c r="L131" s="140"/>
      <c r="M131" s="140"/>
      <c r="N131" s="140"/>
      <c r="O131" s="140"/>
      <c r="P131" s="140"/>
      <c r="Q131" s="140"/>
      <c r="R131" s="140"/>
      <c r="S131" s="139"/>
    </row>
    <row r="132" spans="2:19">
      <c r="B132" s="155"/>
      <c r="C132" s="993" t="s">
        <v>499</v>
      </c>
      <c r="D132" s="159"/>
      <c r="E132" s="160"/>
      <c r="F132" s="987"/>
      <c r="G132" s="987"/>
      <c r="H132" s="160"/>
      <c r="I132" s="15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7"/>
    </row>
    <row r="133" spans="2:19">
      <c r="B133" s="155"/>
      <c r="C133" s="993"/>
      <c r="D133" s="154"/>
      <c r="E133" s="151"/>
      <c r="F133" s="153">
        <v>0.73</v>
      </c>
      <c r="G133" s="153"/>
      <c r="H133" s="150"/>
      <c r="I133" s="165"/>
      <c r="J133" s="148"/>
      <c r="K133" s="148"/>
      <c r="L133" s="148"/>
      <c r="M133" s="148"/>
      <c r="N133" s="148"/>
      <c r="O133" s="148"/>
      <c r="P133" s="148"/>
      <c r="Q133" s="148"/>
      <c r="R133" s="148"/>
      <c r="S133" s="147"/>
    </row>
    <row r="134" spans="2:19">
      <c r="B134" s="155">
        <v>4</v>
      </c>
      <c r="C134" s="993"/>
      <c r="D134" s="154"/>
      <c r="E134" s="416"/>
      <c r="F134" s="1042"/>
      <c r="G134" s="151"/>
      <c r="H134" s="415"/>
      <c r="I134" s="414"/>
      <c r="J134" s="157">
        <v>0.375</v>
      </c>
      <c r="K134" s="156">
        <f>SUM(D132:I137)</f>
        <v>0.88</v>
      </c>
      <c r="L134" s="156">
        <v>6</v>
      </c>
      <c r="M134" s="156">
        <v>1</v>
      </c>
      <c r="N134" s="156" t="str">
        <f>IF(J134=1/4,L134*K134*M134,"-")</f>
        <v>-</v>
      </c>
      <c r="O134" s="156">
        <f>IF(J134=3/8,K134*L134*M134,"-")</f>
        <v>5.28</v>
      </c>
      <c r="P134" s="156" t="str">
        <f>IF(J134=1/2,L134*K134*M134,"-")</f>
        <v>-</v>
      </c>
      <c r="Q134" s="156" t="str">
        <f>IF(J134=5/8,L134*K134*M134,"-")</f>
        <v>-</v>
      </c>
      <c r="R134" s="156" t="str">
        <f>IF(J134=3/4,K134*L134,"-")</f>
        <v>-</v>
      </c>
      <c r="S134" s="147"/>
    </row>
    <row r="135" spans="2:19">
      <c r="B135" s="155"/>
      <c r="C135" s="993"/>
      <c r="D135" s="413"/>
      <c r="E135" s="153">
        <v>0.15</v>
      </c>
      <c r="F135" s="1042"/>
      <c r="G135" s="153"/>
      <c r="H135" s="150"/>
      <c r="I135" s="165"/>
      <c r="J135" s="157"/>
      <c r="K135" s="156"/>
      <c r="L135" s="156"/>
      <c r="M135" s="156"/>
      <c r="N135" s="156"/>
      <c r="O135" s="156"/>
      <c r="P135" s="156"/>
      <c r="Q135" s="156"/>
      <c r="R135" s="156"/>
      <c r="S135" s="147"/>
    </row>
    <row r="136" spans="2:19">
      <c r="B136" s="155"/>
      <c r="C136" s="994"/>
      <c r="D136" s="154"/>
      <c r="E136" s="412"/>
      <c r="F136" s="161"/>
      <c r="G136" s="151"/>
      <c r="H136" s="411"/>
      <c r="I136" s="165"/>
      <c r="J136" s="148"/>
      <c r="K136" s="149"/>
      <c r="L136" s="148"/>
      <c r="M136" s="149"/>
      <c r="N136" s="148"/>
      <c r="O136" s="149"/>
      <c r="P136" s="148"/>
      <c r="Q136" s="149"/>
      <c r="R136" s="148"/>
      <c r="S136" s="147"/>
    </row>
    <row r="137" spans="2:19">
      <c r="B137" s="146"/>
      <c r="C137" s="995"/>
      <c r="D137" s="145"/>
      <c r="E137" s="144"/>
      <c r="F137" s="143"/>
      <c r="G137" s="143"/>
      <c r="H137" s="142"/>
      <c r="I137" s="141"/>
      <c r="J137" s="140"/>
      <c r="K137" s="140"/>
      <c r="L137" s="140"/>
      <c r="M137" s="140"/>
      <c r="N137" s="140"/>
      <c r="O137" s="140"/>
      <c r="P137" s="140"/>
      <c r="Q137" s="140"/>
      <c r="R137" s="140"/>
      <c r="S137" s="139"/>
    </row>
    <row r="138" spans="2:19">
      <c r="B138" s="155"/>
      <c r="C138" s="993" t="s">
        <v>498</v>
      </c>
      <c r="D138" s="159"/>
      <c r="E138" s="160"/>
      <c r="F138" s="987"/>
      <c r="G138" s="987"/>
      <c r="H138" s="160"/>
      <c r="I138" s="15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7"/>
    </row>
    <row r="139" spans="2:19">
      <c r="B139" s="155"/>
      <c r="C139" s="993"/>
      <c r="D139" s="159"/>
      <c r="E139" s="160"/>
      <c r="F139" s="410">
        <v>0.15</v>
      </c>
      <c r="G139" s="153"/>
      <c r="H139" s="160"/>
      <c r="I139" s="15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7"/>
    </row>
    <row r="140" spans="2:19">
      <c r="B140" s="155"/>
      <c r="C140" s="993"/>
      <c r="D140" s="409"/>
      <c r="E140" s="160"/>
      <c r="F140" s="1042">
        <v>1.04</v>
      </c>
      <c r="G140" s="151"/>
      <c r="H140" s="160"/>
      <c r="I140" s="40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7"/>
    </row>
    <row r="141" spans="2:19">
      <c r="B141" s="155">
        <v>5</v>
      </c>
      <c r="C141" s="993"/>
      <c r="D141" s="159"/>
      <c r="E141" s="407"/>
      <c r="F141" s="1042"/>
      <c r="G141" s="151"/>
      <c r="H141" s="406"/>
      <c r="I141" s="158"/>
      <c r="J141" s="157">
        <v>0.375</v>
      </c>
      <c r="K141" s="156">
        <f>SUM(D138:I143)</f>
        <v>1.3399999999999999</v>
      </c>
      <c r="L141" s="156">
        <v>4</v>
      </c>
      <c r="M141" s="156">
        <v>1</v>
      </c>
      <c r="N141" s="156" t="str">
        <f>IF(J141=1/4,L141*K141*M141,"-")</f>
        <v>-</v>
      </c>
      <c r="O141" s="156">
        <f>IF(J141=3/8,K141*L141*M141,"-")</f>
        <v>5.3599999999999994</v>
      </c>
      <c r="P141" s="156" t="str">
        <f>IF(J141=1/2,L141*K141*M141,"-")</f>
        <v>-</v>
      </c>
      <c r="Q141" s="156" t="str">
        <f>IF(J141=5/8,L141*K141*M141,"-")</f>
        <v>-</v>
      </c>
      <c r="R141" s="156" t="str">
        <f>IF(J141=3/4,K141*L141,"-")</f>
        <v>-</v>
      </c>
      <c r="S141" s="147"/>
    </row>
    <row r="142" spans="2:19">
      <c r="B142" s="155"/>
      <c r="C142" s="993"/>
      <c r="D142" s="159"/>
      <c r="E142" s="407"/>
      <c r="F142" s="161">
        <v>0.15</v>
      </c>
      <c r="G142" s="151"/>
      <c r="H142" s="406"/>
      <c r="I142" s="158"/>
      <c r="J142" s="157"/>
      <c r="K142" s="156"/>
      <c r="L142" s="156"/>
      <c r="M142" s="156"/>
      <c r="N142" s="156"/>
      <c r="O142" s="156"/>
      <c r="P142" s="156"/>
      <c r="Q142" s="156"/>
      <c r="R142" s="156"/>
      <c r="S142" s="147"/>
    </row>
    <row r="143" spans="2:19">
      <c r="B143" s="146"/>
      <c r="C143" s="995"/>
      <c r="D143" s="145"/>
      <c r="E143" s="144"/>
      <c r="F143" s="143"/>
      <c r="G143" s="143"/>
      <c r="H143" s="142"/>
      <c r="I143" s="141"/>
      <c r="J143" s="140"/>
      <c r="K143" s="140"/>
      <c r="L143" s="140"/>
      <c r="M143" s="140"/>
      <c r="N143" s="140"/>
      <c r="O143" s="140"/>
      <c r="P143" s="140"/>
      <c r="Q143" s="140"/>
      <c r="R143" s="140"/>
      <c r="S143" s="139"/>
    </row>
    <row r="144" spans="2:19" ht="15.75" thickBot="1">
      <c r="B144" s="138"/>
      <c r="C144" s="137"/>
      <c r="D144" s="137"/>
      <c r="E144" s="137"/>
      <c r="F144" s="137"/>
      <c r="G144" s="137"/>
      <c r="H144" s="137"/>
      <c r="I144" s="137"/>
      <c r="J144" s="984" t="s">
        <v>263</v>
      </c>
      <c r="K144" s="985"/>
      <c r="L144" s="986"/>
      <c r="M144" s="136"/>
      <c r="N144" s="136">
        <f>SUM(N115:N137)</f>
        <v>0</v>
      </c>
      <c r="O144" s="136">
        <f>SUM(O115:O143)</f>
        <v>39.119999999999997</v>
      </c>
      <c r="P144" s="136">
        <f>SUM(P115:P137)</f>
        <v>0</v>
      </c>
      <c r="Q144" s="136">
        <f>SUM(Q115:Q137)</f>
        <v>0</v>
      </c>
      <c r="R144" s="136">
        <f>SUM(R115:R137)</f>
        <v>0</v>
      </c>
      <c r="S144" s="135"/>
    </row>
    <row r="145" spans="10:19">
      <c r="J145" s="963" t="s">
        <v>262</v>
      </c>
      <c r="K145" s="963"/>
      <c r="L145" s="963"/>
      <c r="M145" s="133"/>
      <c r="N145" s="132">
        <v>0.22</v>
      </c>
      <c r="O145" s="132">
        <v>0.56000000000000005</v>
      </c>
      <c r="P145" s="134">
        <v>0.99399999999999999</v>
      </c>
      <c r="Q145" s="134">
        <v>1.552</v>
      </c>
      <c r="R145" s="134">
        <v>2.2349999999999999</v>
      </c>
      <c r="S145" s="133"/>
    </row>
    <row r="146" spans="10:19">
      <c r="J146" s="964" t="s">
        <v>261</v>
      </c>
      <c r="K146" s="964"/>
      <c r="L146" s="964"/>
      <c r="M146" s="132"/>
      <c r="N146" s="132">
        <f>N144*N145</f>
        <v>0</v>
      </c>
      <c r="O146" s="132">
        <f>O144*O145</f>
        <v>21.9072</v>
      </c>
      <c r="P146" s="132">
        <f>P144*P145</f>
        <v>0</v>
      </c>
      <c r="Q146" s="132">
        <f>Q144*Q145</f>
        <v>0</v>
      </c>
      <c r="R146" s="132">
        <f>R144*R145</f>
        <v>0</v>
      </c>
      <c r="S146" s="132"/>
    </row>
    <row r="147" spans="10:19">
      <c r="J147" s="965" t="s">
        <v>260</v>
      </c>
      <c r="K147" s="966"/>
      <c r="L147" s="967"/>
      <c r="M147" s="968">
        <v>1</v>
      </c>
      <c r="N147" s="969"/>
      <c r="O147" s="969"/>
      <c r="P147" s="969"/>
      <c r="Q147" s="969"/>
      <c r="R147" s="969"/>
      <c r="S147" s="970"/>
    </row>
    <row r="148" spans="10:19">
      <c r="J148" s="965" t="s">
        <v>259</v>
      </c>
      <c r="K148" s="966"/>
      <c r="L148" s="967"/>
      <c r="M148" s="971">
        <f>SUM(N146:S146)*M147</f>
        <v>21.9072</v>
      </c>
      <c r="N148" s="972"/>
      <c r="O148" s="972"/>
      <c r="P148" s="972"/>
      <c r="Q148" s="972"/>
      <c r="R148" s="972"/>
      <c r="S148" s="973"/>
    </row>
  </sheetData>
  <mergeCells count="126">
    <mergeCell ref="J147:L147"/>
    <mergeCell ref="M147:S147"/>
    <mergeCell ref="J148:L148"/>
    <mergeCell ref="M148:S148"/>
    <mergeCell ref="J144:L144"/>
    <mergeCell ref="C126:C131"/>
    <mergeCell ref="F126:G126"/>
    <mergeCell ref="C132:C137"/>
    <mergeCell ref="F132:G132"/>
    <mergeCell ref="F134:F135"/>
    <mergeCell ref="F128:F129"/>
    <mergeCell ref="J145:L145"/>
    <mergeCell ref="J146:L146"/>
    <mergeCell ref="C115:C119"/>
    <mergeCell ref="F115:G115"/>
    <mergeCell ref="F117:G117"/>
    <mergeCell ref="C120:C125"/>
    <mergeCell ref="F120:G120"/>
    <mergeCell ref="F122:F123"/>
    <mergeCell ref="C138:C143"/>
    <mergeCell ref="F138:G138"/>
    <mergeCell ref="F140:F141"/>
    <mergeCell ref="B113:B114"/>
    <mergeCell ref="C113:C114"/>
    <mergeCell ref="D113:I114"/>
    <mergeCell ref="J113:J114"/>
    <mergeCell ref="K113:K114"/>
    <mergeCell ref="L113:L114"/>
    <mergeCell ref="M113:M114"/>
    <mergeCell ref="N113:R113"/>
    <mergeCell ref="S113:S114"/>
    <mergeCell ref="B109:S109"/>
    <mergeCell ref="B110:C112"/>
    <mergeCell ref="D110:O112"/>
    <mergeCell ref="P110:S110"/>
    <mergeCell ref="C90:C95"/>
    <mergeCell ref="F90:G90"/>
    <mergeCell ref="C96:C101"/>
    <mergeCell ref="F97:G97"/>
    <mergeCell ref="J104:L104"/>
    <mergeCell ref="J105:L105"/>
    <mergeCell ref="P111:S111"/>
    <mergeCell ref="P112:S112"/>
    <mergeCell ref="C70:C74"/>
    <mergeCell ref="F70:G70"/>
    <mergeCell ref="F72:G72"/>
    <mergeCell ref="M105:S105"/>
    <mergeCell ref="J106:L106"/>
    <mergeCell ref="M106:S106"/>
    <mergeCell ref="F86:F87"/>
    <mergeCell ref="F92:F93"/>
    <mergeCell ref="J102:L102"/>
    <mergeCell ref="J103:L103"/>
    <mergeCell ref="C75:C78"/>
    <mergeCell ref="F75:G75"/>
    <mergeCell ref="C79:C83"/>
    <mergeCell ref="F79:G79"/>
    <mergeCell ref="F81:G81"/>
    <mergeCell ref="C84:C89"/>
    <mergeCell ref="F84:G84"/>
    <mergeCell ref="B64:S64"/>
    <mergeCell ref="B65:C67"/>
    <mergeCell ref="D65:O67"/>
    <mergeCell ref="P65:S65"/>
    <mergeCell ref="P66:S66"/>
    <mergeCell ref="P67:S67"/>
    <mergeCell ref="M60:S60"/>
    <mergeCell ref="J61:L61"/>
    <mergeCell ref="B68:B69"/>
    <mergeCell ref="C68:C69"/>
    <mergeCell ref="D68:I69"/>
    <mergeCell ref="J68:J69"/>
    <mergeCell ref="K68:K69"/>
    <mergeCell ref="L68:L69"/>
    <mergeCell ref="M68:M69"/>
    <mergeCell ref="N68:R68"/>
    <mergeCell ref="S68:S69"/>
    <mergeCell ref="M61:S61"/>
    <mergeCell ref="F19:G19"/>
    <mergeCell ref="C43:C46"/>
    <mergeCell ref="F43:G43"/>
    <mergeCell ref="F44:G44"/>
    <mergeCell ref="F45:G45"/>
    <mergeCell ref="C47:C51"/>
    <mergeCell ref="F47:G47"/>
    <mergeCell ref="F48:G48"/>
    <mergeCell ref="F49:G49"/>
    <mergeCell ref="J59:L59"/>
    <mergeCell ref="J60:L60"/>
    <mergeCell ref="C13:C18"/>
    <mergeCell ref="F13:G13"/>
    <mergeCell ref="B6:B7"/>
    <mergeCell ref="C6:C7"/>
    <mergeCell ref="D6:I7"/>
    <mergeCell ref="C24:C29"/>
    <mergeCell ref="F24:G24"/>
    <mergeCell ref="C35:C42"/>
    <mergeCell ref="F36:G36"/>
    <mergeCell ref="C30:C34"/>
    <mergeCell ref="F30:G30"/>
    <mergeCell ref="F31:G31"/>
    <mergeCell ref="F32:G32"/>
    <mergeCell ref="F33:G33"/>
    <mergeCell ref="F21:G21"/>
    <mergeCell ref="C52:C56"/>
    <mergeCell ref="F52:G52"/>
    <mergeCell ref="F53:G53"/>
    <mergeCell ref="F54:G54"/>
    <mergeCell ref="J57:L57"/>
    <mergeCell ref="J58:L58"/>
    <mergeCell ref="C19:C23"/>
    <mergeCell ref="N6:R6"/>
    <mergeCell ref="S6:S7"/>
    <mergeCell ref="L6:L7"/>
    <mergeCell ref="J6:J7"/>
    <mergeCell ref="K6:K7"/>
    <mergeCell ref="F10:G10"/>
    <mergeCell ref="B2:S2"/>
    <mergeCell ref="B3:C5"/>
    <mergeCell ref="D3:O5"/>
    <mergeCell ref="P3:S3"/>
    <mergeCell ref="P4:S4"/>
    <mergeCell ref="P5:S5"/>
    <mergeCell ref="M6:M7"/>
    <mergeCell ref="C8:C12"/>
    <mergeCell ref="F8:G8"/>
  </mergeCells>
  <pageMargins left="0.70866141732283472" right="0.70866141732283472" top="0.74803149606299213" bottom="0.74803149606299213" header="0.31496062992125984" footer="0.31496062992125984"/>
  <pageSetup scale="70" fitToHeight="0" orientation="landscape" r:id="rId1"/>
  <rowBreaks count="3" manualBreakCount="3">
    <brk id="52" max="19" man="1"/>
    <brk id="95" max="19" man="1"/>
    <brk id="131" max="19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F50F1-C8D4-4B3E-B40D-9B7294915798}">
  <sheetPr codeName="Hoja7">
    <tabColor theme="4" tint="0.79998168889431442"/>
  </sheetPr>
  <dimension ref="A1:HR133"/>
  <sheetViews>
    <sheetView showGridLines="0" view="pageBreakPreview" topLeftCell="A7" zoomScale="85" zoomScaleNormal="85" zoomScaleSheetLayoutView="85" zoomScalePageLayoutView="85" workbookViewId="0">
      <selection activeCell="F18" sqref="F18"/>
    </sheetView>
  </sheetViews>
  <sheetFormatPr baseColWidth="10" defaultColWidth="13.33203125" defaultRowHeight="11.25"/>
  <cols>
    <col min="1" max="1" width="13.5" style="169" customWidth="1"/>
    <col min="2" max="2" width="100.6640625" style="168" customWidth="1"/>
    <col min="3" max="3" width="10.83203125" style="168" customWidth="1"/>
    <col min="4" max="9" width="12.5" style="168" customWidth="1"/>
    <col min="10" max="16384" width="13.33203125" style="168"/>
  </cols>
  <sheetData>
    <row r="1" spans="1:9" ht="15" customHeight="1" thickBot="1">
      <c r="A1" s="1015"/>
      <c r="B1" s="1015"/>
      <c r="C1" s="1015"/>
      <c r="D1" s="1015"/>
      <c r="E1" s="1015"/>
      <c r="F1" s="1015"/>
      <c r="G1" s="1015"/>
      <c r="H1" s="1015"/>
      <c r="I1" s="1015"/>
    </row>
    <row r="2" spans="1:9" ht="15" customHeight="1">
      <c r="A2" s="1016" t="s">
        <v>334</v>
      </c>
      <c r="B2" s="1017"/>
      <c r="C2" s="1017"/>
      <c r="D2" s="1017"/>
      <c r="E2" s="1017"/>
      <c r="F2" s="1017"/>
      <c r="G2" s="1017"/>
      <c r="H2" s="1017"/>
      <c r="I2" s="1018"/>
    </row>
    <row r="3" spans="1:9" ht="57.6" customHeight="1">
      <c r="A3" s="1045" t="s">
        <v>1086</v>
      </c>
      <c r="B3" s="1046"/>
      <c r="C3" s="1046"/>
      <c r="D3" s="1046"/>
      <c r="E3" s="1046"/>
      <c r="F3" s="1046"/>
      <c r="G3" s="1046"/>
      <c r="H3" s="1046"/>
      <c r="I3" s="1047"/>
    </row>
    <row r="4" spans="1:9" ht="15" customHeight="1" thickBot="1">
      <c r="A4" s="1019" t="s">
        <v>517</v>
      </c>
      <c r="B4" s="1020"/>
      <c r="C4" s="1020"/>
      <c r="D4" s="1020"/>
      <c r="E4" s="1020"/>
      <c r="F4" s="1020"/>
      <c r="G4" s="1020"/>
      <c r="H4" s="1020"/>
      <c r="I4" s="1021"/>
    </row>
    <row r="5" spans="1:9" ht="15" customHeight="1" thickBot="1">
      <c r="A5" s="223"/>
      <c r="E5" s="222"/>
      <c r="G5" s="222"/>
      <c r="H5" s="221"/>
      <c r="I5" s="220"/>
    </row>
    <row r="6" spans="1:9" ht="15" customHeight="1">
      <c r="A6" s="223"/>
      <c r="B6" s="232" t="s">
        <v>332</v>
      </c>
      <c r="C6" s="231" t="str">
        <f>+C8&amp;" x "&amp;C7&amp;" m"</f>
        <v>0.5 x 0.7 m</v>
      </c>
      <c r="D6" s="230" t="s">
        <v>331</v>
      </c>
      <c r="E6" s="1013" t="s">
        <v>330</v>
      </c>
      <c r="F6" s="1014"/>
      <c r="G6" s="1014"/>
      <c r="H6" s="1014"/>
      <c r="I6" s="220"/>
    </row>
    <row r="7" spans="1:9" ht="15" customHeight="1">
      <c r="A7" s="223"/>
      <c r="B7" s="229" t="s">
        <v>329</v>
      </c>
      <c r="C7" s="228">
        <v>0.7</v>
      </c>
      <c r="D7" s="227" t="s">
        <v>0</v>
      </c>
      <c r="E7" s="1013"/>
      <c r="F7" s="1014"/>
      <c r="G7" s="1014"/>
      <c r="H7" s="221"/>
      <c r="I7" s="220"/>
    </row>
    <row r="8" spans="1:9" ht="15" customHeight="1">
      <c r="A8" s="223"/>
      <c r="B8" s="229" t="s">
        <v>328</v>
      </c>
      <c r="C8" s="228">
        <v>0.5</v>
      </c>
      <c r="D8" s="227" t="s">
        <v>0</v>
      </c>
      <c r="E8" s="222"/>
      <c r="F8" s="222"/>
      <c r="G8" s="222"/>
      <c r="H8" s="221"/>
      <c r="I8" s="220"/>
    </row>
    <row r="9" spans="1:9" ht="15" customHeight="1">
      <c r="A9" s="223"/>
      <c r="B9" s="229" t="s">
        <v>327</v>
      </c>
      <c r="C9" s="228">
        <v>0.1</v>
      </c>
      <c r="D9" s="227" t="s">
        <v>0</v>
      </c>
      <c r="E9" s="222"/>
      <c r="F9" s="222"/>
      <c r="G9" s="222"/>
      <c r="H9" s="221"/>
      <c r="I9" s="220"/>
    </row>
    <row r="10" spans="1:9" ht="15" customHeight="1" thickBot="1">
      <c r="A10" s="223"/>
      <c r="B10" s="226" t="s">
        <v>326</v>
      </c>
      <c r="C10" s="225">
        <f>C7-C9</f>
        <v>0.6</v>
      </c>
      <c r="D10" s="224" t="s">
        <v>0</v>
      </c>
      <c r="E10" s="222"/>
      <c r="F10" s="222"/>
      <c r="G10" s="222"/>
      <c r="H10" s="221"/>
      <c r="I10" s="220"/>
    </row>
    <row r="11" spans="1:9" ht="15" customHeight="1">
      <c r="A11" s="223"/>
      <c r="D11" s="222"/>
      <c r="E11" s="222"/>
      <c r="F11" s="222"/>
      <c r="G11" s="222"/>
      <c r="H11" s="221"/>
      <c r="I11" s="220"/>
    </row>
    <row r="12" spans="1:9" ht="15" customHeight="1" thickBot="1">
      <c r="A12" s="219" t="s">
        <v>1</v>
      </c>
      <c r="B12" s="217" t="s">
        <v>2</v>
      </c>
      <c r="C12" s="218" t="s">
        <v>325</v>
      </c>
      <c r="D12" s="217" t="s">
        <v>3</v>
      </c>
      <c r="E12" s="217" t="s">
        <v>324</v>
      </c>
      <c r="F12" s="217" t="s">
        <v>5</v>
      </c>
      <c r="G12" s="217" t="s">
        <v>6</v>
      </c>
      <c r="H12" s="217" t="s">
        <v>7</v>
      </c>
      <c r="I12" s="216" t="s">
        <v>8</v>
      </c>
    </row>
    <row r="13" spans="1:9" ht="15" customHeight="1" thickTop="1">
      <c r="A13" s="215" t="str">
        <f>+"01.05"</f>
        <v>01.05</v>
      </c>
      <c r="B13" s="214" t="str">
        <f>A4&amp;" L= "&amp;E17&amp;"m"</f>
        <v>LINEA DE ADUCCION L= 185.94m</v>
      </c>
      <c r="C13" s="213"/>
      <c r="D13" s="212"/>
      <c r="E13" s="211">
        <f>SUM(E14:E14)</f>
        <v>185.94</v>
      </c>
      <c r="F13" s="211"/>
      <c r="G13" s="211"/>
      <c r="H13" s="211"/>
      <c r="I13" s="210"/>
    </row>
    <row r="14" spans="1:9" ht="15" customHeight="1">
      <c r="A14" s="209"/>
      <c r="B14" s="184" t="s">
        <v>516</v>
      </c>
      <c r="C14" s="183" t="s">
        <v>307</v>
      </c>
      <c r="D14" s="183">
        <v>1</v>
      </c>
      <c r="E14" s="182">
        <v>185.94</v>
      </c>
      <c r="F14" s="182"/>
      <c r="G14" s="182"/>
      <c r="H14" s="182"/>
      <c r="I14" s="206"/>
    </row>
    <row r="15" spans="1:9" ht="15" customHeight="1">
      <c r="A15" s="209"/>
      <c r="B15" s="184"/>
      <c r="C15" s="183"/>
      <c r="D15" s="183"/>
      <c r="E15" s="182"/>
      <c r="F15" s="182"/>
      <c r="G15" s="182"/>
      <c r="H15" s="182"/>
      <c r="I15" s="206"/>
    </row>
    <row r="16" spans="1:9" s="170" customFormat="1" ht="15" customHeight="1">
      <c r="A16" s="190" t="str">
        <f>A$13 &amp; ".01"</f>
        <v>01.05.01</v>
      </c>
      <c r="B16" s="189" t="s">
        <v>107</v>
      </c>
      <c r="C16" s="188"/>
      <c r="D16" s="188"/>
      <c r="E16" s="187"/>
      <c r="F16" s="187"/>
      <c r="G16" s="187"/>
      <c r="H16" s="187"/>
      <c r="I16" s="186"/>
    </row>
    <row r="17" spans="1:226" s="170" customFormat="1" ht="15" customHeight="1">
      <c r="A17" s="208" t="str">
        <f>A$16 &amp; ".01"</f>
        <v>01.05.01.01</v>
      </c>
      <c r="B17" s="184" t="s">
        <v>322</v>
      </c>
      <c r="C17" s="183" t="s">
        <v>307</v>
      </c>
      <c r="D17" s="183">
        <v>1</v>
      </c>
      <c r="E17" s="182">
        <f>E13</f>
        <v>185.94</v>
      </c>
      <c r="F17" s="182"/>
      <c r="G17" s="182"/>
      <c r="H17" s="181">
        <f>+ROUND(PRODUCT(D17:G17),2)</f>
        <v>185.94</v>
      </c>
      <c r="I17" s="180">
        <f>+H17</f>
        <v>185.94</v>
      </c>
    </row>
    <row r="18" spans="1:226" s="170" customFormat="1" ht="15" customHeight="1">
      <c r="A18" s="208" t="str">
        <f>A$16 &amp; ".02"</f>
        <v>01.05.01.02</v>
      </c>
      <c r="B18" s="184" t="s">
        <v>321</v>
      </c>
      <c r="C18" s="183" t="s">
        <v>307</v>
      </c>
      <c r="D18" s="183">
        <v>1</v>
      </c>
      <c r="E18" s="182">
        <f>E13</f>
        <v>185.94</v>
      </c>
      <c r="F18" s="182"/>
      <c r="G18" s="182"/>
      <c r="H18" s="181">
        <f>+ROUND(PRODUCT(D18:G18),2)</f>
        <v>185.94</v>
      </c>
      <c r="I18" s="180">
        <f>+H18</f>
        <v>185.94</v>
      </c>
    </row>
    <row r="19" spans="1:226" s="170" customFormat="1" ht="15" customHeight="1">
      <c r="A19" s="208" t="str">
        <f>A$16 &amp; ".03"</f>
        <v>01.05.01.03</v>
      </c>
      <c r="B19" s="184" t="s">
        <v>515</v>
      </c>
      <c r="C19" s="183" t="s">
        <v>307</v>
      </c>
      <c r="D19" s="183">
        <v>1</v>
      </c>
      <c r="E19" s="182">
        <f>E13</f>
        <v>185.94</v>
      </c>
      <c r="F19" s="182"/>
      <c r="G19" s="182"/>
      <c r="H19" s="181">
        <f>+ROUND(PRODUCT(D19:G19),2)</f>
        <v>185.94</v>
      </c>
      <c r="I19" s="180">
        <f>+H19</f>
        <v>185.94</v>
      </c>
    </row>
    <row r="20" spans="1:226" s="170" customFormat="1" ht="15" customHeight="1">
      <c r="A20" s="207"/>
      <c r="B20" s="198"/>
      <c r="C20" s="196"/>
      <c r="D20" s="196"/>
      <c r="E20" s="195"/>
      <c r="F20" s="195"/>
      <c r="G20" s="195"/>
      <c r="H20" s="195"/>
      <c r="I20" s="206"/>
    </row>
    <row r="21" spans="1:226" s="170" customFormat="1" ht="15" customHeight="1">
      <c r="A21" s="190" t="str">
        <f>A$13 &amp; ".02"</f>
        <v>01.05.02</v>
      </c>
      <c r="B21" s="189" t="s">
        <v>101</v>
      </c>
      <c r="C21" s="188"/>
      <c r="D21" s="188"/>
      <c r="E21" s="187"/>
      <c r="F21" s="187"/>
      <c r="G21" s="187"/>
      <c r="H21" s="187"/>
      <c r="I21" s="186"/>
    </row>
    <row r="22" spans="1:226" s="204" customFormat="1" ht="13.5">
      <c r="A22" s="200" t="str">
        <f>$A$21 &amp; ".01"</f>
        <v>01.05.02.01</v>
      </c>
      <c r="B22" s="184" t="s">
        <v>319</v>
      </c>
      <c r="C22" s="183" t="s">
        <v>307</v>
      </c>
      <c r="D22" s="197">
        <v>1</v>
      </c>
      <c r="E22" s="193">
        <f>E14</f>
        <v>185.94</v>
      </c>
      <c r="F22" s="202"/>
      <c r="G22" s="202"/>
      <c r="H22" s="193">
        <f>+ROUND(PRODUCT(D22:G22),2)</f>
        <v>185.94</v>
      </c>
      <c r="I22" s="194">
        <f>+H22</f>
        <v>185.94</v>
      </c>
      <c r="J22" s="170"/>
      <c r="K22" s="170"/>
      <c r="L22" s="205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  <c r="AM22" s="170"/>
      <c r="AN22" s="170"/>
      <c r="AO22" s="170"/>
      <c r="AP22" s="170"/>
      <c r="AQ22" s="170"/>
      <c r="AR22" s="170"/>
      <c r="AS22" s="170"/>
      <c r="AT22" s="170"/>
      <c r="AU22" s="170"/>
      <c r="AV22" s="170"/>
      <c r="AW22" s="170"/>
      <c r="AX22" s="170"/>
      <c r="AY22" s="170"/>
      <c r="AZ22" s="170"/>
      <c r="BA22" s="170"/>
      <c r="BB22" s="170"/>
      <c r="BC22" s="170"/>
      <c r="BD22" s="170"/>
      <c r="BE22" s="170"/>
      <c r="BF22" s="170"/>
      <c r="BG22" s="170"/>
      <c r="BH22" s="170"/>
      <c r="BI22" s="170"/>
      <c r="BJ22" s="170"/>
      <c r="BK22" s="170"/>
      <c r="BL22" s="170"/>
      <c r="BM22" s="170"/>
      <c r="BN22" s="170"/>
      <c r="BO22" s="170"/>
      <c r="BP22" s="170"/>
      <c r="BQ22" s="170"/>
      <c r="BR22" s="170"/>
      <c r="BS22" s="170"/>
      <c r="BT22" s="170"/>
      <c r="BU22" s="170"/>
      <c r="BV22" s="170"/>
      <c r="BW22" s="170"/>
      <c r="BX22" s="170"/>
      <c r="BY22" s="170"/>
      <c r="BZ22" s="170"/>
      <c r="CA22" s="170"/>
      <c r="CB22" s="170"/>
      <c r="CC22" s="170"/>
      <c r="CD22" s="170"/>
      <c r="CE22" s="170"/>
      <c r="CF22" s="170"/>
      <c r="CG22" s="170"/>
      <c r="CH22" s="170"/>
      <c r="CI22" s="170"/>
      <c r="CJ22" s="170"/>
      <c r="CK22" s="170"/>
      <c r="CL22" s="170"/>
      <c r="CM22" s="170"/>
      <c r="CN22" s="170"/>
      <c r="CO22" s="170"/>
      <c r="CP22" s="170"/>
      <c r="CQ22" s="170"/>
      <c r="CR22" s="170"/>
      <c r="CS22" s="170"/>
      <c r="CT22" s="170"/>
      <c r="CU22" s="170"/>
      <c r="CV22" s="170"/>
      <c r="CW22" s="170"/>
      <c r="CX22" s="170"/>
      <c r="CY22" s="170"/>
      <c r="CZ22" s="170"/>
      <c r="DA22" s="170"/>
      <c r="DB22" s="170"/>
      <c r="DC22" s="170"/>
      <c r="DD22" s="170"/>
      <c r="DE22" s="170"/>
      <c r="DF22" s="170"/>
      <c r="DG22" s="170"/>
      <c r="DH22" s="170"/>
      <c r="DI22" s="170"/>
      <c r="DJ22" s="170"/>
      <c r="DK22" s="170"/>
      <c r="DL22" s="170"/>
      <c r="DM22" s="170"/>
      <c r="DN22" s="170"/>
      <c r="DO22" s="170"/>
      <c r="DP22" s="170"/>
      <c r="DQ22" s="170"/>
      <c r="DR22" s="170"/>
      <c r="DS22" s="170"/>
      <c r="DT22" s="170"/>
      <c r="DU22" s="170"/>
      <c r="DV22" s="170"/>
      <c r="DW22" s="170"/>
      <c r="DX22" s="170"/>
      <c r="DY22" s="170"/>
      <c r="DZ22" s="170"/>
      <c r="EA22" s="170"/>
      <c r="EB22" s="170"/>
      <c r="EC22" s="170"/>
      <c r="ED22" s="170"/>
      <c r="EE22" s="170"/>
      <c r="EF22" s="170"/>
      <c r="EG22" s="170"/>
      <c r="EH22" s="170"/>
      <c r="EI22" s="170"/>
      <c r="EJ22" s="170"/>
      <c r="EK22" s="170"/>
      <c r="EL22" s="170"/>
      <c r="EM22" s="170"/>
      <c r="EN22" s="170"/>
      <c r="EO22" s="170"/>
      <c r="EP22" s="170"/>
      <c r="EQ22" s="170"/>
      <c r="ER22" s="170"/>
      <c r="ES22" s="170"/>
      <c r="ET22" s="170"/>
      <c r="EU22" s="170"/>
      <c r="EV22" s="170"/>
      <c r="EW22" s="170"/>
      <c r="EX22" s="170"/>
      <c r="EY22" s="170"/>
      <c r="EZ22" s="170"/>
      <c r="FA22" s="170"/>
      <c r="FB22" s="170"/>
      <c r="FC22" s="170"/>
      <c r="FD22" s="170"/>
      <c r="FE22" s="170"/>
      <c r="FF22" s="170"/>
      <c r="FG22" s="170"/>
      <c r="FH22" s="170"/>
      <c r="FI22" s="170"/>
      <c r="FJ22" s="170"/>
      <c r="FK22" s="170"/>
      <c r="FL22" s="170"/>
      <c r="FM22" s="170"/>
      <c r="FN22" s="170"/>
      <c r="FO22" s="170"/>
      <c r="FP22" s="170"/>
      <c r="FQ22" s="170"/>
      <c r="FR22" s="170"/>
      <c r="FS22" s="170"/>
      <c r="FT22" s="170"/>
      <c r="FU22" s="170"/>
      <c r="FV22" s="170"/>
      <c r="FW22" s="170"/>
      <c r="FX22" s="170"/>
      <c r="FY22" s="170"/>
      <c r="FZ22" s="170"/>
      <c r="GA22" s="170"/>
      <c r="GB22" s="170"/>
      <c r="GC22" s="170"/>
      <c r="GD22" s="170"/>
      <c r="GE22" s="170"/>
      <c r="GF22" s="170"/>
      <c r="GG22" s="170"/>
      <c r="GH22" s="170"/>
      <c r="GI22" s="170"/>
      <c r="GJ22" s="170"/>
      <c r="GK22" s="170"/>
      <c r="GL22" s="170"/>
      <c r="GM22" s="170"/>
      <c r="GN22" s="170"/>
      <c r="GO22" s="170"/>
      <c r="GP22" s="170"/>
      <c r="GQ22" s="170"/>
      <c r="GR22" s="170"/>
      <c r="GS22" s="170"/>
      <c r="GT22" s="170"/>
      <c r="GU22" s="170"/>
      <c r="GV22" s="170"/>
      <c r="GW22" s="170"/>
      <c r="GX22" s="170"/>
      <c r="GY22" s="170"/>
      <c r="GZ22" s="170"/>
      <c r="HA22" s="170"/>
      <c r="HB22" s="170"/>
      <c r="HC22" s="170"/>
      <c r="HD22" s="170"/>
      <c r="HE22" s="170"/>
      <c r="HF22" s="170"/>
      <c r="HG22" s="170"/>
      <c r="HH22" s="170"/>
      <c r="HI22" s="170"/>
      <c r="HJ22" s="170"/>
      <c r="HK22" s="170"/>
      <c r="HL22" s="170"/>
      <c r="HM22" s="170"/>
      <c r="HN22" s="170"/>
      <c r="HO22" s="170"/>
      <c r="HP22" s="170"/>
      <c r="HQ22" s="170"/>
      <c r="HR22" s="170"/>
    </row>
    <row r="23" spans="1:226" s="204" customFormat="1" ht="15" customHeight="1">
      <c r="A23" s="200" t="str">
        <f>$A$21 &amp; ".02"</f>
        <v>01.05.02.02</v>
      </c>
      <c r="B23" s="203" t="s">
        <v>318</v>
      </c>
      <c r="C23" s="183" t="s">
        <v>307</v>
      </c>
      <c r="D23" s="197">
        <v>1</v>
      </c>
      <c r="E23" s="193">
        <f>E13</f>
        <v>185.94</v>
      </c>
      <c r="F23" s="202"/>
      <c r="G23" s="202"/>
      <c r="H23" s="193">
        <f>+ROUND(PRODUCT(D23:G23),2)</f>
        <v>185.94</v>
      </c>
      <c r="I23" s="194">
        <f>+H23</f>
        <v>185.94</v>
      </c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0"/>
      <c r="AU23" s="170"/>
      <c r="AV23" s="170"/>
      <c r="AW23" s="170"/>
      <c r="AX23" s="170"/>
      <c r="AY23" s="170"/>
      <c r="AZ23" s="170"/>
      <c r="BA23" s="170"/>
      <c r="BB23" s="170"/>
      <c r="BC23" s="170"/>
      <c r="BD23" s="170"/>
      <c r="BE23" s="170"/>
      <c r="BF23" s="170"/>
      <c r="BG23" s="170"/>
      <c r="BH23" s="170"/>
      <c r="BI23" s="170"/>
      <c r="BJ23" s="170"/>
      <c r="BK23" s="170"/>
      <c r="BL23" s="170"/>
      <c r="BM23" s="170"/>
      <c r="BN23" s="170"/>
      <c r="BO23" s="170"/>
      <c r="BP23" s="170"/>
      <c r="BQ23" s="170"/>
      <c r="BR23" s="170"/>
      <c r="BS23" s="170"/>
      <c r="BT23" s="170"/>
      <c r="BU23" s="170"/>
      <c r="BV23" s="170"/>
      <c r="BW23" s="170"/>
      <c r="BX23" s="170"/>
      <c r="BY23" s="170"/>
      <c r="BZ23" s="170"/>
      <c r="CA23" s="170"/>
      <c r="CB23" s="170"/>
      <c r="CC23" s="170"/>
      <c r="CD23" s="170"/>
      <c r="CE23" s="170"/>
      <c r="CF23" s="170"/>
      <c r="CG23" s="170"/>
      <c r="CH23" s="170"/>
      <c r="CI23" s="170"/>
      <c r="CJ23" s="170"/>
      <c r="CK23" s="170"/>
      <c r="CL23" s="170"/>
      <c r="CM23" s="170"/>
      <c r="CN23" s="170"/>
      <c r="CO23" s="170"/>
      <c r="CP23" s="170"/>
      <c r="CQ23" s="170"/>
      <c r="CR23" s="170"/>
      <c r="CS23" s="170"/>
      <c r="CT23" s="170"/>
      <c r="CU23" s="170"/>
      <c r="CV23" s="170"/>
      <c r="CW23" s="170"/>
      <c r="CX23" s="170"/>
      <c r="CY23" s="170"/>
      <c r="CZ23" s="170"/>
      <c r="DA23" s="170"/>
      <c r="DB23" s="170"/>
      <c r="DC23" s="170"/>
      <c r="DD23" s="170"/>
      <c r="DE23" s="170"/>
      <c r="DF23" s="170"/>
      <c r="DG23" s="170"/>
      <c r="DH23" s="170"/>
      <c r="DI23" s="170"/>
      <c r="DJ23" s="170"/>
      <c r="DK23" s="170"/>
      <c r="DL23" s="170"/>
      <c r="DM23" s="170"/>
      <c r="DN23" s="170"/>
      <c r="DO23" s="170"/>
      <c r="DP23" s="170"/>
      <c r="DQ23" s="170"/>
      <c r="DR23" s="170"/>
      <c r="DS23" s="170"/>
      <c r="DT23" s="170"/>
      <c r="DU23" s="170"/>
      <c r="DV23" s="170"/>
      <c r="DW23" s="170"/>
      <c r="DX23" s="170"/>
      <c r="DY23" s="170"/>
      <c r="DZ23" s="170"/>
      <c r="EA23" s="170"/>
      <c r="EB23" s="170"/>
      <c r="EC23" s="170"/>
      <c r="ED23" s="170"/>
      <c r="EE23" s="170"/>
      <c r="EF23" s="170"/>
      <c r="EG23" s="170"/>
      <c r="EH23" s="170"/>
      <c r="EI23" s="170"/>
      <c r="EJ23" s="170"/>
      <c r="EK23" s="170"/>
      <c r="EL23" s="170"/>
      <c r="EM23" s="170"/>
      <c r="EN23" s="170"/>
      <c r="EO23" s="170"/>
      <c r="EP23" s="170"/>
      <c r="EQ23" s="170"/>
      <c r="ER23" s="170"/>
      <c r="ES23" s="170"/>
      <c r="ET23" s="170"/>
      <c r="EU23" s="170"/>
      <c r="EV23" s="170"/>
      <c r="EW23" s="170"/>
      <c r="EX23" s="170"/>
      <c r="EY23" s="170"/>
      <c r="EZ23" s="170"/>
      <c r="FA23" s="170"/>
      <c r="FB23" s="170"/>
      <c r="FC23" s="170"/>
      <c r="FD23" s="170"/>
      <c r="FE23" s="170"/>
      <c r="FF23" s="170"/>
      <c r="FG23" s="170"/>
      <c r="FH23" s="170"/>
      <c r="FI23" s="170"/>
      <c r="FJ23" s="170"/>
      <c r="FK23" s="170"/>
      <c r="FL23" s="170"/>
      <c r="FM23" s="170"/>
      <c r="FN23" s="170"/>
      <c r="FO23" s="170"/>
      <c r="FP23" s="170"/>
      <c r="FQ23" s="170"/>
      <c r="FR23" s="170"/>
      <c r="FS23" s="170"/>
      <c r="FT23" s="170"/>
      <c r="FU23" s="170"/>
      <c r="FV23" s="170"/>
      <c r="FW23" s="170"/>
      <c r="FX23" s="170"/>
      <c r="FY23" s="170"/>
      <c r="FZ23" s="170"/>
      <c r="GA23" s="170"/>
      <c r="GB23" s="170"/>
      <c r="GC23" s="170"/>
      <c r="GD23" s="170"/>
      <c r="GE23" s="170"/>
      <c r="GF23" s="170"/>
      <c r="GG23" s="170"/>
      <c r="GH23" s="170"/>
      <c r="GI23" s="170"/>
      <c r="GJ23" s="170"/>
      <c r="GK23" s="170"/>
      <c r="GL23" s="170"/>
      <c r="GM23" s="170"/>
      <c r="GN23" s="170"/>
      <c r="GO23" s="170"/>
      <c r="GP23" s="170"/>
      <c r="GQ23" s="170"/>
      <c r="GR23" s="170"/>
      <c r="GS23" s="170"/>
      <c r="GT23" s="170"/>
      <c r="GU23" s="170"/>
      <c r="GV23" s="170"/>
      <c r="GW23" s="170"/>
      <c r="GX23" s="170"/>
      <c r="GY23" s="170"/>
      <c r="GZ23" s="170"/>
      <c r="HA23" s="170"/>
      <c r="HB23" s="170"/>
      <c r="HC23" s="170"/>
      <c r="HD23" s="170"/>
      <c r="HE23" s="170"/>
      <c r="HF23" s="170"/>
      <c r="HG23" s="170"/>
      <c r="HH23" s="170"/>
      <c r="HI23" s="170"/>
      <c r="HJ23" s="170"/>
      <c r="HK23" s="170"/>
      <c r="HL23" s="170"/>
      <c r="HM23" s="170"/>
      <c r="HN23" s="170"/>
      <c r="HO23" s="170"/>
      <c r="HP23" s="170"/>
      <c r="HQ23" s="170"/>
      <c r="HR23" s="170"/>
    </row>
    <row r="24" spans="1:226" s="204" customFormat="1" ht="15" customHeight="1">
      <c r="A24" s="200" t="str">
        <f>$A$21 &amp; ".03"</f>
        <v>01.05.02.03</v>
      </c>
      <c r="B24" s="203" t="s">
        <v>317</v>
      </c>
      <c r="C24" s="183" t="s">
        <v>307</v>
      </c>
      <c r="D24" s="197">
        <v>1</v>
      </c>
      <c r="E24" s="193">
        <v>4.4000000000000004</v>
      </c>
      <c r="F24" s="202"/>
      <c r="G24" s="202"/>
      <c r="H24" s="193">
        <f>+ROUND(PRODUCT(D24:G24),2)</f>
        <v>4.4000000000000004</v>
      </c>
      <c r="I24" s="194">
        <f>+H24</f>
        <v>4.4000000000000004</v>
      </c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  <c r="EB24" s="170"/>
      <c r="EC24" s="170"/>
      <c r="ED24" s="170"/>
      <c r="EE24" s="170"/>
      <c r="EF24" s="170"/>
      <c r="EG24" s="170"/>
      <c r="EH24" s="170"/>
      <c r="EI24" s="170"/>
      <c r="EJ24" s="170"/>
      <c r="EK24" s="170"/>
      <c r="EL24" s="170"/>
      <c r="EM24" s="170"/>
      <c r="EN24" s="170"/>
      <c r="EO24" s="170"/>
      <c r="EP24" s="170"/>
      <c r="EQ24" s="170"/>
      <c r="ER24" s="170"/>
      <c r="ES24" s="170"/>
      <c r="ET24" s="170"/>
      <c r="EU24" s="170"/>
      <c r="EV24" s="170"/>
      <c r="EW24" s="170"/>
      <c r="EX24" s="170"/>
      <c r="EY24" s="170"/>
      <c r="EZ24" s="170"/>
      <c r="FA24" s="170"/>
      <c r="FB24" s="170"/>
      <c r="FC24" s="170"/>
      <c r="FD24" s="170"/>
      <c r="FE24" s="170"/>
      <c r="FF24" s="170"/>
      <c r="FG24" s="170"/>
      <c r="FH24" s="170"/>
      <c r="FI24" s="170"/>
      <c r="FJ24" s="170"/>
      <c r="FK24" s="170"/>
      <c r="FL24" s="170"/>
      <c r="FM24" s="170"/>
      <c r="FN24" s="170"/>
      <c r="FO24" s="170"/>
      <c r="FP24" s="170"/>
      <c r="FQ24" s="170"/>
      <c r="FR24" s="170"/>
      <c r="FS24" s="170"/>
      <c r="FT24" s="170"/>
      <c r="FU24" s="170"/>
      <c r="FV24" s="170"/>
      <c r="FW24" s="170"/>
      <c r="FX24" s="170"/>
      <c r="FY24" s="170"/>
      <c r="FZ24" s="170"/>
      <c r="GA24" s="170"/>
      <c r="GB24" s="170"/>
      <c r="GC24" s="170"/>
      <c r="GD24" s="170"/>
      <c r="GE24" s="170"/>
      <c r="GF24" s="170"/>
      <c r="GG24" s="170"/>
      <c r="GH24" s="170"/>
      <c r="GI24" s="170"/>
      <c r="GJ24" s="170"/>
      <c r="GK24" s="170"/>
      <c r="GL24" s="170"/>
      <c r="GM24" s="170"/>
      <c r="GN24" s="170"/>
      <c r="GO24" s="170"/>
      <c r="GP24" s="170"/>
      <c r="GQ24" s="170"/>
      <c r="GR24" s="170"/>
      <c r="GS24" s="170"/>
      <c r="GT24" s="170"/>
      <c r="GU24" s="170"/>
      <c r="GV24" s="170"/>
      <c r="GW24" s="170"/>
      <c r="GX24" s="170"/>
      <c r="GY24" s="170"/>
      <c r="GZ24" s="170"/>
      <c r="HA24" s="170"/>
      <c r="HB24" s="170"/>
      <c r="HC24" s="170"/>
      <c r="HD24" s="170"/>
      <c r="HE24" s="170"/>
      <c r="HF24" s="170"/>
      <c r="HG24" s="170"/>
      <c r="HH24" s="170"/>
      <c r="HI24" s="170"/>
      <c r="HJ24" s="170"/>
      <c r="HK24" s="170"/>
      <c r="HL24" s="170"/>
      <c r="HM24" s="170"/>
      <c r="HN24" s="170"/>
      <c r="HO24" s="170"/>
      <c r="HP24" s="170"/>
      <c r="HQ24" s="170"/>
      <c r="HR24" s="170"/>
    </row>
    <row r="25" spans="1:226" s="170" customFormat="1" ht="15" customHeight="1">
      <c r="A25" s="190" t="str">
        <f>A$13 &amp; ".03"</f>
        <v>01.05.03</v>
      </c>
      <c r="B25" s="189" t="s">
        <v>513</v>
      </c>
      <c r="C25" s="188"/>
      <c r="D25" s="188"/>
      <c r="E25" s="187"/>
      <c r="F25" s="193"/>
      <c r="G25" s="187"/>
      <c r="H25" s="187"/>
      <c r="I25" s="186"/>
    </row>
    <row r="26" spans="1:226" s="170" customFormat="1" ht="13.5">
      <c r="A26" s="185" t="str">
        <f>A25 &amp; ".01"</f>
        <v>01.05.03.01</v>
      </c>
      <c r="B26" s="184" t="s">
        <v>313</v>
      </c>
      <c r="C26" s="183" t="s">
        <v>307</v>
      </c>
      <c r="D26" s="183">
        <v>1</v>
      </c>
      <c r="E26" s="182">
        <f>SUM(E14:E14)</f>
        <v>185.94</v>
      </c>
      <c r="F26" s="193"/>
      <c r="G26" s="182"/>
      <c r="H26" s="181">
        <f>+ROUND(PRODUCT(D26:G26),2)</f>
        <v>185.94</v>
      </c>
      <c r="I26" s="180">
        <f>+H26</f>
        <v>185.94</v>
      </c>
    </row>
    <row r="27" spans="1:226" s="170" customFormat="1" ht="15" customHeight="1">
      <c r="A27" s="185"/>
      <c r="B27" s="184"/>
      <c r="C27" s="183"/>
      <c r="D27" s="183"/>
      <c r="E27" s="182"/>
      <c r="F27" s="182"/>
      <c r="G27" s="182"/>
      <c r="H27" s="181"/>
      <c r="I27" s="180"/>
    </row>
    <row r="28" spans="1:226" s="170" customFormat="1" ht="15" customHeight="1">
      <c r="A28" s="190" t="str">
        <f>A$13 &amp; ".04"</f>
        <v>01.05.04</v>
      </c>
      <c r="B28" s="192" t="s">
        <v>312</v>
      </c>
      <c r="C28" s="183"/>
      <c r="D28" s="188"/>
      <c r="E28" s="187"/>
      <c r="F28" s="187"/>
      <c r="G28" s="187"/>
      <c r="H28" s="187"/>
      <c r="I28" s="180"/>
    </row>
    <row r="29" spans="1:226" s="170" customFormat="1" ht="15" customHeight="1">
      <c r="A29" s="185" t="str">
        <f>A28 &amp; ".01"</f>
        <v>01.05.04.01</v>
      </c>
      <c r="B29" s="184" t="s">
        <v>512</v>
      </c>
      <c r="C29" s="183" t="s">
        <v>43</v>
      </c>
      <c r="D29" s="183">
        <v>1</v>
      </c>
      <c r="E29" s="182"/>
      <c r="F29" s="182"/>
      <c r="G29" s="182"/>
      <c r="H29" s="191">
        <f>+ROUND(PRODUCT(D29:G29),2)</f>
        <v>1</v>
      </c>
      <c r="I29" s="180">
        <f>+H29</f>
        <v>1</v>
      </c>
    </row>
    <row r="30" spans="1:226" s="170" customFormat="1" ht="15" hidden="1" customHeight="1">
      <c r="A30" s="185" t="str">
        <f>A29 &amp; ".02"</f>
        <v>01.05.04.01.02</v>
      </c>
      <c r="B30" s="184" t="s">
        <v>310</v>
      </c>
      <c r="C30" s="183" t="s">
        <v>43</v>
      </c>
      <c r="D30" s="183"/>
      <c r="E30" s="182"/>
      <c r="F30" s="182"/>
      <c r="G30" s="182"/>
      <c r="H30" s="191">
        <f>+ROUND(PRODUCT(D30:G30),2)</f>
        <v>0</v>
      </c>
      <c r="I30" s="180">
        <f>+H30</f>
        <v>0</v>
      </c>
    </row>
    <row r="31" spans="1:226" s="170" customFormat="1" ht="15" customHeight="1">
      <c r="A31" s="185"/>
      <c r="B31" s="184"/>
      <c r="C31" s="183"/>
      <c r="D31" s="183"/>
      <c r="E31" s="182"/>
      <c r="F31" s="182"/>
      <c r="G31" s="182"/>
      <c r="H31" s="181"/>
      <c r="I31" s="180"/>
    </row>
    <row r="32" spans="1:226" s="170" customFormat="1" ht="15" customHeight="1">
      <c r="A32" s="190" t="str">
        <f>A$13 &amp; ".05"</f>
        <v>01.05.05</v>
      </c>
      <c r="B32" s="189" t="s">
        <v>309</v>
      </c>
      <c r="C32" s="188"/>
      <c r="D32" s="188"/>
      <c r="E32" s="187"/>
      <c r="F32" s="187"/>
      <c r="G32" s="187"/>
      <c r="H32" s="187"/>
      <c r="I32" s="186"/>
    </row>
    <row r="33" spans="1:9" s="170" customFormat="1" ht="15" customHeight="1">
      <c r="A33" s="185" t="str">
        <f>A32 &amp;".01"</f>
        <v>01.05.05.01</v>
      </c>
      <c r="B33" s="184" t="s">
        <v>1061</v>
      </c>
      <c r="C33" s="183" t="s">
        <v>307</v>
      </c>
      <c r="D33" s="183">
        <v>1</v>
      </c>
      <c r="E33" s="182">
        <f>SUM(E14:E14)</f>
        <v>185.94</v>
      </c>
      <c r="F33" s="182"/>
      <c r="G33" s="182"/>
      <c r="H33" s="181">
        <f>+ROUND(PRODUCT(D33:G33),2)</f>
        <v>185.94</v>
      </c>
      <c r="I33" s="180">
        <f>+H33</f>
        <v>185.94</v>
      </c>
    </row>
    <row r="34" spans="1:9" s="170" customFormat="1" ht="15" customHeight="1" thickBot="1">
      <c r="A34" s="179"/>
      <c r="B34" s="178"/>
      <c r="C34" s="177"/>
      <c r="D34" s="177"/>
      <c r="E34" s="175"/>
      <c r="F34" s="175"/>
      <c r="G34" s="176"/>
      <c r="H34" s="175"/>
      <c r="I34" s="174"/>
    </row>
    <row r="35" spans="1:9" s="170" customFormat="1" ht="15" customHeight="1">
      <c r="A35" s="173"/>
      <c r="B35" s="172"/>
      <c r="C35" s="171"/>
      <c r="D35" s="171"/>
      <c r="E35" s="171"/>
      <c r="F35" s="171"/>
      <c r="G35" s="171"/>
      <c r="H35" s="171"/>
      <c r="I35" s="171"/>
    </row>
    <row r="36" spans="1:9" s="170" customFormat="1" ht="15" customHeight="1">
      <c r="A36" s="173"/>
      <c r="B36" s="172"/>
      <c r="C36" s="171"/>
      <c r="D36" s="171"/>
      <c r="E36" s="171"/>
      <c r="F36" s="171"/>
      <c r="G36" s="171"/>
      <c r="H36" s="171"/>
      <c r="I36" s="171"/>
    </row>
    <row r="37" spans="1:9" ht="15" customHeight="1"/>
    <row r="38" spans="1:9" ht="15" customHeight="1"/>
    <row r="39" spans="1:9" ht="15" customHeight="1"/>
    <row r="40" spans="1:9" ht="15" customHeight="1"/>
    <row r="41" spans="1:9" ht="15" customHeight="1"/>
    <row r="42" spans="1:9" ht="15" customHeight="1"/>
    <row r="43" spans="1:9" ht="15" customHeight="1"/>
    <row r="44" spans="1:9" ht="15" customHeight="1"/>
    <row r="45" spans="1:9" ht="15" customHeight="1"/>
    <row r="46" spans="1:9" ht="15" customHeight="1"/>
    <row r="47" spans="1:9" ht="15" customHeight="1"/>
    <row r="48" spans="1:9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</sheetData>
  <mergeCells count="6">
    <mergeCell ref="E6:H6"/>
    <mergeCell ref="E7:G7"/>
    <mergeCell ref="A1:I1"/>
    <mergeCell ref="A2:I2"/>
    <mergeCell ref="A4:I4"/>
    <mergeCell ref="A3:I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4" orientation="portrait" r:id="rId1"/>
  <headerFooter>
    <oddFooter>Página &amp;P&amp;R&amp;A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975B5-FC9D-4270-ABD5-797020F8AE68}">
  <sheetPr codeName="Hoja8">
    <tabColor theme="4" tint="0.79998168889431442"/>
    <pageSetUpPr fitToPage="1"/>
  </sheetPr>
  <dimension ref="A1:HT193"/>
  <sheetViews>
    <sheetView showGridLines="0" tabSelected="1" view="pageBreakPreview" topLeftCell="B56" zoomScale="85" zoomScaleNormal="80" zoomScaleSheetLayoutView="85" zoomScalePageLayoutView="40" workbookViewId="0">
      <selection activeCell="E72" sqref="E72"/>
    </sheetView>
  </sheetViews>
  <sheetFormatPr baseColWidth="10" defaultColWidth="13.33203125" defaultRowHeight="11.25"/>
  <cols>
    <col min="1" max="1" width="3.6640625" style="168" hidden="1" customWidth="1"/>
    <col min="2" max="2" width="16.6640625" style="169" customWidth="1"/>
    <col min="3" max="3" width="118.5" style="168" customWidth="1"/>
    <col min="4" max="4" width="12.6640625" style="168" customWidth="1"/>
    <col min="5" max="5" width="15.5" style="168" customWidth="1"/>
    <col min="6" max="10" width="12.5" style="168" customWidth="1"/>
    <col min="11" max="11" width="7.5" style="168" customWidth="1"/>
    <col min="12" max="16384" width="13.33203125" style="168"/>
  </cols>
  <sheetData>
    <row r="1" spans="2:11" ht="15" hidden="1" customHeight="1" thickBot="1">
      <c r="B1" s="1015"/>
      <c r="C1" s="1015"/>
      <c r="D1" s="1015"/>
      <c r="E1" s="1015"/>
      <c r="F1" s="1015"/>
      <c r="G1" s="1015"/>
      <c r="H1" s="1015"/>
      <c r="I1" s="1015"/>
      <c r="J1" s="1015"/>
      <c r="K1" s="433"/>
    </row>
    <row r="2" spans="2:11" ht="15" customHeight="1">
      <c r="B2" s="1016" t="s">
        <v>334</v>
      </c>
      <c r="C2" s="1017"/>
      <c r="D2" s="1017"/>
      <c r="E2" s="1017"/>
      <c r="F2" s="1017"/>
      <c r="G2" s="1017"/>
      <c r="H2" s="1017"/>
      <c r="I2" s="1017"/>
      <c r="J2" s="1018"/>
      <c r="K2" s="433"/>
    </row>
    <row r="3" spans="2:11" ht="50.45" customHeight="1">
      <c r="B3" s="1048" t="s">
        <v>1086</v>
      </c>
      <c r="C3" s="1046"/>
      <c r="D3" s="1046"/>
      <c r="E3" s="1046"/>
      <c r="F3" s="1046"/>
      <c r="G3" s="1046"/>
      <c r="H3" s="1046"/>
      <c r="I3" s="1046"/>
      <c r="J3" s="1047"/>
      <c r="K3" s="432"/>
    </row>
    <row r="4" spans="2:11" ht="15" customHeight="1" thickBot="1">
      <c r="B4" s="1019" t="s">
        <v>557</v>
      </c>
      <c r="C4" s="1020"/>
      <c r="D4" s="1020"/>
      <c r="E4" s="1020"/>
      <c r="F4" s="1020"/>
      <c r="G4" s="1020"/>
      <c r="H4" s="1020"/>
      <c r="I4" s="1020"/>
      <c r="J4" s="1021"/>
      <c r="K4" s="430"/>
    </row>
    <row r="5" spans="2:11" ht="15" customHeight="1" thickBot="1">
      <c r="B5" s="223"/>
      <c r="C5" s="431"/>
      <c r="D5" s="431"/>
      <c r="E5" s="222"/>
      <c r="F5" s="222"/>
      <c r="G5" s="222"/>
      <c r="H5" s="222"/>
      <c r="I5" s="221"/>
      <c r="J5" s="220"/>
      <c r="K5" s="430"/>
    </row>
    <row r="6" spans="2:11" ht="15" customHeight="1">
      <c r="B6" s="223"/>
      <c r="C6" s="232" t="s">
        <v>332</v>
      </c>
      <c r="D6" s="231" t="str">
        <f>+D8&amp;" x "&amp;D7&amp;" m"</f>
        <v>0.5 x 0.8 m</v>
      </c>
      <c r="E6" s="230" t="s">
        <v>555</v>
      </c>
      <c r="F6" s="1013" t="s">
        <v>556</v>
      </c>
      <c r="G6" s="1014"/>
      <c r="H6" s="1014"/>
      <c r="I6" s="1014"/>
      <c r="J6" s="220"/>
      <c r="K6" s="430"/>
    </row>
    <row r="7" spans="2:11" ht="15" customHeight="1">
      <c r="B7" s="223"/>
      <c r="C7" s="229" t="s">
        <v>329</v>
      </c>
      <c r="D7" s="228">
        <v>0.8</v>
      </c>
      <c r="E7" s="227" t="s">
        <v>0</v>
      </c>
      <c r="F7" s="1013"/>
      <c r="G7" s="1014"/>
      <c r="H7" s="1014"/>
      <c r="I7" s="1014"/>
      <c r="J7" s="220"/>
      <c r="K7" s="430"/>
    </row>
    <row r="8" spans="2:11" ht="15" customHeight="1">
      <c r="B8" s="223"/>
      <c r="C8" s="229" t="s">
        <v>328</v>
      </c>
      <c r="D8" s="228">
        <v>0.5</v>
      </c>
      <c r="E8" s="227" t="s">
        <v>0</v>
      </c>
      <c r="F8" s="222"/>
      <c r="G8" s="222"/>
      <c r="H8" s="222"/>
      <c r="I8" s="221"/>
      <c r="J8" s="220"/>
      <c r="K8" s="430"/>
    </row>
    <row r="9" spans="2:11" ht="15" customHeight="1">
      <c r="B9" s="223"/>
      <c r="C9" s="229" t="s">
        <v>327</v>
      </c>
      <c r="D9" s="228">
        <v>0.1</v>
      </c>
      <c r="E9" s="227" t="s">
        <v>0</v>
      </c>
      <c r="F9" s="222"/>
      <c r="G9" s="222"/>
      <c r="H9" s="222"/>
      <c r="I9" s="221"/>
      <c r="J9" s="220"/>
      <c r="K9" s="430"/>
    </row>
    <row r="10" spans="2:11" ht="15" customHeight="1">
      <c r="B10" s="223"/>
      <c r="C10" s="229" t="s">
        <v>553</v>
      </c>
      <c r="D10" s="228">
        <v>0.3</v>
      </c>
      <c r="E10" s="227" t="s">
        <v>0</v>
      </c>
      <c r="F10" s="222"/>
      <c r="G10" s="222"/>
      <c r="H10" s="222"/>
      <c r="I10" s="221"/>
      <c r="J10" s="220"/>
      <c r="K10" s="430"/>
    </row>
    <row r="11" spans="2:11" ht="15" customHeight="1" thickBot="1">
      <c r="B11" s="223"/>
      <c r="C11" s="226" t="s">
        <v>552</v>
      </c>
      <c r="D11" s="225">
        <v>0.4</v>
      </c>
      <c r="E11" s="224" t="s">
        <v>0</v>
      </c>
      <c r="F11" s="222"/>
      <c r="G11" s="222"/>
      <c r="H11" s="222"/>
      <c r="I11" s="221"/>
      <c r="J11" s="220"/>
      <c r="K11" s="430"/>
    </row>
    <row r="12" spans="2:11" ht="15" customHeight="1" thickBot="1">
      <c r="B12" s="223"/>
      <c r="C12" s="431"/>
      <c r="D12" s="431"/>
      <c r="E12" s="222"/>
      <c r="F12" s="222"/>
      <c r="G12" s="222"/>
      <c r="H12" s="222"/>
      <c r="I12" s="221"/>
      <c r="J12" s="220"/>
      <c r="K12" s="430"/>
    </row>
    <row r="13" spans="2:11" ht="15" customHeight="1">
      <c r="B13" s="223"/>
      <c r="C13" s="232" t="s">
        <v>332</v>
      </c>
      <c r="D13" s="231" t="str">
        <f>+D15&amp;" x "&amp;D14&amp;" m"</f>
        <v>0.5 x 1 m</v>
      </c>
      <c r="E13" s="230" t="s">
        <v>555</v>
      </c>
      <c r="F13" s="1013" t="s">
        <v>554</v>
      </c>
      <c r="G13" s="1014"/>
      <c r="H13" s="1014"/>
      <c r="I13" s="1014"/>
      <c r="J13" s="220"/>
      <c r="K13" s="430"/>
    </row>
    <row r="14" spans="2:11" ht="15" customHeight="1">
      <c r="B14" s="223"/>
      <c r="C14" s="229" t="s">
        <v>329</v>
      </c>
      <c r="D14" s="228">
        <v>1</v>
      </c>
      <c r="E14" s="227" t="s">
        <v>0</v>
      </c>
      <c r="F14" s="1013"/>
      <c r="G14" s="1014"/>
      <c r="H14" s="1014"/>
      <c r="I14" s="1014"/>
      <c r="J14" s="220"/>
      <c r="K14" s="430"/>
    </row>
    <row r="15" spans="2:11" ht="15" customHeight="1">
      <c r="B15" s="223"/>
      <c r="C15" s="229" t="s">
        <v>328</v>
      </c>
      <c r="D15" s="228">
        <v>0.5</v>
      </c>
      <c r="E15" s="227" t="s">
        <v>0</v>
      </c>
      <c r="F15" s="222"/>
      <c r="G15" s="222"/>
      <c r="H15" s="222"/>
      <c r="I15" s="221"/>
      <c r="J15" s="220"/>
      <c r="K15" s="430"/>
    </row>
    <row r="16" spans="2:11" ht="15" customHeight="1">
      <c r="B16" s="223"/>
      <c r="C16" s="229" t="s">
        <v>327</v>
      </c>
      <c r="D16" s="228">
        <v>0.1</v>
      </c>
      <c r="E16" s="227" t="s">
        <v>0</v>
      </c>
      <c r="F16" s="222"/>
      <c r="G16" s="222"/>
      <c r="H16" s="222"/>
      <c r="I16" s="221"/>
      <c r="J16" s="220"/>
      <c r="K16" s="430"/>
    </row>
    <row r="17" spans="2:11" ht="15" customHeight="1">
      <c r="B17" s="223"/>
      <c r="C17" s="229" t="s">
        <v>553</v>
      </c>
      <c r="D17" s="228">
        <v>0.3</v>
      </c>
      <c r="E17" s="227" t="s">
        <v>0</v>
      </c>
      <c r="F17" s="222"/>
      <c r="G17" s="222"/>
      <c r="H17" s="222"/>
      <c r="I17" s="221"/>
      <c r="J17" s="220"/>
      <c r="K17" s="430"/>
    </row>
    <row r="18" spans="2:11" ht="15" customHeight="1" thickBot="1">
      <c r="B18" s="223"/>
      <c r="C18" s="226" t="s">
        <v>552</v>
      </c>
      <c r="D18" s="225">
        <v>0.6</v>
      </c>
      <c r="E18" s="224" t="s">
        <v>0</v>
      </c>
      <c r="F18" s="222"/>
      <c r="G18" s="222"/>
      <c r="H18" s="222"/>
      <c r="I18" s="221"/>
      <c r="J18" s="220"/>
      <c r="K18" s="430"/>
    </row>
    <row r="19" spans="2:11" ht="15" customHeight="1">
      <c r="B19" s="223"/>
      <c r="C19" s="431"/>
      <c r="D19" s="431"/>
      <c r="E19" s="222"/>
      <c r="F19" s="222"/>
      <c r="G19" s="222"/>
      <c r="H19" s="222"/>
      <c r="I19" s="221"/>
      <c r="J19" s="220"/>
      <c r="K19" s="430"/>
    </row>
    <row r="20" spans="2:11" ht="15" customHeight="1">
      <c r="B20" s="223"/>
      <c r="C20" s="431"/>
      <c r="D20" s="431"/>
      <c r="E20" s="222"/>
      <c r="F20" s="222"/>
      <c r="G20" s="222"/>
      <c r="H20" s="222"/>
      <c r="I20" s="221"/>
      <c r="J20" s="220"/>
      <c r="K20" s="430"/>
    </row>
    <row r="21" spans="2:11" ht="15" customHeight="1" thickBot="1">
      <c r="B21" s="219" t="s">
        <v>1</v>
      </c>
      <c r="C21" s="217" t="s">
        <v>2</v>
      </c>
      <c r="D21" s="218" t="s">
        <v>325</v>
      </c>
      <c r="E21" s="217" t="s">
        <v>3</v>
      </c>
      <c r="F21" s="217" t="s">
        <v>324</v>
      </c>
      <c r="G21" s="217" t="s">
        <v>5</v>
      </c>
      <c r="H21" s="217" t="s">
        <v>6</v>
      </c>
      <c r="I21" s="217" t="s">
        <v>7</v>
      </c>
      <c r="J21" s="216" t="s">
        <v>8</v>
      </c>
      <c r="K21" s="430"/>
    </row>
    <row r="22" spans="2:11" ht="15" customHeight="1" thickTop="1">
      <c r="B22" s="215" t="str">
        <f>+"01.06"</f>
        <v>01.06</v>
      </c>
      <c r="C22" s="214" t="str">
        <f>B4&amp;" L= "&amp;F54&amp;"m"</f>
        <v>RED DE DISTRIBUCION  L= 1066.66m</v>
      </c>
      <c r="D22" s="213"/>
      <c r="E22" s="212"/>
      <c r="F22" s="211">
        <f>SUM(F23:F51)</f>
        <v>1097.1600000000001</v>
      </c>
      <c r="G22" s="211"/>
      <c r="H22" s="211"/>
      <c r="I22" s="211"/>
      <c r="J22" s="210"/>
      <c r="K22" s="427"/>
    </row>
    <row r="23" spans="2:11" ht="15" customHeight="1">
      <c r="B23" s="215"/>
      <c r="C23" s="945" t="s">
        <v>551</v>
      </c>
      <c r="D23" s="183" t="s">
        <v>307</v>
      </c>
      <c r="E23" s="183">
        <v>1</v>
      </c>
      <c r="F23" s="182">
        <f>SUM(E24:E27)</f>
        <v>86.039999999999992</v>
      </c>
      <c r="G23" s="211"/>
      <c r="H23" s="211"/>
      <c r="I23" s="211"/>
      <c r="J23" s="210"/>
      <c r="K23" s="427"/>
    </row>
    <row r="24" spans="2:11" ht="15" customHeight="1">
      <c r="B24" s="215"/>
      <c r="C24" s="944" t="s">
        <v>1091</v>
      </c>
      <c r="D24" s="183"/>
      <c r="E24" s="183">
        <v>31.83</v>
      </c>
      <c r="F24" s="182"/>
      <c r="G24" s="211"/>
      <c r="H24" s="211"/>
      <c r="I24" s="211"/>
      <c r="J24" s="210"/>
      <c r="K24" s="427"/>
    </row>
    <row r="25" spans="2:11" ht="15" customHeight="1">
      <c r="B25" s="215"/>
      <c r="C25" s="944" t="s">
        <v>1092</v>
      </c>
      <c r="D25" s="183"/>
      <c r="E25" s="183">
        <v>27.29</v>
      </c>
      <c r="F25" s="182"/>
      <c r="G25" s="211"/>
      <c r="H25" s="211"/>
      <c r="I25" s="211"/>
      <c r="J25" s="210"/>
      <c r="K25" s="427"/>
    </row>
    <row r="26" spans="2:11" ht="15" customHeight="1">
      <c r="B26" s="215"/>
      <c r="C26" s="944" t="s">
        <v>1093</v>
      </c>
      <c r="D26" s="183"/>
      <c r="E26" s="183">
        <v>53.92</v>
      </c>
      <c r="F26" s="182"/>
      <c r="G26" s="211"/>
      <c r="H26" s="211"/>
      <c r="I26" s="211"/>
      <c r="J26" s="210"/>
      <c r="K26" s="427"/>
    </row>
    <row r="27" spans="2:11" ht="15" customHeight="1">
      <c r="B27" s="215"/>
      <c r="C27" s="944" t="s">
        <v>1108</v>
      </c>
      <c r="D27" s="183"/>
      <c r="E27" s="183">
        <v>-27</v>
      </c>
      <c r="F27" s="182"/>
      <c r="G27" s="211"/>
      <c r="H27" s="211"/>
      <c r="I27" s="211"/>
      <c r="J27" s="210"/>
      <c r="K27" s="427"/>
    </row>
    <row r="28" spans="2:11" ht="15" customHeight="1">
      <c r="B28" s="215"/>
      <c r="C28" s="184"/>
      <c r="D28" s="183"/>
      <c r="E28" s="183"/>
      <c r="F28" s="182"/>
      <c r="G28" s="211"/>
      <c r="H28" s="211"/>
      <c r="I28" s="211"/>
      <c r="J28" s="210"/>
      <c r="K28" s="427"/>
    </row>
    <row r="29" spans="2:11" ht="15" customHeight="1">
      <c r="B29" s="209"/>
      <c r="C29" s="945" t="s">
        <v>550</v>
      </c>
      <c r="D29" s="183" t="s">
        <v>307</v>
      </c>
      <c r="E29" s="183">
        <v>1</v>
      </c>
      <c r="F29" s="182">
        <f>SUM(E30:E37)</f>
        <v>258.29000000000002</v>
      </c>
      <c r="G29" s="182"/>
      <c r="H29" s="182"/>
      <c r="I29" s="182"/>
      <c r="J29" s="206"/>
      <c r="K29" s="427"/>
    </row>
    <row r="30" spans="2:11" ht="15" customHeight="1">
      <c r="B30" s="209"/>
      <c r="C30" s="944" t="s">
        <v>1100</v>
      </c>
      <c r="D30" s="183"/>
      <c r="E30" s="183">
        <v>7.75</v>
      </c>
      <c r="F30" s="182"/>
      <c r="G30" s="182"/>
      <c r="H30" s="182"/>
      <c r="I30" s="182"/>
      <c r="J30" s="206"/>
      <c r="K30" s="427"/>
    </row>
    <row r="31" spans="2:11" ht="15" customHeight="1">
      <c r="B31" s="209"/>
      <c r="C31" s="944" t="s">
        <v>1101</v>
      </c>
      <c r="D31" s="183"/>
      <c r="E31" s="183">
        <v>4.7</v>
      </c>
      <c r="F31" s="182"/>
      <c r="G31" s="182"/>
      <c r="H31" s="182"/>
      <c r="I31" s="182"/>
      <c r="J31" s="206"/>
      <c r="K31" s="427"/>
    </row>
    <row r="32" spans="2:11" ht="15" customHeight="1">
      <c r="B32" s="209"/>
      <c r="C32" s="944" t="s">
        <v>1094</v>
      </c>
      <c r="D32" s="183"/>
      <c r="E32" s="183">
        <v>44.4</v>
      </c>
      <c r="F32" s="182"/>
      <c r="G32" s="182"/>
      <c r="H32" s="182"/>
      <c r="I32" s="182"/>
      <c r="J32" s="206"/>
      <c r="K32" s="427"/>
    </row>
    <row r="33" spans="2:11" ht="15" customHeight="1">
      <c r="B33" s="209"/>
      <c r="C33" s="944" t="s">
        <v>1095</v>
      </c>
      <c r="D33" s="183"/>
      <c r="E33" s="183">
        <v>64.180000000000007</v>
      </c>
      <c r="F33" s="182"/>
      <c r="G33" s="182"/>
      <c r="H33" s="182"/>
      <c r="I33" s="182"/>
      <c r="J33" s="206"/>
      <c r="K33" s="427"/>
    </row>
    <row r="34" spans="2:11" ht="15" customHeight="1">
      <c r="B34" s="209"/>
      <c r="C34" s="944" t="s">
        <v>1096</v>
      </c>
      <c r="D34" s="183"/>
      <c r="E34" s="183">
        <v>43.6</v>
      </c>
      <c r="F34" s="182"/>
      <c r="G34" s="182"/>
      <c r="H34" s="182"/>
      <c r="I34" s="182"/>
      <c r="J34" s="206"/>
      <c r="K34" s="427"/>
    </row>
    <row r="35" spans="2:11" ht="15" customHeight="1">
      <c r="B35" s="209"/>
      <c r="C35" s="944" t="s">
        <v>1097</v>
      </c>
      <c r="D35" s="183"/>
      <c r="E35" s="183">
        <v>23.21</v>
      </c>
      <c r="F35" s="182"/>
      <c r="G35" s="182"/>
      <c r="H35" s="182"/>
      <c r="I35" s="182"/>
      <c r="J35" s="206"/>
      <c r="K35" s="427"/>
    </row>
    <row r="36" spans="2:11" ht="15" customHeight="1">
      <c r="B36" s="209"/>
      <c r="C36" s="944" t="s">
        <v>1098</v>
      </c>
      <c r="D36" s="183"/>
      <c r="E36" s="183">
        <v>29.37</v>
      </c>
      <c r="F36" s="182"/>
      <c r="G36" s="182"/>
      <c r="H36" s="182"/>
      <c r="I36" s="182"/>
      <c r="J36" s="206"/>
      <c r="K36" s="427"/>
    </row>
    <row r="37" spans="2:11" ht="15" customHeight="1">
      <c r="B37" s="209"/>
      <c r="C37" s="944" t="s">
        <v>1099</v>
      </c>
      <c r="D37" s="183"/>
      <c r="E37" s="183">
        <v>41.08</v>
      </c>
      <c r="F37" s="182"/>
      <c r="G37" s="182"/>
      <c r="H37" s="182"/>
      <c r="I37" s="182"/>
      <c r="J37" s="206"/>
      <c r="K37" s="427"/>
    </row>
    <row r="38" spans="2:11" ht="15" customHeight="1">
      <c r="B38" s="209"/>
      <c r="C38" s="184"/>
      <c r="D38" s="183"/>
      <c r="E38" s="183"/>
      <c r="F38" s="182"/>
      <c r="G38" s="182"/>
      <c r="H38" s="182"/>
      <c r="I38" s="182"/>
      <c r="J38" s="206"/>
      <c r="K38" s="427"/>
    </row>
    <row r="39" spans="2:11" ht="15" customHeight="1">
      <c r="B39" s="209"/>
      <c r="C39" s="945" t="s">
        <v>549</v>
      </c>
      <c r="D39" s="183" t="s">
        <v>307</v>
      </c>
      <c r="E39" s="183">
        <v>1</v>
      </c>
      <c r="F39" s="182">
        <f>SUM(E40:E42)</f>
        <v>305.94000000000005</v>
      </c>
      <c r="G39" s="182"/>
      <c r="H39" s="211"/>
      <c r="I39" s="182"/>
      <c r="J39" s="206"/>
      <c r="K39" s="427"/>
    </row>
    <row r="40" spans="2:11" ht="15" customHeight="1">
      <c r="B40" s="209"/>
      <c r="C40" s="944" t="s">
        <v>1102</v>
      </c>
      <c r="D40" s="183"/>
      <c r="E40" s="183">
        <v>414.98</v>
      </c>
      <c r="F40" s="182"/>
      <c r="G40" s="182"/>
      <c r="H40" s="211"/>
      <c r="I40" s="182"/>
      <c r="J40" s="206"/>
      <c r="K40" s="427"/>
    </row>
    <row r="41" spans="2:11" ht="15" customHeight="1">
      <c r="B41" s="209"/>
      <c r="C41" s="944" t="s">
        <v>1106</v>
      </c>
      <c r="D41" s="183"/>
      <c r="E41" s="182">
        <f>-F23</f>
        <v>-86.039999999999992</v>
      </c>
      <c r="F41" s="182"/>
      <c r="G41" s="182"/>
      <c r="H41" s="211"/>
      <c r="I41" s="182"/>
      <c r="J41" s="206"/>
      <c r="K41" s="427"/>
    </row>
    <row r="42" spans="2:11" ht="15" customHeight="1">
      <c r="B42" s="209"/>
      <c r="C42" s="944" t="s">
        <v>1107</v>
      </c>
      <c r="D42" s="183"/>
      <c r="E42" s="182">
        <v>-23</v>
      </c>
      <c r="F42" s="182"/>
      <c r="G42" s="182"/>
      <c r="H42" s="211"/>
      <c r="I42" s="182"/>
      <c r="J42" s="206"/>
      <c r="K42" s="427"/>
    </row>
    <row r="43" spans="2:11" ht="15" customHeight="1">
      <c r="B43" s="209"/>
      <c r="C43" s="184"/>
      <c r="D43" s="183"/>
      <c r="E43" s="183"/>
      <c r="F43" s="182"/>
      <c r="G43" s="182"/>
      <c r="H43" s="211"/>
      <c r="I43" s="182"/>
      <c r="J43" s="206"/>
      <c r="K43" s="427"/>
    </row>
    <row r="44" spans="2:11" ht="15" customHeight="1">
      <c r="B44" s="209"/>
      <c r="C44" s="945" t="s">
        <v>548</v>
      </c>
      <c r="D44" s="183" t="s">
        <v>307</v>
      </c>
      <c r="E44" s="183">
        <v>1</v>
      </c>
      <c r="F44" s="182">
        <f>SUM(E45:E49)</f>
        <v>396.88999999999993</v>
      </c>
      <c r="G44" s="182"/>
      <c r="H44" s="182"/>
      <c r="I44" s="182"/>
      <c r="J44" s="206"/>
      <c r="K44" s="427"/>
    </row>
    <row r="45" spans="2:11" ht="15" customHeight="1">
      <c r="B45" s="209"/>
      <c r="C45" s="944" t="s">
        <v>8</v>
      </c>
      <c r="D45" s="183"/>
      <c r="E45" s="183">
        <v>682.18</v>
      </c>
      <c r="F45" s="182"/>
      <c r="G45" s="182"/>
      <c r="H45" s="182"/>
      <c r="I45" s="182"/>
      <c r="J45" s="206"/>
      <c r="K45" s="427"/>
    </row>
    <row r="46" spans="2:11" ht="15" customHeight="1">
      <c r="B46" s="209"/>
      <c r="C46" s="944" t="s">
        <v>1103</v>
      </c>
      <c r="D46" s="183"/>
      <c r="E46" s="182">
        <f>-F29</f>
        <v>-258.29000000000002</v>
      </c>
      <c r="F46" s="182"/>
      <c r="G46" s="182"/>
      <c r="H46" s="182"/>
      <c r="I46" s="182"/>
      <c r="J46" s="206"/>
      <c r="K46" s="427"/>
    </row>
    <row r="47" spans="2:11" ht="15" customHeight="1">
      <c r="B47" s="209"/>
      <c r="C47" s="944" t="s">
        <v>1104</v>
      </c>
      <c r="D47" s="183"/>
      <c r="E47" s="182">
        <v>-24.5</v>
      </c>
      <c r="F47" s="182"/>
      <c r="G47" s="182"/>
      <c r="H47" s="182"/>
      <c r="I47" s="182"/>
      <c r="J47" s="206"/>
      <c r="K47" s="427"/>
    </row>
    <row r="48" spans="2:11" ht="15" customHeight="1">
      <c r="B48" s="209"/>
      <c r="C48" s="944" t="s">
        <v>1105</v>
      </c>
      <c r="D48" s="183"/>
      <c r="E48" s="182">
        <v>-6</v>
      </c>
      <c r="F48" s="182"/>
      <c r="G48" s="182"/>
      <c r="H48" s="182"/>
      <c r="I48" s="182"/>
      <c r="J48" s="206"/>
      <c r="K48" s="427"/>
    </row>
    <row r="49" spans="1:228" ht="15" customHeight="1">
      <c r="B49" s="209"/>
      <c r="C49" s="944" t="s">
        <v>1109</v>
      </c>
      <c r="D49" s="183"/>
      <c r="E49" s="182">
        <v>3.5</v>
      </c>
      <c r="F49" s="182"/>
      <c r="G49" s="182"/>
      <c r="H49" s="182"/>
      <c r="I49" s="182"/>
      <c r="J49" s="206"/>
      <c r="K49" s="427"/>
    </row>
    <row r="50" spans="1:228" ht="15" customHeight="1">
      <c r="B50" s="209"/>
      <c r="C50" s="184"/>
      <c r="D50" s="183"/>
      <c r="E50" s="183"/>
      <c r="F50" s="182"/>
      <c r="G50" s="182"/>
      <c r="H50" s="182"/>
      <c r="I50" s="182"/>
      <c r="J50" s="206"/>
      <c r="K50" s="427"/>
    </row>
    <row r="51" spans="1:228" ht="15" customHeight="1">
      <c r="B51" s="209"/>
      <c r="C51" s="945" t="s">
        <v>547</v>
      </c>
      <c r="D51" s="183" t="s">
        <v>307</v>
      </c>
      <c r="E51" s="183">
        <v>1</v>
      </c>
      <c r="F51" s="182">
        <v>50</v>
      </c>
      <c r="G51" s="182"/>
      <c r="H51" s="182"/>
      <c r="I51" s="182"/>
      <c r="J51" s="206"/>
      <c r="K51" s="427"/>
    </row>
    <row r="52" spans="1:228" ht="13.5">
      <c r="B52" s="209"/>
      <c r="C52" s="184"/>
      <c r="D52" s="429"/>
      <c r="E52" s="183"/>
      <c r="F52" s="182"/>
      <c r="G52" s="182"/>
      <c r="H52" s="182"/>
      <c r="I52" s="428"/>
      <c r="J52" s="206"/>
      <c r="K52" s="427"/>
    </row>
    <row r="53" spans="1:228" s="170" customFormat="1" ht="15" customHeight="1">
      <c r="A53" s="168"/>
      <c r="B53" s="190" t="str">
        <f>B$22 &amp; ".01"</f>
        <v>01.06.01</v>
      </c>
      <c r="C53" s="189" t="s">
        <v>107</v>
      </c>
      <c r="D53" s="188"/>
      <c r="E53" s="188"/>
      <c r="F53" s="187"/>
      <c r="G53" s="187"/>
      <c r="H53" s="187"/>
      <c r="I53" s="187"/>
      <c r="J53" s="186"/>
      <c r="K53" s="423"/>
    </row>
    <row r="54" spans="1:228" s="170" customFormat="1" ht="15" customHeight="1">
      <c r="A54" s="168"/>
      <c r="B54" s="208" t="str">
        <f>B$53 &amp; ".01"</f>
        <v>01.06.01.01</v>
      </c>
      <c r="C54" s="945" t="s">
        <v>322</v>
      </c>
      <c r="D54" s="183" t="s">
        <v>307</v>
      </c>
      <c r="E54" s="183">
        <v>1</v>
      </c>
      <c r="F54" s="182">
        <f>F22+E47+E48</f>
        <v>1066.6600000000001</v>
      </c>
      <c r="G54" s="182"/>
      <c r="H54" s="182"/>
      <c r="I54" s="181">
        <f>+ROUND(PRODUCT(E54:H54),2)</f>
        <v>1066.6600000000001</v>
      </c>
      <c r="J54" s="180">
        <f>+I54</f>
        <v>1066.6600000000001</v>
      </c>
      <c r="K54" s="423"/>
    </row>
    <row r="55" spans="1:228" s="170" customFormat="1" ht="15" customHeight="1">
      <c r="A55" s="168"/>
      <c r="B55" s="208" t="str">
        <f>B$53 &amp; ".02"</f>
        <v>01.06.01.02</v>
      </c>
      <c r="C55" s="945" t="s">
        <v>321</v>
      </c>
      <c r="D55" s="183" t="s">
        <v>307</v>
      </c>
      <c r="E55" s="183">
        <v>1</v>
      </c>
      <c r="F55" s="182">
        <f>F54</f>
        <v>1066.6600000000001</v>
      </c>
      <c r="G55" s="182"/>
      <c r="H55" s="182"/>
      <c r="I55" s="181">
        <f>+ROUND(PRODUCT(E55:H55),2)</f>
        <v>1066.6600000000001</v>
      </c>
      <c r="J55" s="180">
        <f>+I55</f>
        <v>1066.6600000000001</v>
      </c>
      <c r="K55" s="423"/>
    </row>
    <row r="56" spans="1:228" s="170" customFormat="1" ht="15" customHeight="1">
      <c r="A56" s="168"/>
      <c r="B56" s="208" t="str">
        <f>B$53 &amp; ".03"</f>
        <v>01.06.01.03</v>
      </c>
      <c r="C56" s="945" t="s">
        <v>515</v>
      </c>
      <c r="D56" s="183" t="s">
        <v>307</v>
      </c>
      <c r="E56" s="183">
        <v>1</v>
      </c>
      <c r="F56" s="182">
        <f>F54</f>
        <v>1066.6600000000001</v>
      </c>
      <c r="G56" s="182"/>
      <c r="H56" s="182"/>
      <c r="I56" s="181">
        <f>+ROUND(PRODUCT(E56:H56),2)</f>
        <v>1066.6600000000001</v>
      </c>
      <c r="J56" s="180">
        <f>+I56</f>
        <v>1066.6600000000001</v>
      </c>
      <c r="K56" s="423"/>
    </row>
    <row r="57" spans="1:228" s="170" customFormat="1" ht="15" customHeight="1">
      <c r="A57" s="168"/>
      <c r="B57" s="207"/>
      <c r="C57" s="198"/>
      <c r="D57" s="196"/>
      <c r="E57" s="196"/>
      <c r="F57" s="195"/>
      <c r="G57" s="195"/>
      <c r="H57" s="195"/>
      <c r="I57" s="195"/>
      <c r="J57" s="206"/>
      <c r="K57" s="423"/>
    </row>
    <row r="58" spans="1:228" s="170" customFormat="1" ht="15" customHeight="1">
      <c r="A58" s="168"/>
      <c r="B58" s="190" t="str">
        <f>B$22 &amp; ".02"</f>
        <v>01.06.02</v>
      </c>
      <c r="C58" s="189" t="s">
        <v>101</v>
      </c>
      <c r="D58" s="188"/>
      <c r="E58" s="188"/>
      <c r="F58" s="187"/>
      <c r="G58" s="187"/>
      <c r="H58" s="187"/>
      <c r="I58" s="187"/>
      <c r="J58" s="186"/>
    </row>
    <row r="59" spans="1:228" s="204" customFormat="1" ht="15" customHeight="1">
      <c r="A59" s="168"/>
      <c r="B59" s="208" t="str">
        <f>B$58 &amp; ".01"</f>
        <v>01.06.02.01</v>
      </c>
      <c r="C59" s="845" t="s">
        <v>1063</v>
      </c>
      <c r="D59" s="183" t="s">
        <v>307</v>
      </c>
      <c r="E59" s="197">
        <v>1</v>
      </c>
      <c r="F59" s="193">
        <f>F23+F29</f>
        <v>344.33000000000004</v>
      </c>
      <c r="G59" s="202"/>
      <c r="H59" s="202"/>
      <c r="I59" s="193">
        <f t="shared" ref="I59:I71" si="0">+ROUND(PRODUCT(E59:H59),2)</f>
        <v>344.33</v>
      </c>
      <c r="J59" s="194">
        <f t="shared" ref="J59:J72" si="1">+I59</f>
        <v>344.33</v>
      </c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  <c r="AB59" s="170"/>
      <c r="AC59" s="170"/>
      <c r="AD59" s="170"/>
      <c r="AE59" s="170"/>
      <c r="AF59" s="170"/>
      <c r="AG59" s="170"/>
      <c r="AH59" s="170"/>
      <c r="AI59" s="170"/>
      <c r="AJ59" s="170"/>
      <c r="AK59" s="170"/>
      <c r="AL59" s="170"/>
      <c r="AM59" s="170"/>
      <c r="AN59" s="170"/>
      <c r="AO59" s="170"/>
      <c r="AP59" s="170"/>
      <c r="AQ59" s="170"/>
      <c r="AR59" s="170"/>
      <c r="AS59" s="170"/>
      <c r="AT59" s="170"/>
      <c r="AU59" s="170"/>
      <c r="AV59" s="170"/>
      <c r="AW59" s="170"/>
      <c r="AX59" s="170"/>
      <c r="AY59" s="170"/>
      <c r="AZ59" s="170"/>
      <c r="BA59" s="170"/>
      <c r="BB59" s="170"/>
      <c r="BC59" s="170"/>
      <c r="BD59" s="170"/>
      <c r="BE59" s="170"/>
      <c r="BF59" s="170"/>
      <c r="BG59" s="170"/>
      <c r="BH59" s="170"/>
      <c r="BI59" s="170"/>
      <c r="BJ59" s="170"/>
      <c r="BK59" s="170"/>
      <c r="BL59" s="170"/>
      <c r="BM59" s="170"/>
      <c r="BN59" s="170"/>
      <c r="BO59" s="170"/>
      <c r="BP59" s="170"/>
      <c r="BQ59" s="170"/>
      <c r="BR59" s="170"/>
      <c r="BS59" s="170"/>
      <c r="BT59" s="170"/>
      <c r="BU59" s="170"/>
      <c r="BV59" s="170"/>
      <c r="BW59" s="170"/>
      <c r="BX59" s="170"/>
      <c r="BY59" s="170"/>
      <c r="BZ59" s="170"/>
      <c r="CA59" s="170"/>
      <c r="CB59" s="170"/>
      <c r="CC59" s="170"/>
      <c r="CD59" s="170"/>
      <c r="CE59" s="170"/>
      <c r="CF59" s="170"/>
      <c r="CG59" s="170"/>
      <c r="CH59" s="170"/>
      <c r="CI59" s="170"/>
      <c r="CJ59" s="170"/>
      <c r="CK59" s="170"/>
      <c r="CL59" s="170"/>
      <c r="CM59" s="170"/>
      <c r="CN59" s="170"/>
      <c r="CO59" s="170"/>
      <c r="CP59" s="170"/>
      <c r="CQ59" s="170"/>
      <c r="CR59" s="170"/>
      <c r="CS59" s="170"/>
      <c r="CT59" s="170"/>
      <c r="CU59" s="170"/>
      <c r="CV59" s="170"/>
      <c r="CW59" s="170"/>
      <c r="CX59" s="170"/>
      <c r="CY59" s="170"/>
      <c r="CZ59" s="170"/>
      <c r="DA59" s="170"/>
      <c r="DB59" s="170"/>
      <c r="DC59" s="170"/>
      <c r="DD59" s="170"/>
      <c r="DE59" s="170"/>
      <c r="DF59" s="170"/>
      <c r="DG59" s="170"/>
      <c r="DH59" s="170"/>
      <c r="DI59" s="170"/>
      <c r="DJ59" s="170"/>
      <c r="DK59" s="170"/>
      <c r="DL59" s="170"/>
      <c r="DM59" s="170"/>
      <c r="DN59" s="170"/>
      <c r="DO59" s="170"/>
      <c r="DP59" s="170"/>
      <c r="DQ59" s="170"/>
      <c r="DR59" s="170"/>
      <c r="DS59" s="170"/>
      <c r="DT59" s="170"/>
      <c r="DU59" s="170"/>
      <c r="DV59" s="170"/>
      <c r="DW59" s="170"/>
      <c r="DX59" s="170"/>
      <c r="DY59" s="170"/>
      <c r="DZ59" s="170"/>
      <c r="EA59" s="170"/>
      <c r="EB59" s="170"/>
      <c r="EC59" s="170"/>
      <c r="ED59" s="170"/>
      <c r="EE59" s="170"/>
      <c r="EF59" s="170"/>
      <c r="EG59" s="170"/>
      <c r="EH59" s="170"/>
      <c r="EI59" s="170"/>
      <c r="EJ59" s="170"/>
      <c r="EK59" s="170"/>
      <c r="EL59" s="170"/>
      <c r="EM59" s="170"/>
      <c r="EN59" s="170"/>
      <c r="EO59" s="170"/>
      <c r="EP59" s="170"/>
      <c r="EQ59" s="170"/>
      <c r="ER59" s="170"/>
      <c r="ES59" s="170"/>
      <c r="ET59" s="170"/>
      <c r="EU59" s="170"/>
      <c r="EV59" s="170"/>
      <c r="EW59" s="170"/>
      <c r="EX59" s="170"/>
      <c r="EY59" s="170"/>
      <c r="EZ59" s="170"/>
      <c r="FA59" s="170"/>
      <c r="FB59" s="170"/>
      <c r="FC59" s="170"/>
      <c r="FD59" s="170"/>
      <c r="FE59" s="170"/>
      <c r="FF59" s="170"/>
      <c r="FG59" s="170"/>
      <c r="FH59" s="170"/>
      <c r="FI59" s="170"/>
      <c r="FJ59" s="170"/>
      <c r="FK59" s="170"/>
      <c r="FL59" s="170"/>
      <c r="FM59" s="170"/>
      <c r="FN59" s="170"/>
      <c r="FO59" s="170"/>
      <c r="FP59" s="170"/>
      <c r="FQ59" s="170"/>
      <c r="FR59" s="170"/>
      <c r="FS59" s="170"/>
      <c r="FT59" s="170"/>
      <c r="FU59" s="170"/>
      <c r="FV59" s="170"/>
      <c r="FW59" s="170"/>
      <c r="FX59" s="170"/>
      <c r="FY59" s="170"/>
      <c r="FZ59" s="170"/>
      <c r="GA59" s="170"/>
      <c r="GB59" s="170"/>
      <c r="GC59" s="170"/>
      <c r="GD59" s="170"/>
      <c r="GE59" s="170"/>
      <c r="GF59" s="170"/>
      <c r="GG59" s="170"/>
      <c r="GH59" s="170"/>
      <c r="GI59" s="170"/>
      <c r="GJ59" s="170"/>
      <c r="GK59" s="170"/>
      <c r="GL59" s="170"/>
      <c r="GM59" s="170"/>
      <c r="GN59" s="170"/>
      <c r="GO59" s="170"/>
      <c r="GP59" s="170"/>
      <c r="GQ59" s="170"/>
      <c r="GR59" s="170"/>
      <c r="GS59" s="170"/>
      <c r="GT59" s="170"/>
      <c r="GU59" s="170"/>
      <c r="GV59" s="170"/>
      <c r="GW59" s="170"/>
      <c r="GX59" s="170"/>
      <c r="GY59" s="170"/>
      <c r="GZ59" s="170"/>
      <c r="HA59" s="170"/>
      <c r="HB59" s="170"/>
      <c r="HC59" s="170"/>
      <c r="HD59" s="170"/>
      <c r="HE59" s="170"/>
      <c r="HF59" s="170"/>
      <c r="HG59" s="170"/>
      <c r="HH59" s="170"/>
      <c r="HI59" s="170"/>
      <c r="HJ59" s="170"/>
      <c r="HK59" s="170"/>
      <c r="HL59" s="170"/>
      <c r="HM59" s="170"/>
      <c r="HN59" s="170"/>
      <c r="HO59" s="170"/>
      <c r="HP59" s="170"/>
      <c r="HQ59" s="170"/>
      <c r="HR59" s="170"/>
      <c r="HS59" s="170"/>
      <c r="HT59" s="170"/>
    </row>
    <row r="60" spans="1:228" s="204" customFormat="1" ht="15" customHeight="1">
      <c r="A60" s="168"/>
      <c r="B60" s="208" t="str">
        <f>B$58 &amp; ".02"</f>
        <v>01.06.02.02</v>
      </c>
      <c r="C60" s="844" t="s">
        <v>838</v>
      </c>
      <c r="D60" s="183" t="s">
        <v>307</v>
      </c>
      <c r="E60" s="197">
        <v>1</v>
      </c>
      <c r="F60" s="193">
        <f>F39+F44</f>
        <v>702.82999999999993</v>
      </c>
      <c r="G60" s="202"/>
      <c r="H60" s="202"/>
      <c r="I60" s="193">
        <f t="shared" si="0"/>
        <v>702.83</v>
      </c>
      <c r="J60" s="194">
        <f t="shared" si="1"/>
        <v>702.83</v>
      </c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0"/>
      <c r="AC60" s="170"/>
      <c r="AD60" s="170"/>
      <c r="AE60" s="170"/>
      <c r="AF60" s="170"/>
      <c r="AG60" s="170"/>
      <c r="AH60" s="170"/>
      <c r="AI60" s="170"/>
      <c r="AJ60" s="170"/>
      <c r="AK60" s="170"/>
      <c r="AL60" s="170"/>
      <c r="AM60" s="170"/>
      <c r="AN60" s="170"/>
      <c r="AO60" s="170"/>
      <c r="AP60" s="170"/>
      <c r="AQ60" s="170"/>
      <c r="AR60" s="170"/>
      <c r="AS60" s="170"/>
      <c r="AT60" s="170"/>
      <c r="AU60" s="170"/>
      <c r="AV60" s="170"/>
      <c r="AW60" s="170"/>
      <c r="AX60" s="170"/>
      <c r="AY60" s="170"/>
      <c r="AZ60" s="170"/>
      <c r="BA60" s="170"/>
      <c r="BB60" s="170"/>
      <c r="BC60" s="170"/>
      <c r="BD60" s="170"/>
      <c r="BE60" s="170"/>
      <c r="BF60" s="170"/>
      <c r="BG60" s="170"/>
      <c r="BH60" s="170"/>
      <c r="BI60" s="170"/>
      <c r="BJ60" s="170"/>
      <c r="BK60" s="170"/>
      <c r="BL60" s="170"/>
      <c r="BM60" s="170"/>
      <c r="BN60" s="170"/>
      <c r="BO60" s="170"/>
      <c r="BP60" s="170"/>
      <c r="BQ60" s="170"/>
      <c r="BR60" s="170"/>
      <c r="BS60" s="170"/>
      <c r="BT60" s="170"/>
      <c r="BU60" s="170"/>
      <c r="BV60" s="170"/>
      <c r="BW60" s="170"/>
      <c r="BX60" s="170"/>
      <c r="BY60" s="170"/>
      <c r="BZ60" s="170"/>
      <c r="CA60" s="170"/>
      <c r="CB60" s="170"/>
      <c r="CC60" s="170"/>
      <c r="CD60" s="170"/>
      <c r="CE60" s="170"/>
      <c r="CF60" s="170"/>
      <c r="CG60" s="170"/>
      <c r="CH60" s="170"/>
      <c r="CI60" s="170"/>
      <c r="CJ60" s="170"/>
      <c r="CK60" s="170"/>
      <c r="CL60" s="170"/>
      <c r="CM60" s="170"/>
      <c r="CN60" s="170"/>
      <c r="CO60" s="170"/>
      <c r="CP60" s="170"/>
      <c r="CQ60" s="170"/>
      <c r="CR60" s="170"/>
      <c r="CS60" s="170"/>
      <c r="CT60" s="170"/>
      <c r="CU60" s="170"/>
      <c r="CV60" s="170"/>
      <c r="CW60" s="170"/>
      <c r="CX60" s="170"/>
      <c r="CY60" s="170"/>
      <c r="CZ60" s="170"/>
      <c r="DA60" s="170"/>
      <c r="DB60" s="170"/>
      <c r="DC60" s="170"/>
      <c r="DD60" s="170"/>
      <c r="DE60" s="170"/>
      <c r="DF60" s="170"/>
      <c r="DG60" s="170"/>
      <c r="DH60" s="170"/>
      <c r="DI60" s="170"/>
      <c r="DJ60" s="170"/>
      <c r="DK60" s="170"/>
      <c r="DL60" s="170"/>
      <c r="DM60" s="170"/>
      <c r="DN60" s="170"/>
      <c r="DO60" s="170"/>
      <c r="DP60" s="170"/>
      <c r="DQ60" s="170"/>
      <c r="DR60" s="170"/>
      <c r="DS60" s="170"/>
      <c r="DT60" s="170"/>
      <c r="DU60" s="170"/>
      <c r="DV60" s="170"/>
      <c r="DW60" s="170"/>
      <c r="DX60" s="170"/>
      <c r="DY60" s="170"/>
      <c r="DZ60" s="170"/>
      <c r="EA60" s="170"/>
      <c r="EB60" s="170"/>
      <c r="EC60" s="170"/>
      <c r="ED60" s="170"/>
      <c r="EE60" s="170"/>
      <c r="EF60" s="170"/>
      <c r="EG60" s="170"/>
      <c r="EH60" s="170"/>
      <c r="EI60" s="170"/>
      <c r="EJ60" s="170"/>
      <c r="EK60" s="170"/>
      <c r="EL60" s="170"/>
      <c r="EM60" s="170"/>
      <c r="EN60" s="170"/>
      <c r="EO60" s="170"/>
      <c r="EP60" s="170"/>
      <c r="EQ60" s="170"/>
      <c r="ER60" s="170"/>
      <c r="ES60" s="170"/>
      <c r="ET60" s="170"/>
      <c r="EU60" s="170"/>
      <c r="EV60" s="170"/>
      <c r="EW60" s="170"/>
      <c r="EX60" s="170"/>
      <c r="EY60" s="170"/>
      <c r="EZ60" s="170"/>
      <c r="FA60" s="170"/>
      <c r="FB60" s="170"/>
      <c r="FC60" s="170"/>
      <c r="FD60" s="170"/>
      <c r="FE60" s="170"/>
      <c r="FF60" s="170"/>
      <c r="FG60" s="170"/>
      <c r="FH60" s="170"/>
      <c r="FI60" s="170"/>
      <c r="FJ60" s="170"/>
      <c r="FK60" s="170"/>
      <c r="FL60" s="170"/>
      <c r="FM60" s="170"/>
      <c r="FN60" s="170"/>
      <c r="FO60" s="170"/>
      <c r="FP60" s="170"/>
      <c r="FQ60" s="170"/>
      <c r="FR60" s="170"/>
      <c r="FS60" s="170"/>
      <c r="FT60" s="170"/>
      <c r="FU60" s="170"/>
      <c r="FV60" s="170"/>
      <c r="FW60" s="170"/>
      <c r="FX60" s="170"/>
      <c r="FY60" s="170"/>
      <c r="FZ60" s="170"/>
      <c r="GA60" s="170"/>
      <c r="GB60" s="170"/>
      <c r="GC60" s="170"/>
      <c r="GD60" s="170"/>
      <c r="GE60" s="170"/>
      <c r="GF60" s="170"/>
      <c r="GG60" s="170"/>
      <c r="GH60" s="170"/>
      <c r="GI60" s="170"/>
      <c r="GJ60" s="170"/>
      <c r="GK60" s="170"/>
      <c r="GL60" s="170"/>
      <c r="GM60" s="170"/>
      <c r="GN60" s="170"/>
      <c r="GO60" s="170"/>
      <c r="GP60" s="170"/>
      <c r="GQ60" s="170"/>
      <c r="GR60" s="170"/>
      <c r="GS60" s="170"/>
      <c r="GT60" s="170"/>
      <c r="GU60" s="170"/>
      <c r="GV60" s="170"/>
      <c r="GW60" s="170"/>
      <c r="GX60" s="170"/>
      <c r="GY60" s="170"/>
      <c r="GZ60" s="170"/>
      <c r="HA60" s="170"/>
      <c r="HB60" s="170"/>
      <c r="HC60" s="170"/>
      <c r="HD60" s="170"/>
      <c r="HE60" s="170"/>
      <c r="HF60" s="170"/>
      <c r="HG60" s="170"/>
      <c r="HH60" s="170"/>
      <c r="HI60" s="170"/>
      <c r="HJ60" s="170"/>
      <c r="HK60" s="170"/>
      <c r="HL60" s="170"/>
      <c r="HM60" s="170"/>
      <c r="HN60" s="170"/>
      <c r="HO60" s="170"/>
      <c r="HP60" s="170"/>
      <c r="HQ60" s="170"/>
      <c r="HR60" s="170"/>
      <c r="HS60" s="170"/>
      <c r="HT60" s="170"/>
    </row>
    <row r="61" spans="1:228" s="204" customFormat="1" ht="15" customHeight="1">
      <c r="A61" s="168"/>
      <c r="B61" s="208" t="str">
        <f>B$58 &amp; ".03"</f>
        <v>01.06.02.03</v>
      </c>
      <c r="C61" s="845" t="s">
        <v>1064</v>
      </c>
      <c r="D61" s="183" t="s">
        <v>307</v>
      </c>
      <c r="E61" s="197">
        <v>1</v>
      </c>
      <c r="F61" s="193">
        <f>F51</f>
        <v>50</v>
      </c>
      <c r="G61" s="202"/>
      <c r="H61" s="202"/>
      <c r="I61" s="193">
        <f t="shared" si="0"/>
        <v>50</v>
      </c>
      <c r="J61" s="194">
        <f t="shared" si="1"/>
        <v>50</v>
      </c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0"/>
      <c r="AB61" s="170"/>
      <c r="AC61" s="170"/>
      <c r="AD61" s="170"/>
      <c r="AE61" s="170"/>
      <c r="AF61" s="170"/>
      <c r="AG61" s="170"/>
      <c r="AH61" s="170"/>
      <c r="AI61" s="170"/>
      <c r="AJ61" s="170"/>
      <c r="AK61" s="170"/>
      <c r="AL61" s="170"/>
      <c r="AM61" s="170"/>
      <c r="AN61" s="170"/>
      <c r="AO61" s="170"/>
      <c r="AP61" s="170"/>
      <c r="AQ61" s="170"/>
      <c r="AR61" s="170"/>
      <c r="AS61" s="170"/>
      <c r="AT61" s="170"/>
      <c r="AU61" s="170"/>
      <c r="AV61" s="170"/>
      <c r="AW61" s="170"/>
      <c r="AX61" s="170"/>
      <c r="AY61" s="170"/>
      <c r="AZ61" s="170"/>
      <c r="BA61" s="170"/>
      <c r="BB61" s="170"/>
      <c r="BC61" s="170"/>
      <c r="BD61" s="170"/>
      <c r="BE61" s="170"/>
      <c r="BF61" s="170"/>
      <c r="BG61" s="170"/>
      <c r="BH61" s="170"/>
      <c r="BI61" s="170"/>
      <c r="BJ61" s="170"/>
      <c r="BK61" s="170"/>
      <c r="BL61" s="170"/>
      <c r="BM61" s="170"/>
      <c r="BN61" s="170"/>
      <c r="BO61" s="170"/>
      <c r="BP61" s="170"/>
      <c r="BQ61" s="170"/>
      <c r="BR61" s="170"/>
      <c r="BS61" s="170"/>
      <c r="BT61" s="170"/>
      <c r="BU61" s="170"/>
      <c r="BV61" s="170"/>
      <c r="BW61" s="170"/>
      <c r="BX61" s="170"/>
      <c r="BY61" s="170"/>
      <c r="BZ61" s="170"/>
      <c r="CA61" s="170"/>
      <c r="CB61" s="170"/>
      <c r="CC61" s="170"/>
      <c r="CD61" s="170"/>
      <c r="CE61" s="170"/>
      <c r="CF61" s="170"/>
      <c r="CG61" s="170"/>
      <c r="CH61" s="170"/>
      <c r="CI61" s="170"/>
      <c r="CJ61" s="170"/>
      <c r="CK61" s="170"/>
      <c r="CL61" s="170"/>
      <c r="CM61" s="170"/>
      <c r="CN61" s="170"/>
      <c r="CO61" s="170"/>
      <c r="CP61" s="170"/>
      <c r="CQ61" s="170"/>
      <c r="CR61" s="170"/>
      <c r="CS61" s="170"/>
      <c r="CT61" s="170"/>
      <c r="CU61" s="170"/>
      <c r="CV61" s="170"/>
      <c r="CW61" s="170"/>
      <c r="CX61" s="170"/>
      <c r="CY61" s="170"/>
      <c r="CZ61" s="170"/>
      <c r="DA61" s="170"/>
      <c r="DB61" s="170"/>
      <c r="DC61" s="170"/>
      <c r="DD61" s="170"/>
      <c r="DE61" s="170"/>
      <c r="DF61" s="170"/>
      <c r="DG61" s="170"/>
      <c r="DH61" s="170"/>
      <c r="DI61" s="170"/>
      <c r="DJ61" s="170"/>
      <c r="DK61" s="170"/>
      <c r="DL61" s="170"/>
      <c r="DM61" s="170"/>
      <c r="DN61" s="170"/>
      <c r="DO61" s="170"/>
      <c r="DP61" s="170"/>
      <c r="DQ61" s="170"/>
      <c r="DR61" s="170"/>
      <c r="DS61" s="170"/>
      <c r="DT61" s="170"/>
      <c r="DU61" s="170"/>
      <c r="DV61" s="170"/>
      <c r="DW61" s="170"/>
      <c r="DX61" s="170"/>
      <c r="DY61" s="170"/>
      <c r="DZ61" s="170"/>
      <c r="EA61" s="170"/>
      <c r="EB61" s="170"/>
      <c r="EC61" s="170"/>
      <c r="ED61" s="170"/>
      <c r="EE61" s="170"/>
      <c r="EF61" s="170"/>
      <c r="EG61" s="170"/>
      <c r="EH61" s="170"/>
      <c r="EI61" s="170"/>
      <c r="EJ61" s="170"/>
      <c r="EK61" s="170"/>
      <c r="EL61" s="170"/>
      <c r="EM61" s="170"/>
      <c r="EN61" s="170"/>
      <c r="EO61" s="170"/>
      <c r="EP61" s="170"/>
      <c r="EQ61" s="170"/>
      <c r="ER61" s="170"/>
      <c r="ES61" s="170"/>
      <c r="ET61" s="170"/>
      <c r="EU61" s="170"/>
      <c r="EV61" s="170"/>
      <c r="EW61" s="170"/>
      <c r="EX61" s="170"/>
      <c r="EY61" s="170"/>
      <c r="EZ61" s="170"/>
      <c r="FA61" s="170"/>
      <c r="FB61" s="170"/>
      <c r="FC61" s="170"/>
      <c r="FD61" s="170"/>
      <c r="FE61" s="170"/>
      <c r="FF61" s="170"/>
      <c r="FG61" s="170"/>
      <c r="FH61" s="170"/>
      <c r="FI61" s="170"/>
      <c r="FJ61" s="170"/>
      <c r="FK61" s="170"/>
      <c r="FL61" s="170"/>
      <c r="FM61" s="170"/>
      <c r="FN61" s="170"/>
      <c r="FO61" s="170"/>
      <c r="FP61" s="170"/>
      <c r="FQ61" s="170"/>
      <c r="FR61" s="170"/>
      <c r="FS61" s="170"/>
      <c r="FT61" s="170"/>
      <c r="FU61" s="170"/>
      <c r="FV61" s="170"/>
      <c r="FW61" s="170"/>
      <c r="FX61" s="170"/>
      <c r="FY61" s="170"/>
      <c r="FZ61" s="170"/>
      <c r="GA61" s="170"/>
      <c r="GB61" s="170"/>
      <c r="GC61" s="170"/>
      <c r="GD61" s="170"/>
      <c r="GE61" s="170"/>
      <c r="GF61" s="170"/>
      <c r="GG61" s="170"/>
      <c r="GH61" s="170"/>
      <c r="GI61" s="170"/>
      <c r="GJ61" s="170"/>
      <c r="GK61" s="170"/>
      <c r="GL61" s="170"/>
      <c r="GM61" s="170"/>
      <c r="GN61" s="170"/>
      <c r="GO61" s="170"/>
      <c r="GP61" s="170"/>
      <c r="GQ61" s="170"/>
      <c r="GR61" s="170"/>
      <c r="GS61" s="170"/>
      <c r="GT61" s="170"/>
      <c r="GU61" s="170"/>
      <c r="GV61" s="170"/>
      <c r="GW61" s="170"/>
      <c r="GX61" s="170"/>
      <c r="GY61" s="170"/>
      <c r="GZ61" s="170"/>
      <c r="HA61" s="170"/>
      <c r="HB61" s="170"/>
      <c r="HC61" s="170"/>
      <c r="HD61" s="170"/>
      <c r="HE61" s="170"/>
      <c r="HF61" s="170"/>
      <c r="HG61" s="170"/>
      <c r="HH61" s="170"/>
      <c r="HI61" s="170"/>
      <c r="HJ61" s="170"/>
      <c r="HK61" s="170"/>
      <c r="HL61" s="170"/>
      <c r="HM61" s="170"/>
      <c r="HN61" s="170"/>
      <c r="HO61" s="170"/>
      <c r="HP61" s="170"/>
      <c r="HQ61" s="170"/>
      <c r="HR61" s="170"/>
      <c r="HS61" s="170"/>
      <c r="HT61" s="170"/>
    </row>
    <row r="62" spans="1:228" s="204" customFormat="1" ht="15" customHeight="1">
      <c r="A62" s="168"/>
      <c r="B62" s="208" t="str">
        <f>B$58 &amp; ".04"</f>
        <v>01.06.02.04</v>
      </c>
      <c r="C62" s="844" t="s">
        <v>546</v>
      </c>
      <c r="D62" s="183" t="s">
        <v>307</v>
      </c>
      <c r="E62" s="197">
        <v>1</v>
      </c>
      <c r="F62" s="193">
        <f>F59</f>
        <v>344.33000000000004</v>
      </c>
      <c r="G62" s="202"/>
      <c r="H62" s="202"/>
      <c r="I62" s="193">
        <f t="shared" si="0"/>
        <v>344.33</v>
      </c>
      <c r="J62" s="194">
        <f t="shared" si="1"/>
        <v>344.33</v>
      </c>
      <c r="K62" s="170"/>
      <c r="L62" s="426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0"/>
      <c r="AB62" s="170"/>
      <c r="AC62" s="170"/>
      <c r="AD62" s="170"/>
      <c r="AE62" s="170"/>
      <c r="AF62" s="170"/>
      <c r="AG62" s="170"/>
      <c r="AH62" s="170"/>
      <c r="AI62" s="170"/>
      <c r="AJ62" s="170"/>
      <c r="AK62" s="170"/>
      <c r="AL62" s="170"/>
      <c r="AM62" s="170"/>
      <c r="AN62" s="170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170"/>
      <c r="BB62" s="170"/>
      <c r="BC62" s="170"/>
      <c r="BD62" s="170"/>
      <c r="BE62" s="170"/>
      <c r="BF62" s="170"/>
      <c r="BG62" s="170"/>
      <c r="BH62" s="170"/>
      <c r="BI62" s="170"/>
      <c r="BJ62" s="170"/>
      <c r="BK62" s="170"/>
      <c r="BL62" s="170"/>
      <c r="BM62" s="170"/>
      <c r="BN62" s="170"/>
      <c r="BO62" s="170"/>
      <c r="BP62" s="170"/>
      <c r="BQ62" s="170"/>
      <c r="BR62" s="170"/>
      <c r="BS62" s="170"/>
      <c r="BT62" s="170"/>
      <c r="BU62" s="170"/>
      <c r="BV62" s="170"/>
      <c r="BW62" s="170"/>
      <c r="BX62" s="170"/>
      <c r="BY62" s="170"/>
      <c r="BZ62" s="170"/>
      <c r="CA62" s="170"/>
      <c r="CB62" s="170"/>
      <c r="CC62" s="170"/>
      <c r="CD62" s="170"/>
      <c r="CE62" s="170"/>
      <c r="CF62" s="170"/>
      <c r="CG62" s="170"/>
      <c r="CH62" s="170"/>
      <c r="CI62" s="170"/>
      <c r="CJ62" s="170"/>
      <c r="CK62" s="170"/>
      <c r="CL62" s="170"/>
      <c r="CM62" s="170"/>
      <c r="CN62" s="170"/>
      <c r="CO62" s="170"/>
      <c r="CP62" s="170"/>
      <c r="CQ62" s="170"/>
      <c r="CR62" s="170"/>
      <c r="CS62" s="170"/>
      <c r="CT62" s="170"/>
      <c r="CU62" s="170"/>
      <c r="CV62" s="170"/>
      <c r="CW62" s="170"/>
      <c r="CX62" s="170"/>
      <c r="CY62" s="170"/>
      <c r="CZ62" s="170"/>
      <c r="DA62" s="170"/>
      <c r="DB62" s="170"/>
      <c r="DC62" s="170"/>
      <c r="DD62" s="170"/>
      <c r="DE62" s="170"/>
      <c r="DF62" s="170"/>
      <c r="DG62" s="170"/>
      <c r="DH62" s="170"/>
      <c r="DI62" s="170"/>
      <c r="DJ62" s="170"/>
      <c r="DK62" s="170"/>
      <c r="DL62" s="170"/>
      <c r="DM62" s="170"/>
      <c r="DN62" s="170"/>
      <c r="DO62" s="170"/>
      <c r="DP62" s="170"/>
      <c r="DQ62" s="170"/>
      <c r="DR62" s="170"/>
      <c r="DS62" s="170"/>
      <c r="DT62" s="170"/>
      <c r="DU62" s="170"/>
      <c r="DV62" s="170"/>
      <c r="DW62" s="170"/>
      <c r="DX62" s="170"/>
      <c r="DY62" s="170"/>
      <c r="DZ62" s="170"/>
      <c r="EA62" s="170"/>
      <c r="EB62" s="170"/>
      <c r="EC62" s="170"/>
      <c r="ED62" s="170"/>
      <c r="EE62" s="170"/>
      <c r="EF62" s="170"/>
      <c r="EG62" s="170"/>
      <c r="EH62" s="170"/>
      <c r="EI62" s="170"/>
      <c r="EJ62" s="170"/>
      <c r="EK62" s="170"/>
      <c r="EL62" s="170"/>
      <c r="EM62" s="170"/>
      <c r="EN62" s="170"/>
      <c r="EO62" s="170"/>
      <c r="EP62" s="170"/>
      <c r="EQ62" s="170"/>
      <c r="ER62" s="170"/>
      <c r="ES62" s="170"/>
      <c r="ET62" s="170"/>
      <c r="EU62" s="170"/>
      <c r="EV62" s="170"/>
      <c r="EW62" s="170"/>
      <c r="EX62" s="170"/>
      <c r="EY62" s="170"/>
      <c r="EZ62" s="170"/>
      <c r="FA62" s="170"/>
      <c r="FB62" s="170"/>
      <c r="FC62" s="170"/>
      <c r="FD62" s="170"/>
      <c r="FE62" s="170"/>
      <c r="FF62" s="170"/>
      <c r="FG62" s="170"/>
      <c r="FH62" s="170"/>
      <c r="FI62" s="170"/>
      <c r="FJ62" s="170"/>
      <c r="FK62" s="170"/>
      <c r="FL62" s="170"/>
      <c r="FM62" s="170"/>
      <c r="FN62" s="170"/>
      <c r="FO62" s="170"/>
      <c r="FP62" s="170"/>
      <c r="FQ62" s="170"/>
      <c r="FR62" s="170"/>
      <c r="FS62" s="170"/>
      <c r="FT62" s="170"/>
      <c r="FU62" s="170"/>
      <c r="FV62" s="170"/>
      <c r="FW62" s="170"/>
      <c r="FX62" s="170"/>
      <c r="FY62" s="170"/>
      <c r="FZ62" s="170"/>
      <c r="GA62" s="170"/>
      <c r="GB62" s="170"/>
      <c r="GC62" s="170"/>
      <c r="GD62" s="170"/>
      <c r="GE62" s="170"/>
      <c r="GF62" s="170"/>
      <c r="GG62" s="170"/>
      <c r="GH62" s="170"/>
      <c r="GI62" s="170"/>
      <c r="GJ62" s="170"/>
      <c r="GK62" s="170"/>
      <c r="GL62" s="170"/>
      <c r="GM62" s="170"/>
      <c r="GN62" s="170"/>
      <c r="GO62" s="170"/>
      <c r="GP62" s="170"/>
      <c r="GQ62" s="170"/>
      <c r="GR62" s="170"/>
      <c r="GS62" s="170"/>
      <c r="GT62" s="170"/>
      <c r="GU62" s="170"/>
      <c r="GV62" s="170"/>
      <c r="GW62" s="170"/>
      <c r="GX62" s="170"/>
      <c r="GY62" s="170"/>
      <c r="GZ62" s="170"/>
      <c r="HA62" s="170"/>
      <c r="HB62" s="170"/>
      <c r="HC62" s="170"/>
      <c r="HD62" s="170"/>
      <c r="HE62" s="170"/>
      <c r="HF62" s="170"/>
      <c r="HG62" s="170"/>
      <c r="HH62" s="170"/>
      <c r="HI62" s="170"/>
      <c r="HJ62" s="170"/>
      <c r="HK62" s="170"/>
      <c r="HL62" s="170"/>
      <c r="HM62" s="170"/>
      <c r="HN62" s="170"/>
      <c r="HO62" s="170"/>
      <c r="HP62" s="170"/>
      <c r="HQ62" s="170"/>
      <c r="HR62" s="170"/>
      <c r="HS62" s="170"/>
      <c r="HT62" s="170"/>
    </row>
    <row r="63" spans="1:228" s="204" customFormat="1" ht="15" customHeight="1">
      <c r="A63" s="168"/>
      <c r="B63" s="208" t="str">
        <f>B$58 &amp; ".05"</f>
        <v>01.06.02.05</v>
      </c>
      <c r="C63" s="844" t="s">
        <v>545</v>
      </c>
      <c r="D63" s="183" t="s">
        <v>307</v>
      </c>
      <c r="E63" s="197">
        <v>1</v>
      </c>
      <c r="F63" s="193">
        <f>F60</f>
        <v>702.82999999999993</v>
      </c>
      <c r="G63" s="202"/>
      <c r="H63" s="202"/>
      <c r="I63" s="193">
        <f t="shared" si="0"/>
        <v>702.83</v>
      </c>
      <c r="J63" s="194">
        <f t="shared" si="1"/>
        <v>702.83</v>
      </c>
      <c r="K63" s="170"/>
      <c r="L63" s="426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  <c r="AB63" s="170"/>
      <c r="AC63" s="170"/>
      <c r="AD63" s="170"/>
      <c r="AE63" s="170"/>
      <c r="AF63" s="170"/>
      <c r="AG63" s="170"/>
      <c r="AH63" s="170"/>
      <c r="AI63" s="170"/>
      <c r="AJ63" s="170"/>
      <c r="AK63" s="170"/>
      <c r="AL63" s="170"/>
      <c r="AM63" s="170"/>
      <c r="AN63" s="170"/>
      <c r="AO63" s="170"/>
      <c r="AP63" s="170"/>
      <c r="AQ63" s="170"/>
      <c r="AR63" s="170"/>
      <c r="AS63" s="170"/>
      <c r="AT63" s="170"/>
      <c r="AU63" s="170"/>
      <c r="AV63" s="170"/>
      <c r="AW63" s="170"/>
      <c r="AX63" s="170"/>
      <c r="AY63" s="170"/>
      <c r="AZ63" s="170"/>
      <c r="BA63" s="170"/>
      <c r="BB63" s="170"/>
      <c r="BC63" s="170"/>
      <c r="BD63" s="170"/>
      <c r="BE63" s="170"/>
      <c r="BF63" s="170"/>
      <c r="BG63" s="170"/>
      <c r="BH63" s="170"/>
      <c r="BI63" s="170"/>
      <c r="BJ63" s="170"/>
      <c r="BK63" s="170"/>
      <c r="BL63" s="170"/>
      <c r="BM63" s="170"/>
      <c r="BN63" s="170"/>
      <c r="BO63" s="170"/>
      <c r="BP63" s="170"/>
      <c r="BQ63" s="170"/>
      <c r="BR63" s="170"/>
      <c r="BS63" s="170"/>
      <c r="BT63" s="170"/>
      <c r="BU63" s="170"/>
      <c r="BV63" s="170"/>
      <c r="BW63" s="170"/>
      <c r="BX63" s="170"/>
      <c r="BY63" s="170"/>
      <c r="BZ63" s="170"/>
      <c r="CA63" s="170"/>
      <c r="CB63" s="170"/>
      <c r="CC63" s="170"/>
      <c r="CD63" s="170"/>
      <c r="CE63" s="170"/>
      <c r="CF63" s="170"/>
      <c r="CG63" s="170"/>
      <c r="CH63" s="170"/>
      <c r="CI63" s="170"/>
      <c r="CJ63" s="170"/>
      <c r="CK63" s="170"/>
      <c r="CL63" s="170"/>
      <c r="CM63" s="170"/>
      <c r="CN63" s="170"/>
      <c r="CO63" s="170"/>
      <c r="CP63" s="170"/>
      <c r="CQ63" s="170"/>
      <c r="CR63" s="170"/>
      <c r="CS63" s="170"/>
      <c r="CT63" s="170"/>
      <c r="CU63" s="170"/>
      <c r="CV63" s="170"/>
      <c r="CW63" s="170"/>
      <c r="CX63" s="170"/>
      <c r="CY63" s="170"/>
      <c r="CZ63" s="170"/>
      <c r="DA63" s="170"/>
      <c r="DB63" s="170"/>
      <c r="DC63" s="170"/>
      <c r="DD63" s="170"/>
      <c r="DE63" s="170"/>
      <c r="DF63" s="170"/>
      <c r="DG63" s="170"/>
      <c r="DH63" s="170"/>
      <c r="DI63" s="170"/>
      <c r="DJ63" s="170"/>
      <c r="DK63" s="170"/>
      <c r="DL63" s="170"/>
      <c r="DM63" s="170"/>
      <c r="DN63" s="170"/>
      <c r="DO63" s="170"/>
      <c r="DP63" s="170"/>
      <c r="DQ63" s="170"/>
      <c r="DR63" s="170"/>
      <c r="DS63" s="170"/>
      <c r="DT63" s="170"/>
      <c r="DU63" s="170"/>
      <c r="DV63" s="170"/>
      <c r="DW63" s="170"/>
      <c r="DX63" s="170"/>
      <c r="DY63" s="170"/>
      <c r="DZ63" s="170"/>
      <c r="EA63" s="170"/>
      <c r="EB63" s="170"/>
      <c r="EC63" s="170"/>
      <c r="ED63" s="170"/>
      <c r="EE63" s="170"/>
      <c r="EF63" s="170"/>
      <c r="EG63" s="170"/>
      <c r="EH63" s="170"/>
      <c r="EI63" s="170"/>
      <c r="EJ63" s="170"/>
      <c r="EK63" s="170"/>
      <c r="EL63" s="170"/>
      <c r="EM63" s="170"/>
      <c r="EN63" s="170"/>
      <c r="EO63" s="170"/>
      <c r="EP63" s="170"/>
      <c r="EQ63" s="170"/>
      <c r="ER63" s="170"/>
      <c r="ES63" s="170"/>
      <c r="ET63" s="170"/>
      <c r="EU63" s="170"/>
      <c r="EV63" s="170"/>
      <c r="EW63" s="170"/>
      <c r="EX63" s="170"/>
      <c r="EY63" s="170"/>
      <c r="EZ63" s="170"/>
      <c r="FA63" s="170"/>
      <c r="FB63" s="170"/>
      <c r="FC63" s="170"/>
      <c r="FD63" s="170"/>
      <c r="FE63" s="170"/>
      <c r="FF63" s="170"/>
      <c r="FG63" s="170"/>
      <c r="FH63" s="170"/>
      <c r="FI63" s="170"/>
      <c r="FJ63" s="170"/>
      <c r="FK63" s="170"/>
      <c r="FL63" s="170"/>
      <c r="FM63" s="170"/>
      <c r="FN63" s="170"/>
      <c r="FO63" s="170"/>
      <c r="FP63" s="170"/>
      <c r="FQ63" s="170"/>
      <c r="FR63" s="170"/>
      <c r="FS63" s="170"/>
      <c r="FT63" s="170"/>
      <c r="FU63" s="170"/>
      <c r="FV63" s="170"/>
      <c r="FW63" s="170"/>
      <c r="FX63" s="170"/>
      <c r="FY63" s="170"/>
      <c r="FZ63" s="170"/>
      <c r="GA63" s="170"/>
      <c r="GB63" s="170"/>
      <c r="GC63" s="170"/>
      <c r="GD63" s="170"/>
      <c r="GE63" s="170"/>
      <c r="GF63" s="170"/>
      <c r="GG63" s="170"/>
      <c r="GH63" s="170"/>
      <c r="GI63" s="170"/>
      <c r="GJ63" s="170"/>
      <c r="GK63" s="170"/>
      <c r="GL63" s="170"/>
      <c r="GM63" s="170"/>
      <c r="GN63" s="170"/>
      <c r="GO63" s="170"/>
      <c r="GP63" s="170"/>
      <c r="GQ63" s="170"/>
      <c r="GR63" s="170"/>
      <c r="GS63" s="170"/>
      <c r="GT63" s="170"/>
      <c r="GU63" s="170"/>
      <c r="GV63" s="170"/>
      <c r="GW63" s="170"/>
      <c r="GX63" s="170"/>
      <c r="GY63" s="170"/>
      <c r="GZ63" s="170"/>
      <c r="HA63" s="170"/>
      <c r="HB63" s="170"/>
      <c r="HC63" s="170"/>
      <c r="HD63" s="170"/>
      <c r="HE63" s="170"/>
      <c r="HF63" s="170"/>
      <c r="HG63" s="170"/>
      <c r="HH63" s="170"/>
      <c r="HI63" s="170"/>
      <c r="HJ63" s="170"/>
      <c r="HK63" s="170"/>
      <c r="HL63" s="170"/>
      <c r="HM63" s="170"/>
      <c r="HN63" s="170"/>
      <c r="HO63" s="170"/>
      <c r="HP63" s="170"/>
      <c r="HQ63" s="170"/>
      <c r="HR63" s="170"/>
      <c r="HS63" s="170"/>
      <c r="HT63" s="170"/>
    </row>
    <row r="64" spans="1:228" s="204" customFormat="1" ht="15" customHeight="1">
      <c r="A64" s="168"/>
      <c r="B64" s="208" t="str">
        <f>B$58 &amp; ".06"</f>
        <v>01.06.02.06</v>
      </c>
      <c r="C64" s="844" t="s">
        <v>544</v>
      </c>
      <c r="D64" s="183" t="s">
        <v>307</v>
      </c>
      <c r="E64" s="197">
        <v>1</v>
      </c>
      <c r="F64" s="193">
        <f>F61</f>
        <v>50</v>
      </c>
      <c r="G64" s="202"/>
      <c r="H64" s="202"/>
      <c r="I64" s="193">
        <f t="shared" si="0"/>
        <v>50</v>
      </c>
      <c r="J64" s="194">
        <f t="shared" si="1"/>
        <v>50</v>
      </c>
      <c r="K64" s="170"/>
      <c r="L64" s="426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  <c r="AA64" s="170"/>
      <c r="AB64" s="170"/>
      <c r="AC64" s="170"/>
      <c r="AD64" s="170"/>
      <c r="AE64" s="170"/>
      <c r="AF64" s="170"/>
      <c r="AG64" s="170"/>
      <c r="AH64" s="170"/>
      <c r="AI64" s="170"/>
      <c r="AJ64" s="170"/>
      <c r="AK64" s="170"/>
      <c r="AL64" s="170"/>
      <c r="AM64" s="170"/>
      <c r="AN64" s="170"/>
      <c r="AO64" s="170"/>
      <c r="AP64" s="170"/>
      <c r="AQ64" s="170"/>
      <c r="AR64" s="170"/>
      <c r="AS64" s="170"/>
      <c r="AT64" s="170"/>
      <c r="AU64" s="170"/>
      <c r="AV64" s="170"/>
      <c r="AW64" s="170"/>
      <c r="AX64" s="170"/>
      <c r="AY64" s="170"/>
      <c r="AZ64" s="170"/>
      <c r="BA64" s="170"/>
      <c r="BB64" s="170"/>
      <c r="BC64" s="170"/>
      <c r="BD64" s="170"/>
      <c r="BE64" s="170"/>
      <c r="BF64" s="170"/>
      <c r="BG64" s="170"/>
      <c r="BH64" s="170"/>
      <c r="BI64" s="170"/>
      <c r="BJ64" s="170"/>
      <c r="BK64" s="170"/>
      <c r="BL64" s="170"/>
      <c r="BM64" s="170"/>
      <c r="BN64" s="170"/>
      <c r="BO64" s="170"/>
      <c r="BP64" s="170"/>
      <c r="BQ64" s="170"/>
      <c r="BR64" s="170"/>
      <c r="BS64" s="170"/>
      <c r="BT64" s="170"/>
      <c r="BU64" s="170"/>
      <c r="BV64" s="170"/>
      <c r="BW64" s="170"/>
      <c r="BX64" s="170"/>
      <c r="BY64" s="170"/>
      <c r="BZ64" s="170"/>
      <c r="CA64" s="170"/>
      <c r="CB64" s="170"/>
      <c r="CC64" s="170"/>
      <c r="CD64" s="170"/>
      <c r="CE64" s="170"/>
      <c r="CF64" s="170"/>
      <c r="CG64" s="170"/>
      <c r="CH64" s="170"/>
      <c r="CI64" s="170"/>
      <c r="CJ64" s="170"/>
      <c r="CK64" s="170"/>
      <c r="CL64" s="170"/>
      <c r="CM64" s="170"/>
      <c r="CN64" s="170"/>
      <c r="CO64" s="170"/>
      <c r="CP64" s="170"/>
      <c r="CQ64" s="170"/>
      <c r="CR64" s="170"/>
      <c r="CS64" s="170"/>
      <c r="CT64" s="170"/>
      <c r="CU64" s="170"/>
      <c r="CV64" s="170"/>
      <c r="CW64" s="170"/>
      <c r="CX64" s="170"/>
      <c r="CY64" s="170"/>
      <c r="CZ64" s="170"/>
      <c r="DA64" s="170"/>
      <c r="DB64" s="170"/>
      <c r="DC64" s="170"/>
      <c r="DD64" s="170"/>
      <c r="DE64" s="170"/>
      <c r="DF64" s="170"/>
      <c r="DG64" s="170"/>
      <c r="DH64" s="170"/>
      <c r="DI64" s="170"/>
      <c r="DJ64" s="170"/>
      <c r="DK64" s="170"/>
      <c r="DL64" s="170"/>
      <c r="DM64" s="170"/>
      <c r="DN64" s="170"/>
      <c r="DO64" s="170"/>
      <c r="DP64" s="170"/>
      <c r="DQ64" s="170"/>
      <c r="DR64" s="170"/>
      <c r="DS64" s="170"/>
      <c r="DT64" s="170"/>
      <c r="DU64" s="170"/>
      <c r="DV64" s="170"/>
      <c r="DW64" s="170"/>
      <c r="DX64" s="170"/>
      <c r="DY64" s="170"/>
      <c r="DZ64" s="170"/>
      <c r="EA64" s="170"/>
      <c r="EB64" s="170"/>
      <c r="EC64" s="170"/>
      <c r="ED64" s="170"/>
      <c r="EE64" s="170"/>
      <c r="EF64" s="170"/>
      <c r="EG64" s="170"/>
      <c r="EH64" s="170"/>
      <c r="EI64" s="170"/>
      <c r="EJ64" s="170"/>
      <c r="EK64" s="170"/>
      <c r="EL64" s="170"/>
      <c r="EM64" s="170"/>
      <c r="EN64" s="170"/>
      <c r="EO64" s="170"/>
      <c r="EP64" s="170"/>
      <c r="EQ64" s="170"/>
      <c r="ER64" s="170"/>
      <c r="ES64" s="170"/>
      <c r="ET64" s="170"/>
      <c r="EU64" s="170"/>
      <c r="EV64" s="170"/>
      <c r="EW64" s="170"/>
      <c r="EX64" s="170"/>
      <c r="EY64" s="170"/>
      <c r="EZ64" s="170"/>
      <c r="FA64" s="170"/>
      <c r="FB64" s="170"/>
      <c r="FC64" s="170"/>
      <c r="FD64" s="170"/>
      <c r="FE64" s="170"/>
      <c r="FF64" s="170"/>
      <c r="FG64" s="170"/>
      <c r="FH64" s="170"/>
      <c r="FI64" s="170"/>
      <c r="FJ64" s="170"/>
      <c r="FK64" s="170"/>
      <c r="FL64" s="170"/>
      <c r="FM64" s="170"/>
      <c r="FN64" s="170"/>
      <c r="FO64" s="170"/>
      <c r="FP64" s="170"/>
      <c r="FQ64" s="170"/>
      <c r="FR64" s="170"/>
      <c r="FS64" s="170"/>
      <c r="FT64" s="170"/>
      <c r="FU64" s="170"/>
      <c r="FV64" s="170"/>
      <c r="FW64" s="170"/>
      <c r="FX64" s="170"/>
      <c r="FY64" s="170"/>
      <c r="FZ64" s="170"/>
      <c r="GA64" s="170"/>
      <c r="GB64" s="170"/>
      <c r="GC64" s="170"/>
      <c r="GD64" s="170"/>
      <c r="GE64" s="170"/>
      <c r="GF64" s="170"/>
      <c r="GG64" s="170"/>
      <c r="GH64" s="170"/>
      <c r="GI64" s="170"/>
      <c r="GJ64" s="170"/>
      <c r="GK64" s="170"/>
      <c r="GL64" s="170"/>
      <c r="GM64" s="170"/>
      <c r="GN64" s="170"/>
      <c r="GO64" s="170"/>
      <c r="GP64" s="170"/>
      <c r="GQ64" s="170"/>
      <c r="GR64" s="170"/>
      <c r="GS64" s="170"/>
      <c r="GT64" s="170"/>
      <c r="GU64" s="170"/>
      <c r="GV64" s="170"/>
      <c r="GW64" s="170"/>
      <c r="GX64" s="170"/>
      <c r="GY64" s="170"/>
      <c r="GZ64" s="170"/>
      <c r="HA64" s="170"/>
      <c r="HB64" s="170"/>
      <c r="HC64" s="170"/>
      <c r="HD64" s="170"/>
      <c r="HE64" s="170"/>
      <c r="HF64" s="170"/>
      <c r="HG64" s="170"/>
      <c r="HH64" s="170"/>
      <c r="HI64" s="170"/>
      <c r="HJ64" s="170"/>
      <c r="HK64" s="170"/>
      <c r="HL64" s="170"/>
      <c r="HM64" s="170"/>
      <c r="HN64" s="170"/>
      <c r="HO64" s="170"/>
      <c r="HP64" s="170"/>
      <c r="HQ64" s="170"/>
      <c r="HR64" s="170"/>
      <c r="HS64" s="170"/>
      <c r="HT64" s="170"/>
    </row>
    <row r="65" spans="1:228" s="204" customFormat="1" ht="15" customHeight="1">
      <c r="A65" s="168"/>
      <c r="B65" s="208" t="str">
        <f>B$58 &amp; ".07"</f>
        <v>01.06.02.07</v>
      </c>
      <c r="C65" s="845" t="s">
        <v>1065</v>
      </c>
      <c r="D65" s="183" t="s">
        <v>307</v>
      </c>
      <c r="E65" s="197">
        <v>1</v>
      </c>
      <c r="F65" s="193">
        <f>F59+F60</f>
        <v>1047.1599999999999</v>
      </c>
      <c r="G65" s="202"/>
      <c r="H65" s="202"/>
      <c r="I65" s="193">
        <f t="shared" si="0"/>
        <v>1047.1600000000001</v>
      </c>
      <c r="J65" s="194">
        <f t="shared" si="1"/>
        <v>1047.1600000000001</v>
      </c>
      <c r="K65" s="170"/>
      <c r="L65" s="426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  <c r="AA65" s="170"/>
      <c r="AB65" s="170"/>
      <c r="AC65" s="170"/>
      <c r="AD65" s="170"/>
      <c r="AE65" s="170"/>
      <c r="AF65" s="170"/>
      <c r="AG65" s="170"/>
      <c r="AH65" s="170"/>
      <c r="AI65" s="170"/>
      <c r="AJ65" s="170"/>
      <c r="AK65" s="170"/>
      <c r="AL65" s="170"/>
      <c r="AM65" s="170"/>
      <c r="AN65" s="170"/>
      <c r="AO65" s="170"/>
      <c r="AP65" s="170"/>
      <c r="AQ65" s="170"/>
      <c r="AR65" s="170"/>
      <c r="AS65" s="170"/>
      <c r="AT65" s="170"/>
      <c r="AU65" s="170"/>
      <c r="AV65" s="170"/>
      <c r="AW65" s="170"/>
      <c r="AX65" s="170"/>
      <c r="AY65" s="170"/>
      <c r="AZ65" s="170"/>
      <c r="BA65" s="170"/>
      <c r="BB65" s="170"/>
      <c r="BC65" s="170"/>
      <c r="BD65" s="170"/>
      <c r="BE65" s="170"/>
      <c r="BF65" s="170"/>
      <c r="BG65" s="170"/>
      <c r="BH65" s="170"/>
      <c r="BI65" s="170"/>
      <c r="BJ65" s="170"/>
      <c r="BK65" s="170"/>
      <c r="BL65" s="170"/>
      <c r="BM65" s="170"/>
      <c r="BN65" s="170"/>
      <c r="BO65" s="170"/>
      <c r="BP65" s="170"/>
      <c r="BQ65" s="170"/>
      <c r="BR65" s="170"/>
      <c r="BS65" s="170"/>
      <c r="BT65" s="170"/>
      <c r="BU65" s="170"/>
      <c r="BV65" s="170"/>
      <c r="BW65" s="170"/>
      <c r="BX65" s="170"/>
      <c r="BY65" s="170"/>
      <c r="BZ65" s="170"/>
      <c r="CA65" s="170"/>
      <c r="CB65" s="170"/>
      <c r="CC65" s="170"/>
      <c r="CD65" s="170"/>
      <c r="CE65" s="170"/>
      <c r="CF65" s="170"/>
      <c r="CG65" s="170"/>
      <c r="CH65" s="170"/>
      <c r="CI65" s="170"/>
      <c r="CJ65" s="170"/>
      <c r="CK65" s="170"/>
      <c r="CL65" s="170"/>
      <c r="CM65" s="170"/>
      <c r="CN65" s="170"/>
      <c r="CO65" s="170"/>
      <c r="CP65" s="170"/>
      <c r="CQ65" s="170"/>
      <c r="CR65" s="170"/>
      <c r="CS65" s="170"/>
      <c r="CT65" s="170"/>
      <c r="CU65" s="170"/>
      <c r="CV65" s="170"/>
      <c r="CW65" s="170"/>
      <c r="CX65" s="170"/>
      <c r="CY65" s="170"/>
      <c r="CZ65" s="170"/>
      <c r="DA65" s="170"/>
      <c r="DB65" s="170"/>
      <c r="DC65" s="170"/>
      <c r="DD65" s="170"/>
      <c r="DE65" s="170"/>
      <c r="DF65" s="170"/>
      <c r="DG65" s="170"/>
      <c r="DH65" s="170"/>
      <c r="DI65" s="170"/>
      <c r="DJ65" s="170"/>
      <c r="DK65" s="170"/>
      <c r="DL65" s="170"/>
      <c r="DM65" s="170"/>
      <c r="DN65" s="170"/>
      <c r="DO65" s="170"/>
      <c r="DP65" s="170"/>
      <c r="DQ65" s="170"/>
      <c r="DR65" s="170"/>
      <c r="DS65" s="170"/>
      <c r="DT65" s="170"/>
      <c r="DU65" s="170"/>
      <c r="DV65" s="170"/>
      <c r="DW65" s="170"/>
      <c r="DX65" s="170"/>
      <c r="DY65" s="170"/>
      <c r="DZ65" s="170"/>
      <c r="EA65" s="170"/>
      <c r="EB65" s="170"/>
      <c r="EC65" s="170"/>
      <c r="ED65" s="170"/>
      <c r="EE65" s="170"/>
      <c r="EF65" s="170"/>
      <c r="EG65" s="170"/>
      <c r="EH65" s="170"/>
      <c r="EI65" s="170"/>
      <c r="EJ65" s="170"/>
      <c r="EK65" s="170"/>
      <c r="EL65" s="170"/>
      <c r="EM65" s="170"/>
      <c r="EN65" s="170"/>
      <c r="EO65" s="170"/>
      <c r="EP65" s="170"/>
      <c r="EQ65" s="170"/>
      <c r="ER65" s="170"/>
      <c r="ES65" s="170"/>
      <c r="ET65" s="170"/>
      <c r="EU65" s="170"/>
      <c r="EV65" s="170"/>
      <c r="EW65" s="170"/>
      <c r="EX65" s="170"/>
      <c r="EY65" s="170"/>
      <c r="EZ65" s="170"/>
      <c r="FA65" s="170"/>
      <c r="FB65" s="170"/>
      <c r="FC65" s="170"/>
      <c r="FD65" s="170"/>
      <c r="FE65" s="170"/>
      <c r="FF65" s="170"/>
      <c r="FG65" s="170"/>
      <c r="FH65" s="170"/>
      <c r="FI65" s="170"/>
      <c r="FJ65" s="170"/>
      <c r="FK65" s="170"/>
      <c r="FL65" s="170"/>
      <c r="FM65" s="170"/>
      <c r="FN65" s="170"/>
      <c r="FO65" s="170"/>
      <c r="FP65" s="170"/>
      <c r="FQ65" s="170"/>
      <c r="FR65" s="170"/>
      <c r="FS65" s="170"/>
      <c r="FT65" s="170"/>
      <c r="FU65" s="170"/>
      <c r="FV65" s="170"/>
      <c r="FW65" s="170"/>
      <c r="FX65" s="170"/>
      <c r="FY65" s="170"/>
      <c r="FZ65" s="170"/>
      <c r="GA65" s="170"/>
      <c r="GB65" s="170"/>
      <c r="GC65" s="170"/>
      <c r="GD65" s="170"/>
      <c r="GE65" s="170"/>
      <c r="GF65" s="170"/>
      <c r="GG65" s="170"/>
      <c r="GH65" s="170"/>
      <c r="GI65" s="170"/>
      <c r="GJ65" s="170"/>
      <c r="GK65" s="170"/>
      <c r="GL65" s="170"/>
      <c r="GM65" s="170"/>
      <c r="GN65" s="170"/>
      <c r="GO65" s="170"/>
      <c r="GP65" s="170"/>
      <c r="GQ65" s="170"/>
      <c r="GR65" s="170"/>
      <c r="GS65" s="170"/>
      <c r="GT65" s="170"/>
      <c r="GU65" s="170"/>
      <c r="GV65" s="170"/>
      <c r="GW65" s="170"/>
      <c r="GX65" s="170"/>
      <c r="GY65" s="170"/>
      <c r="GZ65" s="170"/>
      <c r="HA65" s="170"/>
      <c r="HB65" s="170"/>
      <c r="HC65" s="170"/>
      <c r="HD65" s="170"/>
      <c r="HE65" s="170"/>
      <c r="HF65" s="170"/>
      <c r="HG65" s="170"/>
      <c r="HH65" s="170"/>
      <c r="HI65" s="170"/>
      <c r="HJ65" s="170"/>
      <c r="HK65" s="170"/>
      <c r="HL65" s="170"/>
      <c r="HM65" s="170"/>
      <c r="HN65" s="170"/>
      <c r="HO65" s="170"/>
      <c r="HP65" s="170"/>
      <c r="HQ65" s="170"/>
      <c r="HR65" s="170"/>
      <c r="HS65" s="170"/>
      <c r="HT65" s="170"/>
    </row>
    <row r="66" spans="1:228" s="204" customFormat="1" ht="15" customHeight="1">
      <c r="A66" s="168"/>
      <c r="B66" s="208" t="str">
        <f>B$58 &amp; ".08"</f>
        <v>01.06.02.08</v>
      </c>
      <c r="C66" s="844" t="s">
        <v>542</v>
      </c>
      <c r="D66" s="183" t="s">
        <v>307</v>
      </c>
      <c r="E66" s="197">
        <v>1</v>
      </c>
      <c r="F66" s="193">
        <f>F61</f>
        <v>50</v>
      </c>
      <c r="G66" s="202"/>
      <c r="H66" s="202"/>
      <c r="I66" s="193">
        <f t="shared" si="0"/>
        <v>50</v>
      </c>
      <c r="J66" s="194">
        <f t="shared" si="1"/>
        <v>50</v>
      </c>
      <c r="K66" s="170"/>
      <c r="L66" s="426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  <c r="AA66" s="170"/>
      <c r="AB66" s="170"/>
      <c r="AC66" s="170"/>
      <c r="AD66" s="170"/>
      <c r="AE66" s="170"/>
      <c r="AF66" s="170"/>
      <c r="AG66" s="170"/>
      <c r="AH66" s="170"/>
      <c r="AI66" s="170"/>
      <c r="AJ66" s="170"/>
      <c r="AK66" s="170"/>
      <c r="AL66" s="170"/>
      <c r="AM66" s="170"/>
      <c r="AN66" s="170"/>
      <c r="AO66" s="170"/>
      <c r="AP66" s="170"/>
      <c r="AQ66" s="170"/>
      <c r="AR66" s="170"/>
      <c r="AS66" s="170"/>
      <c r="AT66" s="170"/>
      <c r="AU66" s="170"/>
      <c r="AV66" s="170"/>
      <c r="AW66" s="170"/>
      <c r="AX66" s="170"/>
      <c r="AY66" s="170"/>
      <c r="AZ66" s="170"/>
      <c r="BA66" s="170"/>
      <c r="BB66" s="170"/>
      <c r="BC66" s="170"/>
      <c r="BD66" s="170"/>
      <c r="BE66" s="170"/>
      <c r="BF66" s="170"/>
      <c r="BG66" s="170"/>
      <c r="BH66" s="170"/>
      <c r="BI66" s="170"/>
      <c r="BJ66" s="170"/>
      <c r="BK66" s="170"/>
      <c r="BL66" s="170"/>
      <c r="BM66" s="170"/>
      <c r="BN66" s="170"/>
      <c r="BO66" s="170"/>
      <c r="BP66" s="170"/>
      <c r="BQ66" s="170"/>
      <c r="BR66" s="170"/>
      <c r="BS66" s="170"/>
      <c r="BT66" s="170"/>
      <c r="BU66" s="170"/>
      <c r="BV66" s="170"/>
      <c r="BW66" s="170"/>
      <c r="BX66" s="170"/>
      <c r="BY66" s="170"/>
      <c r="BZ66" s="170"/>
      <c r="CA66" s="170"/>
      <c r="CB66" s="170"/>
      <c r="CC66" s="170"/>
      <c r="CD66" s="170"/>
      <c r="CE66" s="170"/>
      <c r="CF66" s="170"/>
      <c r="CG66" s="170"/>
      <c r="CH66" s="170"/>
      <c r="CI66" s="170"/>
      <c r="CJ66" s="170"/>
      <c r="CK66" s="170"/>
      <c r="CL66" s="170"/>
      <c r="CM66" s="170"/>
      <c r="CN66" s="170"/>
      <c r="CO66" s="170"/>
      <c r="CP66" s="170"/>
      <c r="CQ66" s="170"/>
      <c r="CR66" s="170"/>
      <c r="CS66" s="170"/>
      <c r="CT66" s="170"/>
      <c r="CU66" s="170"/>
      <c r="CV66" s="170"/>
      <c r="CW66" s="170"/>
      <c r="CX66" s="170"/>
      <c r="CY66" s="170"/>
      <c r="CZ66" s="170"/>
      <c r="DA66" s="170"/>
      <c r="DB66" s="170"/>
      <c r="DC66" s="170"/>
      <c r="DD66" s="170"/>
      <c r="DE66" s="170"/>
      <c r="DF66" s="170"/>
      <c r="DG66" s="170"/>
      <c r="DH66" s="170"/>
      <c r="DI66" s="170"/>
      <c r="DJ66" s="170"/>
      <c r="DK66" s="170"/>
      <c r="DL66" s="170"/>
      <c r="DM66" s="170"/>
      <c r="DN66" s="170"/>
      <c r="DO66" s="170"/>
      <c r="DP66" s="170"/>
      <c r="DQ66" s="170"/>
      <c r="DR66" s="170"/>
      <c r="DS66" s="170"/>
      <c r="DT66" s="170"/>
      <c r="DU66" s="170"/>
      <c r="DV66" s="170"/>
      <c r="DW66" s="170"/>
      <c r="DX66" s="170"/>
      <c r="DY66" s="170"/>
      <c r="DZ66" s="170"/>
      <c r="EA66" s="170"/>
      <c r="EB66" s="170"/>
      <c r="EC66" s="170"/>
      <c r="ED66" s="170"/>
      <c r="EE66" s="170"/>
      <c r="EF66" s="170"/>
      <c r="EG66" s="170"/>
      <c r="EH66" s="170"/>
      <c r="EI66" s="170"/>
      <c r="EJ66" s="170"/>
      <c r="EK66" s="170"/>
      <c r="EL66" s="170"/>
      <c r="EM66" s="170"/>
      <c r="EN66" s="170"/>
      <c r="EO66" s="170"/>
      <c r="EP66" s="170"/>
      <c r="EQ66" s="170"/>
      <c r="ER66" s="170"/>
      <c r="ES66" s="170"/>
      <c r="ET66" s="170"/>
      <c r="EU66" s="170"/>
      <c r="EV66" s="170"/>
      <c r="EW66" s="170"/>
      <c r="EX66" s="170"/>
      <c r="EY66" s="170"/>
      <c r="EZ66" s="170"/>
      <c r="FA66" s="170"/>
      <c r="FB66" s="170"/>
      <c r="FC66" s="170"/>
      <c r="FD66" s="170"/>
      <c r="FE66" s="170"/>
      <c r="FF66" s="170"/>
      <c r="FG66" s="170"/>
      <c r="FH66" s="170"/>
      <c r="FI66" s="170"/>
      <c r="FJ66" s="170"/>
      <c r="FK66" s="170"/>
      <c r="FL66" s="170"/>
      <c r="FM66" s="170"/>
      <c r="FN66" s="170"/>
      <c r="FO66" s="170"/>
      <c r="FP66" s="170"/>
      <c r="FQ66" s="170"/>
      <c r="FR66" s="170"/>
      <c r="FS66" s="170"/>
      <c r="FT66" s="170"/>
      <c r="FU66" s="170"/>
      <c r="FV66" s="170"/>
      <c r="FW66" s="170"/>
      <c r="FX66" s="170"/>
      <c r="FY66" s="170"/>
      <c r="FZ66" s="170"/>
      <c r="GA66" s="170"/>
      <c r="GB66" s="170"/>
      <c r="GC66" s="170"/>
      <c r="GD66" s="170"/>
      <c r="GE66" s="170"/>
      <c r="GF66" s="170"/>
      <c r="GG66" s="170"/>
      <c r="GH66" s="170"/>
      <c r="GI66" s="170"/>
      <c r="GJ66" s="170"/>
      <c r="GK66" s="170"/>
      <c r="GL66" s="170"/>
      <c r="GM66" s="170"/>
      <c r="GN66" s="170"/>
      <c r="GO66" s="170"/>
      <c r="GP66" s="170"/>
      <c r="GQ66" s="170"/>
      <c r="GR66" s="170"/>
      <c r="GS66" s="170"/>
      <c r="GT66" s="170"/>
      <c r="GU66" s="170"/>
      <c r="GV66" s="170"/>
      <c r="GW66" s="170"/>
      <c r="GX66" s="170"/>
      <c r="GY66" s="170"/>
      <c r="GZ66" s="170"/>
      <c r="HA66" s="170"/>
      <c r="HB66" s="170"/>
      <c r="HC66" s="170"/>
      <c r="HD66" s="170"/>
      <c r="HE66" s="170"/>
      <c r="HF66" s="170"/>
      <c r="HG66" s="170"/>
      <c r="HH66" s="170"/>
      <c r="HI66" s="170"/>
      <c r="HJ66" s="170"/>
      <c r="HK66" s="170"/>
      <c r="HL66" s="170"/>
      <c r="HM66" s="170"/>
      <c r="HN66" s="170"/>
      <c r="HO66" s="170"/>
      <c r="HP66" s="170"/>
      <c r="HQ66" s="170"/>
      <c r="HR66" s="170"/>
      <c r="HS66" s="170"/>
      <c r="HT66" s="170"/>
    </row>
    <row r="67" spans="1:228" s="204" customFormat="1" ht="15" customHeight="1">
      <c r="A67" s="168"/>
      <c r="B67" s="208" t="str">
        <f>B$58 &amp; ".09"</f>
        <v>01.06.02.09</v>
      </c>
      <c r="C67" s="844" t="s">
        <v>541</v>
      </c>
      <c r="D67" s="183" t="s">
        <v>307</v>
      </c>
      <c r="E67" s="197">
        <v>1</v>
      </c>
      <c r="F67" s="193">
        <f>F59+F60</f>
        <v>1047.1599999999999</v>
      </c>
      <c r="G67" s="202"/>
      <c r="H67" s="202"/>
      <c r="I67" s="193">
        <f t="shared" si="0"/>
        <v>1047.1600000000001</v>
      </c>
      <c r="J67" s="194">
        <f t="shared" si="1"/>
        <v>1047.1600000000001</v>
      </c>
      <c r="K67" s="170"/>
      <c r="L67" s="426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  <c r="AB67" s="170"/>
      <c r="AC67" s="170"/>
      <c r="AD67" s="170"/>
      <c r="AE67" s="170"/>
      <c r="AF67" s="170"/>
      <c r="AG67" s="170"/>
      <c r="AH67" s="170"/>
      <c r="AI67" s="170"/>
      <c r="AJ67" s="170"/>
      <c r="AK67" s="170"/>
      <c r="AL67" s="170"/>
      <c r="AM67" s="170"/>
      <c r="AN67" s="170"/>
      <c r="AO67" s="170"/>
      <c r="AP67" s="170"/>
      <c r="AQ67" s="170"/>
      <c r="AR67" s="170"/>
      <c r="AS67" s="170"/>
      <c r="AT67" s="170"/>
      <c r="AU67" s="170"/>
      <c r="AV67" s="170"/>
      <c r="AW67" s="170"/>
      <c r="AX67" s="170"/>
      <c r="AY67" s="170"/>
      <c r="AZ67" s="170"/>
      <c r="BA67" s="170"/>
      <c r="BB67" s="170"/>
      <c r="BC67" s="170"/>
      <c r="BD67" s="170"/>
      <c r="BE67" s="170"/>
      <c r="BF67" s="170"/>
      <c r="BG67" s="170"/>
      <c r="BH67" s="170"/>
      <c r="BI67" s="170"/>
      <c r="BJ67" s="170"/>
      <c r="BK67" s="170"/>
      <c r="BL67" s="170"/>
      <c r="BM67" s="170"/>
      <c r="BN67" s="170"/>
      <c r="BO67" s="170"/>
      <c r="BP67" s="170"/>
      <c r="BQ67" s="170"/>
      <c r="BR67" s="170"/>
      <c r="BS67" s="170"/>
      <c r="BT67" s="170"/>
      <c r="BU67" s="170"/>
      <c r="BV67" s="170"/>
      <c r="BW67" s="170"/>
      <c r="BX67" s="170"/>
      <c r="BY67" s="170"/>
      <c r="BZ67" s="170"/>
      <c r="CA67" s="170"/>
      <c r="CB67" s="170"/>
      <c r="CC67" s="170"/>
      <c r="CD67" s="170"/>
      <c r="CE67" s="170"/>
      <c r="CF67" s="170"/>
      <c r="CG67" s="170"/>
      <c r="CH67" s="170"/>
      <c r="CI67" s="170"/>
      <c r="CJ67" s="170"/>
      <c r="CK67" s="170"/>
      <c r="CL67" s="170"/>
      <c r="CM67" s="170"/>
      <c r="CN67" s="170"/>
      <c r="CO67" s="170"/>
      <c r="CP67" s="170"/>
      <c r="CQ67" s="170"/>
      <c r="CR67" s="170"/>
      <c r="CS67" s="170"/>
      <c r="CT67" s="170"/>
      <c r="CU67" s="170"/>
      <c r="CV67" s="170"/>
      <c r="CW67" s="170"/>
      <c r="CX67" s="170"/>
      <c r="CY67" s="170"/>
      <c r="CZ67" s="170"/>
      <c r="DA67" s="170"/>
      <c r="DB67" s="170"/>
      <c r="DC67" s="170"/>
      <c r="DD67" s="170"/>
      <c r="DE67" s="170"/>
      <c r="DF67" s="170"/>
      <c r="DG67" s="170"/>
      <c r="DH67" s="170"/>
      <c r="DI67" s="170"/>
      <c r="DJ67" s="170"/>
      <c r="DK67" s="170"/>
      <c r="DL67" s="170"/>
      <c r="DM67" s="170"/>
      <c r="DN67" s="170"/>
      <c r="DO67" s="170"/>
      <c r="DP67" s="170"/>
      <c r="DQ67" s="170"/>
      <c r="DR67" s="170"/>
      <c r="DS67" s="170"/>
      <c r="DT67" s="170"/>
      <c r="DU67" s="170"/>
      <c r="DV67" s="170"/>
      <c r="DW67" s="170"/>
      <c r="DX67" s="170"/>
      <c r="DY67" s="170"/>
      <c r="DZ67" s="170"/>
      <c r="EA67" s="170"/>
      <c r="EB67" s="170"/>
      <c r="EC67" s="170"/>
      <c r="ED67" s="170"/>
      <c r="EE67" s="170"/>
      <c r="EF67" s="170"/>
      <c r="EG67" s="170"/>
      <c r="EH67" s="170"/>
      <c r="EI67" s="170"/>
      <c r="EJ67" s="170"/>
      <c r="EK67" s="170"/>
      <c r="EL67" s="170"/>
      <c r="EM67" s="170"/>
      <c r="EN67" s="170"/>
      <c r="EO67" s="170"/>
      <c r="EP67" s="170"/>
      <c r="EQ67" s="170"/>
      <c r="ER67" s="170"/>
      <c r="ES67" s="170"/>
      <c r="ET67" s="170"/>
      <c r="EU67" s="170"/>
      <c r="EV67" s="170"/>
      <c r="EW67" s="170"/>
      <c r="EX67" s="170"/>
      <c r="EY67" s="170"/>
      <c r="EZ67" s="170"/>
      <c r="FA67" s="170"/>
      <c r="FB67" s="170"/>
      <c r="FC67" s="170"/>
      <c r="FD67" s="170"/>
      <c r="FE67" s="170"/>
      <c r="FF67" s="170"/>
      <c r="FG67" s="170"/>
      <c r="FH67" s="170"/>
      <c r="FI67" s="170"/>
      <c r="FJ67" s="170"/>
      <c r="FK67" s="170"/>
      <c r="FL67" s="170"/>
      <c r="FM67" s="170"/>
      <c r="FN67" s="170"/>
      <c r="FO67" s="170"/>
      <c r="FP67" s="170"/>
      <c r="FQ67" s="170"/>
      <c r="FR67" s="170"/>
      <c r="FS67" s="170"/>
      <c r="FT67" s="170"/>
      <c r="FU67" s="170"/>
      <c r="FV67" s="170"/>
      <c r="FW67" s="170"/>
      <c r="FX67" s="170"/>
      <c r="FY67" s="170"/>
      <c r="FZ67" s="170"/>
      <c r="GA67" s="170"/>
      <c r="GB67" s="170"/>
      <c r="GC67" s="170"/>
      <c r="GD67" s="170"/>
      <c r="GE67" s="170"/>
      <c r="GF67" s="170"/>
      <c r="GG67" s="170"/>
      <c r="GH67" s="170"/>
      <c r="GI67" s="170"/>
      <c r="GJ67" s="170"/>
      <c r="GK67" s="170"/>
      <c r="GL67" s="170"/>
      <c r="GM67" s="170"/>
      <c r="GN67" s="170"/>
      <c r="GO67" s="170"/>
      <c r="GP67" s="170"/>
      <c r="GQ67" s="170"/>
      <c r="GR67" s="170"/>
      <c r="GS67" s="170"/>
      <c r="GT67" s="170"/>
      <c r="GU67" s="170"/>
      <c r="GV67" s="170"/>
      <c r="GW67" s="170"/>
      <c r="GX67" s="170"/>
      <c r="GY67" s="170"/>
      <c r="GZ67" s="170"/>
      <c r="HA67" s="170"/>
      <c r="HB67" s="170"/>
      <c r="HC67" s="170"/>
      <c r="HD67" s="170"/>
      <c r="HE67" s="170"/>
      <c r="HF67" s="170"/>
      <c r="HG67" s="170"/>
      <c r="HH67" s="170"/>
      <c r="HI67" s="170"/>
      <c r="HJ67" s="170"/>
      <c r="HK67" s="170"/>
      <c r="HL67" s="170"/>
      <c r="HM67" s="170"/>
      <c r="HN67" s="170"/>
      <c r="HO67" s="170"/>
      <c r="HP67" s="170"/>
      <c r="HQ67" s="170"/>
      <c r="HR67" s="170"/>
      <c r="HS67" s="170"/>
      <c r="HT67" s="170"/>
    </row>
    <row r="68" spans="1:228" s="199" customFormat="1" ht="15" customHeight="1">
      <c r="A68" s="168"/>
      <c r="B68" s="208" t="str">
        <f>B$58 &amp; ".10"</f>
        <v>01.06.02.10</v>
      </c>
      <c r="C68" s="844" t="s">
        <v>540</v>
      </c>
      <c r="D68" s="183" t="s">
        <v>307</v>
      </c>
      <c r="E68" s="197">
        <v>1</v>
      </c>
      <c r="F68" s="193">
        <f>F61</f>
        <v>50</v>
      </c>
      <c r="G68" s="202"/>
      <c r="H68" s="202"/>
      <c r="I68" s="193">
        <f t="shared" si="0"/>
        <v>50</v>
      </c>
      <c r="J68" s="194">
        <f t="shared" si="1"/>
        <v>50</v>
      </c>
      <c r="K68" s="170"/>
      <c r="L68" s="426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  <c r="AB68" s="170"/>
      <c r="AC68" s="170"/>
      <c r="AD68" s="170"/>
      <c r="AE68" s="170"/>
      <c r="AF68" s="170"/>
      <c r="AG68" s="170"/>
      <c r="AH68" s="170"/>
      <c r="AI68" s="170"/>
      <c r="AJ68" s="170"/>
      <c r="AK68" s="170"/>
      <c r="AL68" s="170"/>
      <c r="AM68" s="170"/>
      <c r="AN68" s="170"/>
      <c r="AO68" s="170"/>
      <c r="AP68" s="170"/>
      <c r="AQ68" s="170"/>
      <c r="AR68" s="170"/>
      <c r="AS68" s="170"/>
      <c r="AT68" s="170"/>
      <c r="AU68" s="170"/>
      <c r="AV68" s="170"/>
      <c r="AW68" s="170"/>
      <c r="AX68" s="170"/>
      <c r="AY68" s="170"/>
      <c r="AZ68" s="170"/>
      <c r="BA68" s="170"/>
      <c r="BB68" s="170"/>
      <c r="BC68" s="170"/>
      <c r="BD68" s="170"/>
      <c r="BE68" s="170"/>
      <c r="BF68" s="170"/>
      <c r="BG68" s="170"/>
      <c r="BH68" s="170"/>
      <c r="BI68" s="170"/>
      <c r="BJ68" s="170"/>
      <c r="BK68" s="170"/>
      <c r="BL68" s="170"/>
      <c r="BM68" s="170"/>
      <c r="BN68" s="170"/>
      <c r="BO68" s="170"/>
      <c r="BP68" s="170"/>
      <c r="BQ68" s="170"/>
      <c r="BR68" s="170"/>
      <c r="BS68" s="170"/>
      <c r="BT68" s="170"/>
      <c r="BU68" s="170"/>
      <c r="BV68" s="170"/>
      <c r="BW68" s="170"/>
      <c r="BX68" s="170"/>
      <c r="BY68" s="170"/>
      <c r="BZ68" s="170"/>
      <c r="CA68" s="170"/>
      <c r="CB68" s="170"/>
      <c r="CC68" s="170"/>
      <c r="CD68" s="170"/>
      <c r="CE68" s="170"/>
      <c r="CF68" s="170"/>
      <c r="CG68" s="170"/>
      <c r="CH68" s="170"/>
      <c r="CI68" s="170"/>
      <c r="CJ68" s="170"/>
      <c r="CK68" s="170"/>
      <c r="CL68" s="170"/>
      <c r="CM68" s="170"/>
      <c r="CN68" s="170"/>
      <c r="CO68" s="170"/>
      <c r="CP68" s="170"/>
      <c r="CQ68" s="170"/>
      <c r="CR68" s="170"/>
      <c r="CS68" s="170"/>
      <c r="CT68" s="170"/>
      <c r="CU68" s="170"/>
      <c r="CV68" s="170"/>
      <c r="CW68" s="170"/>
      <c r="CX68" s="170"/>
      <c r="CY68" s="170"/>
      <c r="CZ68" s="170"/>
      <c r="DA68" s="170"/>
      <c r="DB68" s="170"/>
      <c r="DC68" s="170"/>
      <c r="DD68" s="170"/>
      <c r="DE68" s="170"/>
      <c r="DF68" s="170"/>
      <c r="DG68" s="170"/>
      <c r="DH68" s="170"/>
      <c r="DI68" s="170"/>
      <c r="DJ68" s="170"/>
      <c r="DK68" s="170"/>
      <c r="DL68" s="170"/>
      <c r="DM68" s="170"/>
      <c r="DN68" s="170"/>
      <c r="DO68" s="170"/>
      <c r="DP68" s="170"/>
      <c r="DQ68" s="170"/>
      <c r="DR68" s="170"/>
      <c r="DS68" s="170"/>
      <c r="DT68" s="170"/>
      <c r="DU68" s="170"/>
      <c r="DV68" s="170"/>
      <c r="DW68" s="170"/>
      <c r="DX68" s="170"/>
      <c r="DY68" s="170"/>
      <c r="DZ68" s="170"/>
      <c r="EA68" s="170"/>
      <c r="EB68" s="170"/>
      <c r="EC68" s="170"/>
      <c r="ED68" s="170"/>
      <c r="EE68" s="170"/>
      <c r="EF68" s="170"/>
      <c r="EG68" s="170"/>
      <c r="EH68" s="170"/>
      <c r="EI68" s="170"/>
      <c r="EJ68" s="170"/>
      <c r="EK68" s="170"/>
      <c r="EL68" s="170"/>
      <c r="EM68" s="170"/>
      <c r="EN68" s="170"/>
      <c r="EO68" s="170"/>
      <c r="EP68" s="170"/>
      <c r="EQ68" s="170"/>
      <c r="ER68" s="170"/>
      <c r="ES68" s="170"/>
      <c r="ET68" s="170"/>
      <c r="EU68" s="170"/>
      <c r="EV68" s="170"/>
      <c r="EW68" s="170"/>
      <c r="EX68" s="170"/>
      <c r="EY68" s="170"/>
      <c r="EZ68" s="170"/>
      <c r="FA68" s="170"/>
      <c r="FB68" s="170"/>
      <c r="FC68" s="170"/>
      <c r="FD68" s="170"/>
      <c r="FE68" s="170"/>
      <c r="FF68" s="170"/>
      <c r="FG68" s="170"/>
      <c r="FH68" s="170"/>
      <c r="FI68" s="170"/>
      <c r="FJ68" s="170"/>
      <c r="FK68" s="170"/>
      <c r="FL68" s="170"/>
      <c r="FM68" s="170"/>
      <c r="FN68" s="170"/>
      <c r="FO68" s="170"/>
      <c r="FP68" s="170"/>
      <c r="FQ68" s="170"/>
      <c r="FR68" s="170"/>
      <c r="FS68" s="170"/>
      <c r="FT68" s="170"/>
      <c r="FU68" s="170"/>
      <c r="FV68" s="170"/>
      <c r="FW68" s="170"/>
      <c r="FX68" s="170"/>
      <c r="FY68" s="170"/>
      <c r="FZ68" s="170"/>
      <c r="GA68" s="170"/>
      <c r="GB68" s="170"/>
      <c r="GC68" s="170"/>
      <c r="GD68" s="170"/>
      <c r="GE68" s="170"/>
      <c r="GF68" s="170"/>
      <c r="GG68" s="170"/>
      <c r="GH68" s="170"/>
      <c r="GI68" s="170"/>
      <c r="GJ68" s="170"/>
      <c r="GK68" s="170"/>
      <c r="GL68" s="170"/>
      <c r="GM68" s="170"/>
      <c r="GN68" s="170"/>
      <c r="GO68" s="170"/>
      <c r="GP68" s="170"/>
      <c r="GQ68" s="170"/>
      <c r="GR68" s="170"/>
      <c r="GS68" s="170"/>
      <c r="GT68" s="170"/>
      <c r="GU68" s="170"/>
      <c r="GV68" s="170"/>
      <c r="GW68" s="170"/>
      <c r="GX68" s="170"/>
      <c r="GY68" s="170"/>
      <c r="GZ68" s="170"/>
      <c r="HA68" s="170"/>
      <c r="HB68" s="170"/>
      <c r="HC68" s="170"/>
      <c r="HD68" s="170"/>
      <c r="HE68" s="170"/>
      <c r="HF68" s="170"/>
      <c r="HG68" s="170"/>
      <c r="HH68" s="170"/>
      <c r="HI68" s="170"/>
      <c r="HJ68" s="170"/>
      <c r="HK68" s="170"/>
      <c r="HL68" s="170"/>
      <c r="HM68" s="170"/>
      <c r="HN68" s="170"/>
      <c r="HO68" s="170"/>
      <c r="HP68" s="170"/>
      <c r="HQ68" s="170"/>
      <c r="HR68" s="170"/>
      <c r="HS68" s="170"/>
      <c r="HT68" s="170"/>
    </row>
    <row r="69" spans="1:228" s="199" customFormat="1" ht="15.75" customHeight="1">
      <c r="A69" s="168"/>
      <c r="B69" s="208" t="str">
        <f>B$58&amp;".11"</f>
        <v>01.06.02.11</v>
      </c>
      <c r="C69" s="844" t="s">
        <v>1066</v>
      </c>
      <c r="D69" s="183" t="s">
        <v>307</v>
      </c>
      <c r="E69" s="197">
        <v>1</v>
      </c>
      <c r="F69" s="193">
        <f>F59</f>
        <v>344.33000000000004</v>
      </c>
      <c r="G69" s="202"/>
      <c r="H69" s="202"/>
      <c r="I69" s="193">
        <f t="shared" si="0"/>
        <v>344.33</v>
      </c>
      <c r="J69" s="194">
        <f t="shared" si="1"/>
        <v>344.33</v>
      </c>
      <c r="K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  <c r="AF69" s="170"/>
      <c r="AG69" s="170"/>
      <c r="AH69" s="170"/>
      <c r="AI69" s="170"/>
      <c r="AJ69" s="170"/>
      <c r="AK69" s="170"/>
      <c r="AL69" s="170"/>
      <c r="AM69" s="170"/>
      <c r="AN69" s="170"/>
      <c r="AO69" s="170"/>
      <c r="AP69" s="170"/>
      <c r="AQ69" s="170"/>
      <c r="AR69" s="170"/>
      <c r="AS69" s="170"/>
      <c r="AT69" s="170"/>
      <c r="AU69" s="170"/>
      <c r="AV69" s="170"/>
      <c r="AW69" s="170"/>
      <c r="AX69" s="170"/>
      <c r="AY69" s="170"/>
      <c r="AZ69" s="170"/>
      <c r="BA69" s="170"/>
      <c r="BB69" s="170"/>
      <c r="BC69" s="170"/>
      <c r="BD69" s="170"/>
      <c r="BE69" s="170"/>
      <c r="BF69" s="170"/>
      <c r="BG69" s="170"/>
      <c r="BH69" s="170"/>
      <c r="BI69" s="170"/>
      <c r="BJ69" s="170"/>
      <c r="BK69" s="170"/>
      <c r="BL69" s="170"/>
      <c r="BM69" s="170"/>
      <c r="BN69" s="170"/>
      <c r="BO69" s="170"/>
      <c r="BP69" s="170"/>
      <c r="BQ69" s="170"/>
      <c r="BR69" s="170"/>
      <c r="BS69" s="170"/>
      <c r="BT69" s="170"/>
      <c r="BU69" s="170"/>
      <c r="BV69" s="170"/>
      <c r="BW69" s="170"/>
      <c r="BX69" s="170"/>
      <c r="BY69" s="170"/>
      <c r="BZ69" s="170"/>
      <c r="CA69" s="170"/>
      <c r="CB69" s="170"/>
      <c r="CC69" s="170"/>
      <c r="CD69" s="170"/>
      <c r="CE69" s="170"/>
      <c r="CF69" s="170"/>
      <c r="CG69" s="170"/>
      <c r="CH69" s="170"/>
      <c r="CI69" s="170"/>
      <c r="CJ69" s="170"/>
      <c r="CK69" s="170"/>
      <c r="CL69" s="170"/>
      <c r="CM69" s="170"/>
      <c r="CN69" s="170"/>
      <c r="CO69" s="170"/>
      <c r="CP69" s="170"/>
      <c r="CQ69" s="170"/>
      <c r="CR69" s="170"/>
      <c r="CS69" s="170"/>
      <c r="CT69" s="170"/>
      <c r="CU69" s="170"/>
      <c r="CV69" s="170"/>
      <c r="CW69" s="170"/>
      <c r="CX69" s="170"/>
      <c r="CY69" s="170"/>
      <c r="CZ69" s="170"/>
      <c r="DA69" s="170"/>
      <c r="DB69" s="170"/>
      <c r="DC69" s="170"/>
      <c r="DD69" s="170"/>
      <c r="DE69" s="170"/>
      <c r="DF69" s="170"/>
      <c r="DG69" s="170"/>
      <c r="DH69" s="170"/>
      <c r="DI69" s="170"/>
      <c r="DJ69" s="170"/>
      <c r="DK69" s="170"/>
      <c r="DL69" s="170"/>
      <c r="DM69" s="170"/>
      <c r="DN69" s="170"/>
      <c r="DO69" s="170"/>
      <c r="DP69" s="170"/>
      <c r="DQ69" s="170"/>
      <c r="DR69" s="170"/>
      <c r="DS69" s="170"/>
      <c r="DT69" s="170"/>
      <c r="DU69" s="170"/>
      <c r="DV69" s="170"/>
      <c r="DW69" s="170"/>
      <c r="DX69" s="170"/>
      <c r="DY69" s="170"/>
      <c r="DZ69" s="170"/>
      <c r="EA69" s="170"/>
      <c r="EB69" s="170"/>
      <c r="EC69" s="170"/>
      <c r="ED69" s="170"/>
      <c r="EE69" s="170"/>
      <c r="EF69" s="170"/>
      <c r="EG69" s="170"/>
      <c r="EH69" s="170"/>
      <c r="EI69" s="170"/>
      <c r="EJ69" s="170"/>
      <c r="EK69" s="170"/>
      <c r="EL69" s="170"/>
      <c r="EM69" s="170"/>
      <c r="EN69" s="170"/>
      <c r="EO69" s="170"/>
      <c r="EP69" s="170"/>
      <c r="EQ69" s="170"/>
      <c r="ER69" s="170"/>
      <c r="ES69" s="170"/>
      <c r="ET69" s="170"/>
      <c r="EU69" s="170"/>
      <c r="EV69" s="170"/>
      <c r="EW69" s="170"/>
      <c r="EX69" s="170"/>
      <c r="EY69" s="170"/>
      <c r="EZ69" s="170"/>
      <c r="FA69" s="170"/>
      <c r="FB69" s="170"/>
      <c r="FC69" s="170"/>
      <c r="FD69" s="170"/>
      <c r="FE69" s="170"/>
      <c r="FF69" s="170"/>
      <c r="FG69" s="170"/>
      <c r="FH69" s="170"/>
      <c r="FI69" s="170"/>
      <c r="FJ69" s="170"/>
      <c r="FK69" s="170"/>
      <c r="FL69" s="170"/>
      <c r="FM69" s="170"/>
      <c r="FN69" s="170"/>
      <c r="FO69" s="170"/>
      <c r="FP69" s="170"/>
      <c r="FQ69" s="170"/>
      <c r="FR69" s="170"/>
      <c r="FS69" s="170"/>
      <c r="FT69" s="170"/>
      <c r="FU69" s="170"/>
      <c r="FV69" s="170"/>
      <c r="FW69" s="170"/>
      <c r="FX69" s="170"/>
      <c r="FY69" s="170"/>
      <c r="FZ69" s="170"/>
      <c r="GA69" s="170"/>
      <c r="GB69" s="170"/>
      <c r="GC69" s="170"/>
      <c r="GD69" s="170"/>
      <c r="GE69" s="170"/>
      <c r="GF69" s="170"/>
      <c r="GG69" s="170"/>
      <c r="GH69" s="170"/>
      <c r="GI69" s="170"/>
      <c r="GJ69" s="170"/>
      <c r="GK69" s="170"/>
      <c r="GL69" s="170"/>
      <c r="GM69" s="170"/>
      <c r="GN69" s="170"/>
      <c r="GO69" s="170"/>
      <c r="GP69" s="170"/>
      <c r="GQ69" s="170"/>
      <c r="GR69" s="170"/>
      <c r="GS69" s="170"/>
      <c r="GT69" s="170"/>
      <c r="GU69" s="170"/>
      <c r="GV69" s="170"/>
      <c r="GW69" s="170"/>
      <c r="GX69" s="170"/>
      <c r="GY69" s="170"/>
      <c r="GZ69" s="170"/>
      <c r="HA69" s="170"/>
      <c r="HB69" s="170"/>
      <c r="HC69" s="170"/>
      <c r="HD69" s="170"/>
      <c r="HE69" s="170"/>
      <c r="HF69" s="170"/>
      <c r="HG69" s="170"/>
      <c r="HH69" s="170"/>
      <c r="HI69" s="170"/>
      <c r="HJ69" s="170"/>
      <c r="HK69" s="170"/>
      <c r="HL69" s="170"/>
      <c r="HM69" s="170"/>
      <c r="HN69" s="170"/>
      <c r="HO69" s="170"/>
      <c r="HP69" s="170"/>
      <c r="HQ69" s="170"/>
      <c r="HR69" s="170"/>
      <c r="HS69" s="170"/>
      <c r="HT69" s="170"/>
    </row>
    <row r="70" spans="1:228" s="199" customFormat="1" ht="15.75" customHeight="1">
      <c r="A70" s="168"/>
      <c r="B70" s="208" t="str">
        <f>B$58 &amp; ".12"</f>
        <v>01.06.02.12</v>
      </c>
      <c r="C70" s="844" t="s">
        <v>1067</v>
      </c>
      <c r="D70" s="183" t="s">
        <v>307</v>
      </c>
      <c r="E70" s="197">
        <v>1</v>
      </c>
      <c r="F70" s="193">
        <f>F60</f>
        <v>702.82999999999993</v>
      </c>
      <c r="G70" s="202"/>
      <c r="H70" s="202"/>
      <c r="I70" s="193">
        <f t="shared" si="0"/>
        <v>702.83</v>
      </c>
      <c r="J70" s="194">
        <f t="shared" si="1"/>
        <v>702.83</v>
      </c>
      <c r="K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  <c r="AA70" s="170"/>
      <c r="AB70" s="170"/>
      <c r="AC70" s="170"/>
      <c r="AD70" s="170"/>
      <c r="AE70" s="170"/>
      <c r="AF70" s="170"/>
      <c r="AG70" s="170"/>
      <c r="AH70" s="170"/>
      <c r="AI70" s="170"/>
      <c r="AJ70" s="170"/>
      <c r="AK70" s="170"/>
      <c r="AL70" s="170"/>
      <c r="AM70" s="170"/>
      <c r="AN70" s="170"/>
      <c r="AO70" s="170"/>
      <c r="AP70" s="170"/>
      <c r="AQ70" s="170"/>
      <c r="AR70" s="170"/>
      <c r="AS70" s="170"/>
      <c r="AT70" s="170"/>
      <c r="AU70" s="170"/>
      <c r="AV70" s="170"/>
      <c r="AW70" s="170"/>
      <c r="AX70" s="170"/>
      <c r="AY70" s="170"/>
      <c r="AZ70" s="170"/>
      <c r="BA70" s="170"/>
      <c r="BB70" s="170"/>
      <c r="BC70" s="170"/>
      <c r="BD70" s="170"/>
      <c r="BE70" s="170"/>
      <c r="BF70" s="170"/>
      <c r="BG70" s="170"/>
      <c r="BH70" s="170"/>
      <c r="BI70" s="170"/>
      <c r="BJ70" s="170"/>
      <c r="BK70" s="170"/>
      <c r="BL70" s="170"/>
      <c r="BM70" s="170"/>
      <c r="BN70" s="170"/>
      <c r="BO70" s="170"/>
      <c r="BP70" s="170"/>
      <c r="BQ70" s="170"/>
      <c r="BR70" s="170"/>
      <c r="BS70" s="170"/>
      <c r="BT70" s="170"/>
      <c r="BU70" s="170"/>
      <c r="BV70" s="170"/>
      <c r="BW70" s="170"/>
      <c r="BX70" s="170"/>
      <c r="BY70" s="170"/>
      <c r="BZ70" s="170"/>
      <c r="CA70" s="170"/>
      <c r="CB70" s="170"/>
      <c r="CC70" s="170"/>
      <c r="CD70" s="170"/>
      <c r="CE70" s="170"/>
      <c r="CF70" s="170"/>
      <c r="CG70" s="170"/>
      <c r="CH70" s="170"/>
      <c r="CI70" s="170"/>
      <c r="CJ70" s="170"/>
      <c r="CK70" s="170"/>
      <c r="CL70" s="170"/>
      <c r="CM70" s="170"/>
      <c r="CN70" s="170"/>
      <c r="CO70" s="170"/>
      <c r="CP70" s="170"/>
      <c r="CQ70" s="170"/>
      <c r="CR70" s="170"/>
      <c r="CS70" s="170"/>
      <c r="CT70" s="170"/>
      <c r="CU70" s="170"/>
      <c r="CV70" s="170"/>
      <c r="CW70" s="170"/>
      <c r="CX70" s="170"/>
      <c r="CY70" s="170"/>
      <c r="CZ70" s="170"/>
      <c r="DA70" s="170"/>
      <c r="DB70" s="170"/>
      <c r="DC70" s="170"/>
      <c r="DD70" s="170"/>
      <c r="DE70" s="170"/>
      <c r="DF70" s="170"/>
      <c r="DG70" s="170"/>
      <c r="DH70" s="170"/>
      <c r="DI70" s="170"/>
      <c r="DJ70" s="170"/>
      <c r="DK70" s="170"/>
      <c r="DL70" s="170"/>
      <c r="DM70" s="170"/>
      <c r="DN70" s="170"/>
      <c r="DO70" s="170"/>
      <c r="DP70" s="170"/>
      <c r="DQ70" s="170"/>
      <c r="DR70" s="170"/>
      <c r="DS70" s="170"/>
      <c r="DT70" s="170"/>
      <c r="DU70" s="170"/>
      <c r="DV70" s="170"/>
      <c r="DW70" s="170"/>
      <c r="DX70" s="170"/>
      <c r="DY70" s="170"/>
      <c r="DZ70" s="170"/>
      <c r="EA70" s="170"/>
      <c r="EB70" s="170"/>
      <c r="EC70" s="170"/>
      <c r="ED70" s="170"/>
      <c r="EE70" s="170"/>
      <c r="EF70" s="170"/>
      <c r="EG70" s="170"/>
      <c r="EH70" s="170"/>
      <c r="EI70" s="170"/>
      <c r="EJ70" s="170"/>
      <c r="EK70" s="170"/>
      <c r="EL70" s="170"/>
      <c r="EM70" s="170"/>
      <c r="EN70" s="170"/>
      <c r="EO70" s="170"/>
      <c r="EP70" s="170"/>
      <c r="EQ70" s="170"/>
      <c r="ER70" s="170"/>
      <c r="ES70" s="170"/>
      <c r="ET70" s="170"/>
      <c r="EU70" s="170"/>
      <c r="EV70" s="170"/>
      <c r="EW70" s="170"/>
      <c r="EX70" s="170"/>
      <c r="EY70" s="170"/>
      <c r="EZ70" s="170"/>
      <c r="FA70" s="170"/>
      <c r="FB70" s="170"/>
      <c r="FC70" s="170"/>
      <c r="FD70" s="170"/>
      <c r="FE70" s="170"/>
      <c r="FF70" s="170"/>
      <c r="FG70" s="170"/>
      <c r="FH70" s="170"/>
      <c r="FI70" s="170"/>
      <c r="FJ70" s="170"/>
      <c r="FK70" s="170"/>
      <c r="FL70" s="170"/>
      <c r="FM70" s="170"/>
      <c r="FN70" s="170"/>
      <c r="FO70" s="170"/>
      <c r="FP70" s="170"/>
      <c r="FQ70" s="170"/>
      <c r="FR70" s="170"/>
      <c r="FS70" s="170"/>
      <c r="FT70" s="170"/>
      <c r="FU70" s="170"/>
      <c r="FV70" s="170"/>
      <c r="FW70" s="170"/>
      <c r="FX70" s="170"/>
      <c r="FY70" s="170"/>
      <c r="FZ70" s="170"/>
      <c r="GA70" s="170"/>
      <c r="GB70" s="170"/>
      <c r="GC70" s="170"/>
      <c r="GD70" s="170"/>
      <c r="GE70" s="170"/>
      <c r="GF70" s="170"/>
      <c r="GG70" s="170"/>
      <c r="GH70" s="170"/>
      <c r="GI70" s="170"/>
      <c r="GJ70" s="170"/>
      <c r="GK70" s="170"/>
      <c r="GL70" s="170"/>
      <c r="GM70" s="170"/>
      <c r="GN70" s="170"/>
      <c r="GO70" s="170"/>
      <c r="GP70" s="170"/>
      <c r="GQ70" s="170"/>
      <c r="GR70" s="170"/>
      <c r="GS70" s="170"/>
      <c r="GT70" s="170"/>
      <c r="GU70" s="170"/>
      <c r="GV70" s="170"/>
      <c r="GW70" s="170"/>
      <c r="GX70" s="170"/>
      <c r="GY70" s="170"/>
      <c r="GZ70" s="170"/>
      <c r="HA70" s="170"/>
      <c r="HB70" s="170"/>
      <c r="HC70" s="170"/>
      <c r="HD70" s="170"/>
      <c r="HE70" s="170"/>
      <c r="HF70" s="170"/>
      <c r="HG70" s="170"/>
      <c r="HH70" s="170"/>
      <c r="HI70" s="170"/>
      <c r="HJ70" s="170"/>
      <c r="HK70" s="170"/>
      <c r="HL70" s="170"/>
      <c r="HM70" s="170"/>
      <c r="HN70" s="170"/>
      <c r="HO70" s="170"/>
      <c r="HP70" s="170"/>
      <c r="HQ70" s="170"/>
      <c r="HR70" s="170"/>
      <c r="HS70" s="170"/>
      <c r="HT70" s="170"/>
    </row>
    <row r="71" spans="1:228" s="199" customFormat="1" ht="15.75" customHeight="1">
      <c r="A71" s="168"/>
      <c r="B71" s="208" t="str">
        <f>B$58 &amp; ".13"</f>
        <v>01.06.02.13</v>
      </c>
      <c r="C71" s="844" t="s">
        <v>539</v>
      </c>
      <c r="D71" s="183" t="s">
        <v>307</v>
      </c>
      <c r="E71" s="197">
        <v>1</v>
      </c>
      <c r="F71" s="193">
        <f>F61</f>
        <v>50</v>
      </c>
      <c r="G71" s="202"/>
      <c r="H71" s="202"/>
      <c r="I71" s="193">
        <f t="shared" si="0"/>
        <v>50</v>
      </c>
      <c r="J71" s="194">
        <f t="shared" si="1"/>
        <v>50</v>
      </c>
      <c r="K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  <c r="AF71" s="170"/>
      <c r="AG71" s="170"/>
      <c r="AH71" s="170"/>
      <c r="AI71" s="170"/>
      <c r="AJ71" s="170"/>
      <c r="AK71" s="170"/>
      <c r="AL71" s="170"/>
      <c r="AM71" s="170"/>
      <c r="AN71" s="170"/>
      <c r="AO71" s="170"/>
      <c r="AP71" s="170"/>
      <c r="AQ71" s="170"/>
      <c r="AR71" s="170"/>
      <c r="AS71" s="170"/>
      <c r="AT71" s="170"/>
      <c r="AU71" s="170"/>
      <c r="AV71" s="170"/>
      <c r="AW71" s="170"/>
      <c r="AX71" s="170"/>
      <c r="AY71" s="170"/>
      <c r="AZ71" s="170"/>
      <c r="BA71" s="170"/>
      <c r="BB71" s="170"/>
      <c r="BC71" s="170"/>
      <c r="BD71" s="170"/>
      <c r="BE71" s="170"/>
      <c r="BF71" s="170"/>
      <c r="BG71" s="170"/>
      <c r="BH71" s="170"/>
      <c r="BI71" s="170"/>
      <c r="BJ71" s="170"/>
      <c r="BK71" s="170"/>
      <c r="BL71" s="170"/>
      <c r="BM71" s="170"/>
      <c r="BN71" s="170"/>
      <c r="BO71" s="170"/>
      <c r="BP71" s="170"/>
      <c r="BQ71" s="170"/>
      <c r="BR71" s="170"/>
      <c r="BS71" s="170"/>
      <c r="BT71" s="170"/>
      <c r="BU71" s="170"/>
      <c r="BV71" s="170"/>
      <c r="BW71" s="170"/>
      <c r="BX71" s="170"/>
      <c r="BY71" s="170"/>
      <c r="BZ71" s="170"/>
      <c r="CA71" s="170"/>
      <c r="CB71" s="170"/>
      <c r="CC71" s="170"/>
      <c r="CD71" s="170"/>
      <c r="CE71" s="170"/>
      <c r="CF71" s="170"/>
      <c r="CG71" s="170"/>
      <c r="CH71" s="170"/>
      <c r="CI71" s="170"/>
      <c r="CJ71" s="170"/>
      <c r="CK71" s="170"/>
      <c r="CL71" s="170"/>
      <c r="CM71" s="170"/>
      <c r="CN71" s="170"/>
      <c r="CO71" s="170"/>
      <c r="CP71" s="170"/>
      <c r="CQ71" s="170"/>
      <c r="CR71" s="170"/>
      <c r="CS71" s="170"/>
      <c r="CT71" s="170"/>
      <c r="CU71" s="170"/>
      <c r="CV71" s="170"/>
      <c r="CW71" s="170"/>
      <c r="CX71" s="170"/>
      <c r="CY71" s="170"/>
      <c r="CZ71" s="170"/>
      <c r="DA71" s="170"/>
      <c r="DB71" s="170"/>
      <c r="DC71" s="170"/>
      <c r="DD71" s="170"/>
      <c r="DE71" s="170"/>
      <c r="DF71" s="170"/>
      <c r="DG71" s="170"/>
      <c r="DH71" s="170"/>
      <c r="DI71" s="170"/>
      <c r="DJ71" s="170"/>
      <c r="DK71" s="170"/>
      <c r="DL71" s="170"/>
      <c r="DM71" s="170"/>
      <c r="DN71" s="170"/>
      <c r="DO71" s="170"/>
      <c r="DP71" s="170"/>
      <c r="DQ71" s="170"/>
      <c r="DR71" s="170"/>
      <c r="DS71" s="170"/>
      <c r="DT71" s="170"/>
      <c r="DU71" s="170"/>
      <c r="DV71" s="170"/>
      <c r="DW71" s="170"/>
      <c r="DX71" s="170"/>
      <c r="DY71" s="170"/>
      <c r="DZ71" s="170"/>
      <c r="EA71" s="170"/>
      <c r="EB71" s="170"/>
      <c r="EC71" s="170"/>
      <c r="ED71" s="170"/>
      <c r="EE71" s="170"/>
      <c r="EF71" s="170"/>
      <c r="EG71" s="170"/>
      <c r="EH71" s="170"/>
      <c r="EI71" s="170"/>
      <c r="EJ71" s="170"/>
      <c r="EK71" s="170"/>
      <c r="EL71" s="170"/>
      <c r="EM71" s="170"/>
      <c r="EN71" s="170"/>
      <c r="EO71" s="170"/>
      <c r="EP71" s="170"/>
      <c r="EQ71" s="170"/>
      <c r="ER71" s="170"/>
      <c r="ES71" s="170"/>
      <c r="ET71" s="170"/>
      <c r="EU71" s="170"/>
      <c r="EV71" s="170"/>
      <c r="EW71" s="170"/>
      <c r="EX71" s="170"/>
      <c r="EY71" s="170"/>
      <c r="EZ71" s="170"/>
      <c r="FA71" s="170"/>
      <c r="FB71" s="170"/>
      <c r="FC71" s="170"/>
      <c r="FD71" s="170"/>
      <c r="FE71" s="170"/>
      <c r="FF71" s="170"/>
      <c r="FG71" s="170"/>
      <c r="FH71" s="170"/>
      <c r="FI71" s="170"/>
      <c r="FJ71" s="170"/>
      <c r="FK71" s="170"/>
      <c r="FL71" s="170"/>
      <c r="FM71" s="170"/>
      <c r="FN71" s="170"/>
      <c r="FO71" s="170"/>
      <c r="FP71" s="170"/>
      <c r="FQ71" s="170"/>
      <c r="FR71" s="170"/>
      <c r="FS71" s="170"/>
      <c r="FT71" s="170"/>
      <c r="FU71" s="170"/>
      <c r="FV71" s="170"/>
      <c r="FW71" s="170"/>
      <c r="FX71" s="170"/>
      <c r="FY71" s="170"/>
      <c r="FZ71" s="170"/>
      <c r="GA71" s="170"/>
      <c r="GB71" s="170"/>
      <c r="GC71" s="170"/>
      <c r="GD71" s="170"/>
      <c r="GE71" s="170"/>
      <c r="GF71" s="170"/>
      <c r="GG71" s="170"/>
      <c r="GH71" s="170"/>
      <c r="GI71" s="170"/>
      <c r="GJ71" s="170"/>
      <c r="GK71" s="170"/>
      <c r="GL71" s="170"/>
      <c r="GM71" s="170"/>
      <c r="GN71" s="170"/>
      <c r="GO71" s="170"/>
      <c r="GP71" s="170"/>
      <c r="GQ71" s="170"/>
      <c r="GR71" s="170"/>
      <c r="GS71" s="170"/>
      <c r="GT71" s="170"/>
      <c r="GU71" s="170"/>
      <c r="GV71" s="170"/>
      <c r="GW71" s="170"/>
      <c r="GX71" s="170"/>
      <c r="GY71" s="170"/>
      <c r="GZ71" s="170"/>
      <c r="HA71" s="170"/>
      <c r="HB71" s="170"/>
      <c r="HC71" s="170"/>
      <c r="HD71" s="170"/>
      <c r="HE71" s="170"/>
      <c r="HF71" s="170"/>
      <c r="HG71" s="170"/>
      <c r="HH71" s="170"/>
      <c r="HI71" s="170"/>
      <c r="HJ71" s="170"/>
      <c r="HK71" s="170"/>
      <c r="HL71" s="170"/>
      <c r="HM71" s="170"/>
      <c r="HN71" s="170"/>
      <c r="HO71" s="170"/>
      <c r="HP71" s="170"/>
      <c r="HQ71" s="170"/>
      <c r="HR71" s="170"/>
      <c r="HS71" s="170"/>
      <c r="HT71" s="170"/>
    </row>
    <row r="72" spans="1:228" s="199" customFormat="1" ht="13.5">
      <c r="A72" s="168"/>
      <c r="B72" s="208" t="str">
        <f>B$58 &amp; ".14"</f>
        <v>01.06.02.14</v>
      </c>
      <c r="C72" s="844" t="s">
        <v>317</v>
      </c>
      <c r="D72" s="197" t="s">
        <v>316</v>
      </c>
      <c r="E72" s="197">
        <v>1</v>
      </c>
      <c r="F72" s="193" t="s">
        <v>538</v>
      </c>
      <c r="G72" s="202"/>
      <c r="H72" s="202"/>
      <c r="I72" s="193">
        <f>+SUM(I73:I75)</f>
        <v>159.43</v>
      </c>
      <c r="J72" s="194">
        <f t="shared" si="1"/>
        <v>159.43</v>
      </c>
      <c r="K72" s="170"/>
      <c r="L72" s="425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  <c r="AA72" s="170"/>
      <c r="AB72" s="170"/>
      <c r="AC72" s="170"/>
      <c r="AD72" s="170"/>
      <c r="AE72" s="170"/>
      <c r="AF72" s="170"/>
      <c r="AG72" s="170"/>
      <c r="AH72" s="170"/>
      <c r="AI72" s="170"/>
      <c r="AJ72" s="170"/>
      <c r="AK72" s="170"/>
      <c r="AL72" s="170"/>
      <c r="AM72" s="170"/>
      <c r="AN72" s="170"/>
      <c r="AO72" s="170"/>
      <c r="AP72" s="170"/>
      <c r="AQ72" s="170"/>
      <c r="AR72" s="170"/>
      <c r="AS72" s="170"/>
      <c r="AT72" s="170"/>
      <c r="AU72" s="170"/>
      <c r="AV72" s="170"/>
      <c r="AW72" s="170"/>
      <c r="AX72" s="170"/>
      <c r="AY72" s="170"/>
      <c r="AZ72" s="170"/>
      <c r="BA72" s="170"/>
      <c r="BB72" s="170"/>
      <c r="BC72" s="170"/>
      <c r="BD72" s="170"/>
      <c r="BE72" s="170"/>
      <c r="BF72" s="170"/>
      <c r="BG72" s="170"/>
      <c r="BH72" s="170"/>
      <c r="BI72" s="170"/>
      <c r="BJ72" s="170"/>
      <c r="BK72" s="170"/>
      <c r="BL72" s="170"/>
      <c r="BM72" s="170"/>
      <c r="BN72" s="170"/>
      <c r="BO72" s="170"/>
      <c r="BP72" s="170"/>
      <c r="BQ72" s="170"/>
      <c r="BR72" s="170"/>
      <c r="BS72" s="170"/>
      <c r="BT72" s="170"/>
      <c r="BU72" s="170"/>
      <c r="BV72" s="170"/>
      <c r="BW72" s="170"/>
      <c r="BX72" s="170"/>
      <c r="BY72" s="170"/>
      <c r="BZ72" s="170"/>
      <c r="CA72" s="170"/>
      <c r="CB72" s="170"/>
      <c r="CC72" s="170"/>
      <c r="CD72" s="170"/>
      <c r="CE72" s="170"/>
      <c r="CF72" s="170"/>
      <c r="CG72" s="170"/>
      <c r="CH72" s="170"/>
      <c r="CI72" s="170"/>
      <c r="CJ72" s="170"/>
      <c r="CK72" s="170"/>
      <c r="CL72" s="170"/>
      <c r="CM72" s="170"/>
      <c r="CN72" s="170"/>
      <c r="CO72" s="170"/>
      <c r="CP72" s="170"/>
      <c r="CQ72" s="170"/>
      <c r="CR72" s="170"/>
      <c r="CS72" s="170"/>
      <c r="CT72" s="170"/>
      <c r="CU72" s="170"/>
      <c r="CV72" s="170"/>
      <c r="CW72" s="170"/>
      <c r="CX72" s="170"/>
      <c r="CY72" s="170"/>
      <c r="CZ72" s="170"/>
      <c r="DA72" s="170"/>
      <c r="DB72" s="170"/>
      <c r="DC72" s="170"/>
      <c r="DD72" s="170"/>
      <c r="DE72" s="170"/>
      <c r="DF72" s="170"/>
      <c r="DG72" s="170"/>
      <c r="DH72" s="170"/>
      <c r="DI72" s="170"/>
      <c r="DJ72" s="170"/>
      <c r="DK72" s="170"/>
      <c r="DL72" s="170"/>
      <c r="DM72" s="170"/>
      <c r="DN72" s="170"/>
      <c r="DO72" s="170"/>
      <c r="DP72" s="170"/>
      <c r="DQ72" s="170"/>
      <c r="DR72" s="170"/>
      <c r="DS72" s="170"/>
      <c r="DT72" s="170"/>
      <c r="DU72" s="170"/>
      <c r="DV72" s="170"/>
      <c r="DW72" s="170"/>
      <c r="DX72" s="170"/>
      <c r="DY72" s="170"/>
      <c r="DZ72" s="170"/>
      <c r="EA72" s="170"/>
      <c r="EB72" s="170"/>
      <c r="EC72" s="170"/>
      <c r="ED72" s="170"/>
      <c r="EE72" s="170"/>
      <c r="EF72" s="170"/>
      <c r="EG72" s="170"/>
      <c r="EH72" s="170"/>
      <c r="EI72" s="170"/>
      <c r="EJ72" s="170"/>
      <c r="EK72" s="170"/>
      <c r="EL72" s="170"/>
      <c r="EM72" s="170"/>
      <c r="EN72" s="170"/>
      <c r="EO72" s="170"/>
      <c r="EP72" s="170"/>
      <c r="EQ72" s="170"/>
      <c r="ER72" s="170"/>
      <c r="ES72" s="170"/>
      <c r="ET72" s="170"/>
      <c r="EU72" s="170"/>
      <c r="EV72" s="170"/>
      <c r="EW72" s="170"/>
      <c r="EX72" s="170"/>
      <c r="EY72" s="170"/>
      <c r="EZ72" s="170"/>
      <c r="FA72" s="170"/>
      <c r="FB72" s="170"/>
      <c r="FC72" s="170"/>
      <c r="FD72" s="170"/>
      <c r="FE72" s="170"/>
      <c r="FF72" s="170"/>
      <c r="FG72" s="170"/>
      <c r="FH72" s="170"/>
      <c r="FI72" s="170"/>
      <c r="FJ72" s="170"/>
      <c r="FK72" s="170"/>
      <c r="FL72" s="170"/>
      <c r="FM72" s="170"/>
      <c r="FN72" s="170"/>
      <c r="FO72" s="170"/>
      <c r="FP72" s="170"/>
      <c r="FQ72" s="170"/>
      <c r="FR72" s="170"/>
      <c r="FS72" s="170"/>
      <c r="FT72" s="170"/>
      <c r="FU72" s="170"/>
      <c r="FV72" s="170"/>
      <c r="FW72" s="170"/>
      <c r="FX72" s="170"/>
      <c r="FY72" s="170"/>
      <c r="FZ72" s="170"/>
      <c r="GA72" s="170"/>
      <c r="GB72" s="170"/>
      <c r="GC72" s="170"/>
      <c r="GD72" s="170"/>
      <c r="GE72" s="170"/>
      <c r="GF72" s="170"/>
      <c r="GG72" s="170"/>
      <c r="GH72" s="170"/>
      <c r="GI72" s="170"/>
      <c r="GJ72" s="170"/>
      <c r="GK72" s="170"/>
      <c r="GL72" s="170"/>
      <c r="GM72" s="170"/>
      <c r="GN72" s="170"/>
      <c r="GO72" s="170"/>
      <c r="GP72" s="170"/>
      <c r="GQ72" s="170"/>
      <c r="GR72" s="170"/>
      <c r="GS72" s="170"/>
      <c r="GT72" s="170"/>
      <c r="GU72" s="170"/>
      <c r="GV72" s="170"/>
      <c r="GW72" s="170"/>
      <c r="GX72" s="170"/>
      <c r="GY72" s="170"/>
      <c r="GZ72" s="170"/>
      <c r="HA72" s="170"/>
      <c r="HB72" s="170"/>
      <c r="HC72" s="170"/>
      <c r="HD72" s="170"/>
      <c r="HE72" s="170"/>
      <c r="HF72" s="170"/>
      <c r="HG72" s="170"/>
      <c r="HH72" s="170"/>
      <c r="HI72" s="170"/>
      <c r="HJ72" s="170"/>
      <c r="HK72" s="170"/>
      <c r="HL72" s="170"/>
      <c r="HM72" s="170"/>
      <c r="HN72" s="170"/>
      <c r="HO72" s="170"/>
      <c r="HP72" s="170"/>
      <c r="HQ72" s="170"/>
      <c r="HR72" s="170"/>
      <c r="HS72" s="170"/>
      <c r="HT72" s="170"/>
    </row>
    <row r="73" spans="1:228" s="199" customFormat="1" ht="15" customHeight="1">
      <c r="A73" s="168"/>
      <c r="B73" s="200"/>
      <c r="C73" s="201" t="s">
        <v>537</v>
      </c>
      <c r="D73" s="197"/>
      <c r="E73" s="193">
        <v>1.25</v>
      </c>
      <c r="F73" s="193">
        <f>(I59*0.5*1.1)+(I60*0.5*0.8)+(I61*0.6*1.4)</f>
        <v>512.51350000000002</v>
      </c>
      <c r="G73" s="193"/>
      <c r="H73" s="193"/>
      <c r="I73" s="193">
        <f>+ROUND(PRODUCT(E73:H73),2)</f>
        <v>640.64</v>
      </c>
      <c r="J73" s="194"/>
      <c r="K73" s="170"/>
      <c r="L73" s="425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0"/>
      <c r="AB73" s="170"/>
      <c r="AC73" s="170"/>
      <c r="AD73" s="170"/>
      <c r="AE73" s="170"/>
      <c r="AF73" s="170"/>
      <c r="AG73" s="170"/>
      <c r="AH73" s="170"/>
      <c r="AI73" s="170"/>
      <c r="AJ73" s="170"/>
      <c r="AK73" s="170"/>
      <c r="AL73" s="170"/>
      <c r="AM73" s="170"/>
      <c r="AN73" s="170"/>
      <c r="AO73" s="170"/>
      <c r="AP73" s="170"/>
      <c r="AQ73" s="170"/>
      <c r="AR73" s="170"/>
      <c r="AS73" s="170"/>
      <c r="AT73" s="170"/>
      <c r="AU73" s="170"/>
      <c r="AV73" s="170"/>
      <c r="AW73" s="170"/>
      <c r="AX73" s="170"/>
      <c r="AY73" s="170"/>
      <c r="AZ73" s="170"/>
      <c r="BA73" s="170"/>
      <c r="BB73" s="170"/>
      <c r="BC73" s="170"/>
      <c r="BD73" s="170"/>
      <c r="BE73" s="170"/>
      <c r="BF73" s="170"/>
      <c r="BG73" s="170"/>
      <c r="BH73" s="170"/>
      <c r="BI73" s="170"/>
      <c r="BJ73" s="170"/>
      <c r="BK73" s="170"/>
      <c r="BL73" s="170"/>
      <c r="BM73" s="170"/>
      <c r="BN73" s="170"/>
      <c r="BO73" s="170"/>
      <c r="BP73" s="170"/>
      <c r="BQ73" s="170"/>
      <c r="BR73" s="170"/>
      <c r="BS73" s="170"/>
      <c r="BT73" s="170"/>
      <c r="BU73" s="170"/>
      <c r="BV73" s="170"/>
      <c r="BW73" s="170"/>
      <c r="BX73" s="170"/>
      <c r="BY73" s="170"/>
      <c r="BZ73" s="170"/>
      <c r="CA73" s="170"/>
      <c r="CB73" s="170"/>
      <c r="CC73" s="170"/>
      <c r="CD73" s="170"/>
      <c r="CE73" s="170"/>
      <c r="CF73" s="170"/>
      <c r="CG73" s="170"/>
      <c r="CH73" s="170"/>
      <c r="CI73" s="170"/>
      <c r="CJ73" s="170"/>
      <c r="CK73" s="170"/>
      <c r="CL73" s="170"/>
      <c r="CM73" s="170"/>
      <c r="CN73" s="170"/>
      <c r="CO73" s="170"/>
      <c r="CP73" s="170"/>
      <c r="CQ73" s="170"/>
      <c r="CR73" s="170"/>
      <c r="CS73" s="170"/>
      <c r="CT73" s="170"/>
      <c r="CU73" s="170"/>
      <c r="CV73" s="170"/>
      <c r="CW73" s="170"/>
      <c r="CX73" s="170"/>
      <c r="CY73" s="170"/>
      <c r="CZ73" s="170"/>
      <c r="DA73" s="170"/>
      <c r="DB73" s="170"/>
      <c r="DC73" s="170"/>
      <c r="DD73" s="170"/>
      <c r="DE73" s="170"/>
      <c r="DF73" s="170"/>
      <c r="DG73" s="170"/>
      <c r="DH73" s="170"/>
      <c r="DI73" s="170"/>
      <c r="DJ73" s="170"/>
      <c r="DK73" s="170"/>
      <c r="DL73" s="170"/>
      <c r="DM73" s="170"/>
      <c r="DN73" s="170"/>
      <c r="DO73" s="170"/>
      <c r="DP73" s="170"/>
      <c r="DQ73" s="170"/>
      <c r="DR73" s="170"/>
      <c r="DS73" s="170"/>
      <c r="DT73" s="170"/>
      <c r="DU73" s="170"/>
      <c r="DV73" s="170"/>
      <c r="DW73" s="170"/>
      <c r="DX73" s="170"/>
      <c r="DY73" s="170"/>
      <c r="DZ73" s="170"/>
      <c r="EA73" s="170"/>
      <c r="EB73" s="170"/>
      <c r="EC73" s="170"/>
      <c r="ED73" s="170"/>
      <c r="EE73" s="170"/>
      <c r="EF73" s="170"/>
      <c r="EG73" s="170"/>
      <c r="EH73" s="170"/>
      <c r="EI73" s="170"/>
      <c r="EJ73" s="170"/>
      <c r="EK73" s="170"/>
      <c r="EL73" s="170"/>
      <c r="EM73" s="170"/>
      <c r="EN73" s="170"/>
      <c r="EO73" s="170"/>
      <c r="EP73" s="170"/>
      <c r="EQ73" s="170"/>
      <c r="ER73" s="170"/>
      <c r="ES73" s="170"/>
      <c r="ET73" s="170"/>
      <c r="EU73" s="170"/>
      <c r="EV73" s="170"/>
      <c r="EW73" s="170"/>
      <c r="EX73" s="170"/>
      <c r="EY73" s="170"/>
      <c r="EZ73" s="170"/>
      <c r="FA73" s="170"/>
      <c r="FB73" s="170"/>
      <c r="FC73" s="170"/>
      <c r="FD73" s="170"/>
      <c r="FE73" s="170"/>
      <c r="FF73" s="170"/>
      <c r="FG73" s="170"/>
      <c r="FH73" s="170"/>
      <c r="FI73" s="170"/>
      <c r="FJ73" s="170"/>
      <c r="FK73" s="170"/>
      <c r="FL73" s="170"/>
      <c r="FM73" s="170"/>
      <c r="FN73" s="170"/>
      <c r="FO73" s="170"/>
      <c r="FP73" s="170"/>
      <c r="FQ73" s="170"/>
      <c r="FR73" s="170"/>
      <c r="FS73" s="170"/>
      <c r="FT73" s="170"/>
      <c r="FU73" s="170"/>
      <c r="FV73" s="170"/>
      <c r="FW73" s="170"/>
      <c r="FX73" s="170"/>
      <c r="FY73" s="170"/>
      <c r="FZ73" s="170"/>
      <c r="GA73" s="170"/>
      <c r="GB73" s="170"/>
      <c r="GC73" s="170"/>
      <c r="GD73" s="170"/>
      <c r="GE73" s="170"/>
      <c r="GF73" s="170"/>
      <c r="GG73" s="170"/>
      <c r="GH73" s="170"/>
      <c r="GI73" s="170"/>
      <c r="GJ73" s="170"/>
      <c r="GK73" s="170"/>
      <c r="GL73" s="170"/>
      <c r="GM73" s="170"/>
      <c r="GN73" s="170"/>
      <c r="GO73" s="170"/>
      <c r="GP73" s="170"/>
      <c r="GQ73" s="170"/>
      <c r="GR73" s="170"/>
      <c r="GS73" s="170"/>
      <c r="GT73" s="170"/>
      <c r="GU73" s="170"/>
      <c r="GV73" s="170"/>
      <c r="GW73" s="170"/>
      <c r="GX73" s="170"/>
      <c r="GY73" s="170"/>
      <c r="GZ73" s="170"/>
      <c r="HA73" s="170"/>
      <c r="HB73" s="170"/>
      <c r="HC73" s="170"/>
      <c r="HD73" s="170"/>
      <c r="HE73" s="170"/>
      <c r="HF73" s="170"/>
      <c r="HG73" s="170"/>
      <c r="HH73" s="170"/>
      <c r="HI73" s="170"/>
      <c r="HJ73" s="170"/>
      <c r="HK73" s="170"/>
      <c r="HL73" s="170"/>
      <c r="HM73" s="170"/>
      <c r="HN73" s="170"/>
      <c r="HO73" s="170"/>
      <c r="HP73" s="170"/>
      <c r="HQ73" s="170"/>
      <c r="HR73" s="170"/>
      <c r="HS73" s="170"/>
      <c r="HT73" s="170"/>
    </row>
    <row r="74" spans="1:228" s="199" customFormat="1" ht="15" customHeight="1">
      <c r="A74" s="168"/>
      <c r="B74" s="200"/>
      <c r="C74" s="201" t="s">
        <v>536</v>
      </c>
      <c r="D74" s="197"/>
      <c r="E74" s="193">
        <f>-1/0.95</f>
        <v>-1.0526315789473684</v>
      </c>
      <c r="F74" s="193">
        <f>(I67*0.3*0.5)+(I68*0.3*0.6)</f>
        <v>166.07400000000001</v>
      </c>
      <c r="G74" s="193"/>
      <c r="H74" s="193"/>
      <c r="I74" s="193">
        <f>+ROUND(PRODUCT(E74:H74),2)</f>
        <v>-174.81</v>
      </c>
      <c r="J74" s="194"/>
      <c r="K74" s="170"/>
      <c r="L74" s="425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  <c r="AB74" s="170"/>
      <c r="AC74" s="170"/>
      <c r="AD74" s="170"/>
      <c r="AE74" s="170"/>
      <c r="AF74" s="170"/>
      <c r="AG74" s="170"/>
      <c r="AH74" s="170"/>
      <c r="AI74" s="170"/>
      <c r="AJ74" s="170"/>
      <c r="AK74" s="170"/>
      <c r="AL74" s="170"/>
      <c r="AM74" s="170"/>
      <c r="AN74" s="170"/>
      <c r="AO74" s="170"/>
      <c r="AP74" s="170"/>
      <c r="AQ74" s="170"/>
      <c r="AR74" s="170"/>
      <c r="AS74" s="170"/>
      <c r="AT74" s="170"/>
      <c r="AU74" s="170"/>
      <c r="AV74" s="170"/>
      <c r="AW74" s="170"/>
      <c r="AX74" s="170"/>
      <c r="AY74" s="170"/>
      <c r="AZ74" s="170"/>
      <c r="BA74" s="170"/>
      <c r="BB74" s="170"/>
      <c r="BC74" s="170"/>
      <c r="BD74" s="170"/>
      <c r="BE74" s="170"/>
      <c r="BF74" s="170"/>
      <c r="BG74" s="170"/>
      <c r="BH74" s="170"/>
      <c r="BI74" s="170"/>
      <c r="BJ74" s="170"/>
      <c r="BK74" s="170"/>
      <c r="BL74" s="170"/>
      <c r="BM74" s="170"/>
      <c r="BN74" s="170"/>
      <c r="BO74" s="170"/>
      <c r="BP74" s="170"/>
      <c r="BQ74" s="170"/>
      <c r="BR74" s="170"/>
      <c r="BS74" s="170"/>
      <c r="BT74" s="170"/>
      <c r="BU74" s="170"/>
      <c r="BV74" s="170"/>
      <c r="BW74" s="170"/>
      <c r="BX74" s="170"/>
      <c r="BY74" s="170"/>
      <c r="BZ74" s="170"/>
      <c r="CA74" s="170"/>
      <c r="CB74" s="170"/>
      <c r="CC74" s="170"/>
      <c r="CD74" s="170"/>
      <c r="CE74" s="170"/>
      <c r="CF74" s="170"/>
      <c r="CG74" s="170"/>
      <c r="CH74" s="170"/>
      <c r="CI74" s="170"/>
      <c r="CJ74" s="170"/>
      <c r="CK74" s="170"/>
      <c r="CL74" s="170"/>
      <c r="CM74" s="170"/>
      <c r="CN74" s="170"/>
      <c r="CO74" s="170"/>
      <c r="CP74" s="170"/>
      <c r="CQ74" s="170"/>
      <c r="CR74" s="170"/>
      <c r="CS74" s="170"/>
      <c r="CT74" s="170"/>
      <c r="CU74" s="170"/>
      <c r="CV74" s="170"/>
      <c r="CW74" s="170"/>
      <c r="CX74" s="170"/>
      <c r="CY74" s="170"/>
      <c r="CZ74" s="170"/>
      <c r="DA74" s="170"/>
      <c r="DB74" s="170"/>
      <c r="DC74" s="170"/>
      <c r="DD74" s="170"/>
      <c r="DE74" s="170"/>
      <c r="DF74" s="170"/>
      <c r="DG74" s="170"/>
      <c r="DH74" s="170"/>
      <c r="DI74" s="170"/>
      <c r="DJ74" s="170"/>
      <c r="DK74" s="170"/>
      <c r="DL74" s="170"/>
      <c r="DM74" s="170"/>
      <c r="DN74" s="170"/>
      <c r="DO74" s="170"/>
      <c r="DP74" s="170"/>
      <c r="DQ74" s="170"/>
      <c r="DR74" s="170"/>
      <c r="DS74" s="170"/>
      <c r="DT74" s="170"/>
      <c r="DU74" s="170"/>
      <c r="DV74" s="170"/>
      <c r="DW74" s="170"/>
      <c r="DX74" s="170"/>
      <c r="DY74" s="170"/>
      <c r="DZ74" s="170"/>
      <c r="EA74" s="170"/>
      <c r="EB74" s="170"/>
      <c r="EC74" s="170"/>
      <c r="ED74" s="170"/>
      <c r="EE74" s="170"/>
      <c r="EF74" s="170"/>
      <c r="EG74" s="170"/>
      <c r="EH74" s="170"/>
      <c r="EI74" s="170"/>
      <c r="EJ74" s="170"/>
      <c r="EK74" s="170"/>
      <c r="EL74" s="170"/>
      <c r="EM74" s="170"/>
      <c r="EN74" s="170"/>
      <c r="EO74" s="170"/>
      <c r="EP74" s="170"/>
      <c r="EQ74" s="170"/>
      <c r="ER74" s="170"/>
      <c r="ES74" s="170"/>
      <c r="ET74" s="170"/>
      <c r="EU74" s="170"/>
      <c r="EV74" s="170"/>
      <c r="EW74" s="170"/>
      <c r="EX74" s="170"/>
      <c r="EY74" s="170"/>
      <c r="EZ74" s="170"/>
      <c r="FA74" s="170"/>
      <c r="FB74" s="170"/>
      <c r="FC74" s="170"/>
      <c r="FD74" s="170"/>
      <c r="FE74" s="170"/>
      <c r="FF74" s="170"/>
      <c r="FG74" s="170"/>
      <c r="FH74" s="170"/>
      <c r="FI74" s="170"/>
      <c r="FJ74" s="170"/>
      <c r="FK74" s="170"/>
      <c r="FL74" s="170"/>
      <c r="FM74" s="170"/>
      <c r="FN74" s="170"/>
      <c r="FO74" s="170"/>
      <c r="FP74" s="170"/>
      <c r="FQ74" s="170"/>
      <c r="FR74" s="170"/>
      <c r="FS74" s="170"/>
      <c r="FT74" s="170"/>
      <c r="FU74" s="170"/>
      <c r="FV74" s="170"/>
      <c r="FW74" s="170"/>
      <c r="FX74" s="170"/>
      <c r="FY74" s="170"/>
      <c r="FZ74" s="170"/>
      <c r="GA74" s="170"/>
      <c r="GB74" s="170"/>
      <c r="GC74" s="170"/>
      <c r="GD74" s="170"/>
      <c r="GE74" s="170"/>
      <c r="GF74" s="170"/>
      <c r="GG74" s="170"/>
      <c r="GH74" s="170"/>
      <c r="GI74" s="170"/>
      <c r="GJ74" s="170"/>
      <c r="GK74" s="170"/>
      <c r="GL74" s="170"/>
      <c r="GM74" s="170"/>
      <c r="GN74" s="170"/>
      <c r="GO74" s="170"/>
      <c r="GP74" s="170"/>
      <c r="GQ74" s="170"/>
      <c r="GR74" s="170"/>
      <c r="GS74" s="170"/>
      <c r="GT74" s="170"/>
      <c r="GU74" s="170"/>
      <c r="GV74" s="170"/>
      <c r="GW74" s="170"/>
      <c r="GX74" s="170"/>
      <c r="GY74" s="170"/>
      <c r="GZ74" s="170"/>
      <c r="HA74" s="170"/>
      <c r="HB74" s="170"/>
      <c r="HC74" s="170"/>
      <c r="HD74" s="170"/>
      <c r="HE74" s="170"/>
      <c r="HF74" s="170"/>
      <c r="HG74" s="170"/>
      <c r="HH74" s="170"/>
      <c r="HI74" s="170"/>
      <c r="HJ74" s="170"/>
      <c r="HK74" s="170"/>
      <c r="HL74" s="170"/>
      <c r="HM74" s="170"/>
      <c r="HN74" s="170"/>
      <c r="HO74" s="170"/>
      <c r="HP74" s="170"/>
      <c r="HQ74" s="170"/>
      <c r="HR74" s="170"/>
      <c r="HS74" s="170"/>
      <c r="HT74" s="170"/>
    </row>
    <row r="75" spans="1:228" s="199" customFormat="1" ht="15" customHeight="1">
      <c r="A75" s="168"/>
      <c r="B75" s="200"/>
      <c r="C75" s="201" t="s">
        <v>535</v>
      </c>
      <c r="D75" s="197"/>
      <c r="E75" s="193">
        <f>-1/0.95</f>
        <v>-1.0526315789473684</v>
      </c>
      <c r="F75" s="193">
        <f>(I69*0.7*0.5)+(I70*0.4*0.5)+(I71*1*0.6)</f>
        <v>291.08150000000001</v>
      </c>
      <c r="G75" s="193"/>
      <c r="H75" s="193"/>
      <c r="I75" s="193">
        <f>+ROUND(PRODUCT(E75:H75),2)</f>
        <v>-306.39999999999998</v>
      </c>
      <c r="J75" s="194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0"/>
      <c r="AE75" s="170"/>
      <c r="AF75" s="170"/>
      <c r="AG75" s="170"/>
      <c r="AH75" s="170"/>
      <c r="AI75" s="170"/>
      <c r="AJ75" s="170"/>
      <c r="AK75" s="170"/>
      <c r="AL75" s="170"/>
      <c r="AM75" s="170"/>
      <c r="AN75" s="170"/>
      <c r="AO75" s="170"/>
      <c r="AP75" s="170"/>
      <c r="AQ75" s="170"/>
      <c r="AR75" s="170"/>
      <c r="AS75" s="170"/>
      <c r="AT75" s="170"/>
      <c r="AU75" s="170"/>
      <c r="AV75" s="170"/>
      <c r="AW75" s="170"/>
      <c r="AX75" s="170"/>
      <c r="AY75" s="170"/>
      <c r="AZ75" s="170"/>
      <c r="BA75" s="170"/>
      <c r="BB75" s="170"/>
      <c r="BC75" s="170"/>
      <c r="BD75" s="170"/>
      <c r="BE75" s="170"/>
      <c r="BF75" s="170"/>
      <c r="BG75" s="170"/>
      <c r="BH75" s="170"/>
      <c r="BI75" s="170"/>
      <c r="BJ75" s="170"/>
      <c r="BK75" s="170"/>
      <c r="BL75" s="170"/>
      <c r="BM75" s="170"/>
      <c r="BN75" s="170"/>
      <c r="BO75" s="170"/>
      <c r="BP75" s="170"/>
      <c r="BQ75" s="170"/>
      <c r="BR75" s="170"/>
      <c r="BS75" s="170"/>
      <c r="BT75" s="170"/>
      <c r="BU75" s="170"/>
      <c r="BV75" s="170"/>
      <c r="BW75" s="170"/>
      <c r="BX75" s="170"/>
      <c r="BY75" s="170"/>
      <c r="BZ75" s="170"/>
      <c r="CA75" s="170"/>
      <c r="CB75" s="170"/>
      <c r="CC75" s="170"/>
      <c r="CD75" s="170"/>
      <c r="CE75" s="170"/>
      <c r="CF75" s="170"/>
      <c r="CG75" s="170"/>
      <c r="CH75" s="170"/>
      <c r="CI75" s="170"/>
      <c r="CJ75" s="170"/>
      <c r="CK75" s="170"/>
      <c r="CL75" s="170"/>
      <c r="CM75" s="170"/>
      <c r="CN75" s="170"/>
      <c r="CO75" s="170"/>
      <c r="CP75" s="170"/>
      <c r="CQ75" s="170"/>
      <c r="CR75" s="170"/>
      <c r="CS75" s="170"/>
      <c r="CT75" s="170"/>
      <c r="CU75" s="170"/>
      <c r="CV75" s="170"/>
      <c r="CW75" s="170"/>
      <c r="CX75" s="170"/>
      <c r="CY75" s="170"/>
      <c r="CZ75" s="170"/>
      <c r="DA75" s="170"/>
      <c r="DB75" s="170"/>
      <c r="DC75" s="170"/>
      <c r="DD75" s="170"/>
      <c r="DE75" s="170"/>
      <c r="DF75" s="170"/>
      <c r="DG75" s="170"/>
      <c r="DH75" s="170"/>
      <c r="DI75" s="170"/>
      <c r="DJ75" s="170"/>
      <c r="DK75" s="170"/>
      <c r="DL75" s="170"/>
      <c r="DM75" s="170"/>
      <c r="DN75" s="170"/>
      <c r="DO75" s="170"/>
      <c r="DP75" s="170"/>
      <c r="DQ75" s="170"/>
      <c r="DR75" s="170"/>
      <c r="DS75" s="170"/>
      <c r="DT75" s="170"/>
      <c r="DU75" s="170"/>
      <c r="DV75" s="170"/>
      <c r="DW75" s="170"/>
      <c r="DX75" s="170"/>
      <c r="DY75" s="170"/>
      <c r="DZ75" s="170"/>
      <c r="EA75" s="170"/>
      <c r="EB75" s="170"/>
      <c r="EC75" s="170"/>
      <c r="ED75" s="170"/>
      <c r="EE75" s="170"/>
      <c r="EF75" s="170"/>
      <c r="EG75" s="170"/>
      <c r="EH75" s="170"/>
      <c r="EI75" s="170"/>
      <c r="EJ75" s="170"/>
      <c r="EK75" s="170"/>
      <c r="EL75" s="170"/>
      <c r="EM75" s="170"/>
      <c r="EN75" s="170"/>
      <c r="EO75" s="170"/>
      <c r="EP75" s="170"/>
      <c r="EQ75" s="170"/>
      <c r="ER75" s="170"/>
      <c r="ES75" s="170"/>
      <c r="ET75" s="170"/>
      <c r="EU75" s="170"/>
      <c r="EV75" s="170"/>
      <c r="EW75" s="170"/>
      <c r="EX75" s="170"/>
      <c r="EY75" s="170"/>
      <c r="EZ75" s="170"/>
      <c r="FA75" s="170"/>
      <c r="FB75" s="170"/>
      <c r="FC75" s="170"/>
      <c r="FD75" s="170"/>
      <c r="FE75" s="170"/>
      <c r="FF75" s="170"/>
      <c r="FG75" s="170"/>
      <c r="FH75" s="170"/>
      <c r="FI75" s="170"/>
      <c r="FJ75" s="170"/>
      <c r="FK75" s="170"/>
      <c r="FL75" s="170"/>
      <c r="FM75" s="170"/>
      <c r="FN75" s="170"/>
      <c r="FO75" s="170"/>
      <c r="FP75" s="170"/>
      <c r="FQ75" s="170"/>
      <c r="FR75" s="170"/>
      <c r="FS75" s="170"/>
      <c r="FT75" s="170"/>
      <c r="FU75" s="170"/>
      <c r="FV75" s="170"/>
      <c r="FW75" s="170"/>
      <c r="FX75" s="170"/>
      <c r="FY75" s="170"/>
      <c r="FZ75" s="170"/>
      <c r="GA75" s="170"/>
      <c r="GB75" s="170"/>
      <c r="GC75" s="170"/>
      <c r="GD75" s="170"/>
      <c r="GE75" s="170"/>
      <c r="GF75" s="170"/>
      <c r="GG75" s="170"/>
      <c r="GH75" s="170"/>
      <c r="GI75" s="170"/>
      <c r="GJ75" s="170"/>
      <c r="GK75" s="170"/>
      <c r="GL75" s="170"/>
      <c r="GM75" s="170"/>
      <c r="GN75" s="170"/>
      <c r="GO75" s="170"/>
      <c r="GP75" s="170"/>
      <c r="GQ75" s="170"/>
      <c r="GR75" s="170"/>
      <c r="GS75" s="170"/>
      <c r="GT75" s="170"/>
      <c r="GU75" s="170"/>
      <c r="GV75" s="170"/>
      <c r="GW75" s="170"/>
      <c r="GX75" s="170"/>
      <c r="GY75" s="170"/>
      <c r="GZ75" s="170"/>
      <c r="HA75" s="170"/>
      <c r="HB75" s="170"/>
      <c r="HC75" s="170"/>
      <c r="HD75" s="170"/>
      <c r="HE75" s="170"/>
      <c r="HF75" s="170"/>
      <c r="HG75" s="170"/>
      <c r="HH75" s="170"/>
      <c r="HI75" s="170"/>
      <c r="HJ75" s="170"/>
      <c r="HK75" s="170"/>
      <c r="HL75" s="170"/>
      <c r="HM75" s="170"/>
      <c r="HN75" s="170"/>
      <c r="HO75" s="170"/>
      <c r="HP75" s="170"/>
      <c r="HQ75" s="170"/>
      <c r="HR75" s="170"/>
      <c r="HS75" s="170"/>
      <c r="HT75" s="170"/>
    </row>
    <row r="76" spans="1:228" s="170" customFormat="1" ht="15" customHeight="1">
      <c r="A76" s="168"/>
      <c r="B76" s="190" t="str">
        <f>B$22 &amp; ".03"</f>
        <v>01.06.03</v>
      </c>
      <c r="C76" s="189" t="s">
        <v>513</v>
      </c>
      <c r="D76" s="188"/>
      <c r="E76" s="188"/>
      <c r="F76" s="187"/>
      <c r="G76" s="193"/>
      <c r="H76" s="187"/>
      <c r="I76" s="187"/>
      <c r="J76" s="186"/>
    </row>
    <row r="77" spans="1:228" s="170" customFormat="1" ht="15" customHeight="1">
      <c r="A77" s="168"/>
      <c r="B77" s="185" t="str">
        <f>B76 &amp; ".01"</f>
        <v>01.06.03.01</v>
      </c>
      <c r="C77" s="945" t="s">
        <v>534</v>
      </c>
      <c r="D77" s="183" t="s">
        <v>307</v>
      </c>
      <c r="E77" s="183">
        <v>1</v>
      </c>
      <c r="F77" s="182">
        <f>F23+F39+F51</f>
        <v>441.98</v>
      </c>
      <c r="G77" s="193"/>
      <c r="H77" s="182"/>
      <c r="I77" s="428">
        <f>+ROUND(PRODUCT(E77:H77),2)</f>
        <v>441.98</v>
      </c>
      <c r="J77" s="846">
        <f>+I77</f>
        <v>441.98</v>
      </c>
    </row>
    <row r="78" spans="1:228" s="170" customFormat="1" ht="15" customHeight="1">
      <c r="A78" s="168"/>
      <c r="B78" s="185" t="str">
        <f>B76 &amp; ".02"</f>
        <v>01.06.03.02</v>
      </c>
      <c r="C78" s="945" t="s">
        <v>533</v>
      </c>
      <c r="D78" s="183" t="s">
        <v>307</v>
      </c>
      <c r="E78" s="183">
        <v>1</v>
      </c>
      <c r="F78" s="182">
        <f>F29+F44+E47+E48</f>
        <v>624.67999999999995</v>
      </c>
      <c r="G78" s="193"/>
      <c r="H78" s="182"/>
      <c r="I78" s="181">
        <f>+ROUND(PRODUCT(E78:H78),2)</f>
        <v>624.67999999999995</v>
      </c>
      <c r="J78" s="180">
        <f>+I78</f>
        <v>624.67999999999995</v>
      </c>
    </row>
    <row r="79" spans="1:228" s="170" customFormat="1" ht="15" customHeight="1">
      <c r="A79" s="168"/>
      <c r="B79" s="190" t="str">
        <f>B$22 &amp; ".04"</f>
        <v>01.06.04</v>
      </c>
      <c r="C79" s="192" t="s">
        <v>312</v>
      </c>
      <c r="D79" s="183"/>
      <c r="E79" s="188"/>
      <c r="F79" s="187"/>
      <c r="G79" s="187"/>
      <c r="H79" s="187"/>
      <c r="I79" s="187"/>
      <c r="J79" s="180"/>
      <c r="K79" s="423"/>
    </row>
    <row r="80" spans="1:228" s="170" customFormat="1" ht="15" customHeight="1">
      <c r="A80" s="168"/>
      <c r="B80" s="185" t="str">
        <f>B79 &amp; ".01"</f>
        <v>01.06.04.01</v>
      </c>
      <c r="C80" s="184" t="s">
        <v>532</v>
      </c>
      <c r="D80" s="183" t="s">
        <v>43</v>
      </c>
      <c r="E80" s="183">
        <v>4</v>
      </c>
      <c r="F80" s="182"/>
      <c r="G80" s="182"/>
      <c r="H80" s="182"/>
      <c r="I80" s="191">
        <f t="shared" ref="I80:I91" si="2">+ROUND(PRODUCT(E80:H80),2)</f>
        <v>4</v>
      </c>
      <c r="J80" s="180">
        <f t="shared" ref="J80:J91" si="3">+I80</f>
        <v>4</v>
      </c>
      <c r="K80" s="423"/>
    </row>
    <row r="81" spans="1:11" s="170" customFormat="1" ht="15" customHeight="1">
      <c r="A81" s="168"/>
      <c r="B81" s="185" t="str">
        <f>B79 &amp; ".02"</f>
        <v>01.06.04.02</v>
      </c>
      <c r="C81" s="184" t="s">
        <v>531</v>
      </c>
      <c r="D81" s="183" t="s">
        <v>43</v>
      </c>
      <c r="E81" s="183">
        <v>2</v>
      </c>
      <c r="F81" s="182"/>
      <c r="G81" s="182"/>
      <c r="H81" s="182"/>
      <c r="I81" s="191">
        <f t="shared" si="2"/>
        <v>2</v>
      </c>
      <c r="J81" s="180">
        <f t="shared" si="3"/>
        <v>2</v>
      </c>
      <c r="K81" s="424"/>
    </row>
    <row r="82" spans="1:11" s="170" customFormat="1" ht="15" customHeight="1">
      <c r="A82" s="168"/>
      <c r="B82" s="185" t="str">
        <f>B79 &amp; ".03"</f>
        <v>01.06.04.03</v>
      </c>
      <c r="C82" s="184" t="s">
        <v>530</v>
      </c>
      <c r="D82" s="183" t="s">
        <v>43</v>
      </c>
      <c r="E82" s="183">
        <v>8</v>
      </c>
      <c r="F82" s="182"/>
      <c r="G82" s="182"/>
      <c r="H82" s="182"/>
      <c r="I82" s="191">
        <f t="shared" si="2"/>
        <v>8</v>
      </c>
      <c r="J82" s="180">
        <f t="shared" si="3"/>
        <v>8</v>
      </c>
      <c r="K82" s="424"/>
    </row>
    <row r="83" spans="1:11" s="170" customFormat="1" ht="15" customHeight="1">
      <c r="A83" s="168"/>
      <c r="B83" s="185" t="str">
        <f>$B$79 &amp; ".04"</f>
        <v>01.06.04.04</v>
      </c>
      <c r="C83" s="184" t="s">
        <v>529</v>
      </c>
      <c r="D83" s="183" t="s">
        <v>43</v>
      </c>
      <c r="E83" s="183">
        <v>5</v>
      </c>
      <c r="F83" s="182"/>
      <c r="G83" s="182"/>
      <c r="H83" s="182"/>
      <c r="I83" s="191">
        <f t="shared" si="2"/>
        <v>5</v>
      </c>
      <c r="J83" s="180">
        <f t="shared" si="3"/>
        <v>5</v>
      </c>
      <c r="K83" s="424"/>
    </row>
    <row r="84" spans="1:11" s="170" customFormat="1" ht="15" customHeight="1">
      <c r="A84" s="168"/>
      <c r="B84" s="185" t="str">
        <f>$B$79 &amp; ".05"</f>
        <v>01.06.04.05</v>
      </c>
      <c r="C84" s="184" t="s">
        <v>528</v>
      </c>
      <c r="D84" s="183" t="s">
        <v>43</v>
      </c>
      <c r="E84" s="183">
        <v>8</v>
      </c>
      <c r="F84" s="182"/>
      <c r="G84" s="182"/>
      <c r="H84" s="182"/>
      <c r="I84" s="191">
        <f t="shared" si="2"/>
        <v>8</v>
      </c>
      <c r="J84" s="180">
        <f t="shared" si="3"/>
        <v>8</v>
      </c>
      <c r="K84" s="424"/>
    </row>
    <row r="85" spans="1:11" s="170" customFormat="1" ht="15" customHeight="1">
      <c r="A85" s="168"/>
      <c r="B85" s="185" t="str">
        <f>$B$79 &amp; ".06"</f>
        <v>01.06.04.06</v>
      </c>
      <c r="C85" s="184" t="s">
        <v>527</v>
      </c>
      <c r="D85" s="183" t="s">
        <v>43</v>
      </c>
      <c r="E85" s="183">
        <v>1</v>
      </c>
      <c r="F85" s="182"/>
      <c r="G85" s="182"/>
      <c r="H85" s="182"/>
      <c r="I85" s="191">
        <f t="shared" si="2"/>
        <v>1</v>
      </c>
      <c r="J85" s="180">
        <f t="shared" si="3"/>
        <v>1</v>
      </c>
      <c r="K85" s="424"/>
    </row>
    <row r="86" spans="1:11" s="170" customFormat="1" ht="15" customHeight="1">
      <c r="A86" s="168"/>
      <c r="B86" s="185" t="str">
        <f>$B$79 &amp; ".07"</f>
        <v>01.06.04.07</v>
      </c>
      <c r="C86" s="184" t="s">
        <v>526</v>
      </c>
      <c r="D86" s="183" t="s">
        <v>43</v>
      </c>
      <c r="E86" s="183">
        <v>2</v>
      </c>
      <c r="F86" s="182"/>
      <c r="G86" s="182"/>
      <c r="H86" s="182"/>
      <c r="I86" s="191">
        <f t="shared" si="2"/>
        <v>2</v>
      </c>
      <c r="J86" s="180">
        <f t="shared" si="3"/>
        <v>2</v>
      </c>
      <c r="K86" s="424"/>
    </row>
    <row r="87" spans="1:11" s="170" customFormat="1" ht="15" customHeight="1">
      <c r="A87" s="168"/>
      <c r="B87" s="185" t="str">
        <f>$B$79 &amp; ".08"</f>
        <v>01.06.04.08</v>
      </c>
      <c r="C87" s="184" t="s">
        <v>525</v>
      </c>
      <c r="D87" s="183" t="s">
        <v>43</v>
      </c>
      <c r="E87" s="183">
        <v>7</v>
      </c>
      <c r="F87" s="182"/>
      <c r="G87" s="182"/>
      <c r="H87" s="182"/>
      <c r="I87" s="191">
        <f t="shared" si="2"/>
        <v>7</v>
      </c>
      <c r="J87" s="180">
        <f t="shared" si="3"/>
        <v>7</v>
      </c>
      <c r="K87" s="424"/>
    </row>
    <row r="88" spans="1:11" s="170" customFormat="1" ht="15" customHeight="1">
      <c r="A88" s="168"/>
      <c r="B88" s="185" t="str">
        <f>$B$79 &amp; ".09"</f>
        <v>01.06.04.09</v>
      </c>
      <c r="C88" s="184" t="s">
        <v>524</v>
      </c>
      <c r="D88" s="183" t="s">
        <v>43</v>
      </c>
      <c r="E88" s="183">
        <v>2</v>
      </c>
      <c r="F88" s="182"/>
      <c r="G88" s="182"/>
      <c r="H88" s="182"/>
      <c r="I88" s="191">
        <f t="shared" si="2"/>
        <v>2</v>
      </c>
      <c r="J88" s="180">
        <f t="shared" si="3"/>
        <v>2</v>
      </c>
      <c r="K88" s="424"/>
    </row>
    <row r="89" spans="1:11" s="170" customFormat="1" ht="15" customHeight="1">
      <c r="A89" s="168"/>
      <c r="B89" s="185" t="str">
        <f>$B$79 &amp; ".10"</f>
        <v>01.06.04.10</v>
      </c>
      <c r="C89" s="184" t="s">
        <v>523</v>
      </c>
      <c r="D89" s="183" t="s">
        <v>43</v>
      </c>
      <c r="E89" s="183">
        <v>2</v>
      </c>
      <c r="F89" s="182"/>
      <c r="G89" s="182"/>
      <c r="H89" s="182"/>
      <c r="I89" s="191">
        <f t="shared" si="2"/>
        <v>2</v>
      </c>
      <c r="J89" s="180">
        <f t="shared" si="3"/>
        <v>2</v>
      </c>
      <c r="K89" s="424"/>
    </row>
    <row r="90" spans="1:11" s="170" customFormat="1" ht="15" customHeight="1">
      <c r="A90" s="168"/>
      <c r="B90" s="185" t="str">
        <f>$B$79 &amp; ".11"</f>
        <v>01.06.04.11</v>
      </c>
      <c r="C90" s="184" t="s">
        <v>522</v>
      </c>
      <c r="D90" s="183" t="s">
        <v>43</v>
      </c>
      <c r="E90" s="183">
        <v>1</v>
      </c>
      <c r="F90" s="182"/>
      <c r="G90" s="182"/>
      <c r="H90" s="182"/>
      <c r="I90" s="191">
        <f t="shared" si="2"/>
        <v>1</v>
      </c>
      <c r="J90" s="180">
        <f t="shared" si="3"/>
        <v>1</v>
      </c>
      <c r="K90" s="424"/>
    </row>
    <row r="91" spans="1:11" s="170" customFormat="1" ht="15" customHeight="1">
      <c r="A91" s="168"/>
      <c r="B91" s="185" t="str">
        <f>$B$79 &amp; ".12"</f>
        <v>01.06.04.12</v>
      </c>
      <c r="C91" s="184" t="s">
        <v>521</v>
      </c>
      <c r="D91" s="183" t="s">
        <v>43</v>
      </c>
      <c r="E91" s="183">
        <v>5</v>
      </c>
      <c r="F91" s="182"/>
      <c r="G91" s="182"/>
      <c r="H91" s="182"/>
      <c r="I91" s="191">
        <f t="shared" si="2"/>
        <v>5</v>
      </c>
      <c r="J91" s="180">
        <f t="shared" si="3"/>
        <v>5</v>
      </c>
      <c r="K91" s="424"/>
    </row>
    <row r="92" spans="1:11" s="170" customFormat="1" ht="15" customHeight="1">
      <c r="A92" s="168"/>
      <c r="B92" s="190" t="str">
        <f>B$22 &amp; ".05"</f>
        <v>01.06.05</v>
      </c>
      <c r="C92" s="189" t="s">
        <v>309</v>
      </c>
      <c r="D92" s="188"/>
      <c r="E92" s="188"/>
      <c r="F92" s="187"/>
      <c r="G92" s="187"/>
      <c r="H92" s="187"/>
      <c r="I92" s="187"/>
      <c r="J92" s="186"/>
      <c r="K92" s="423"/>
    </row>
    <row r="93" spans="1:11" s="170" customFormat="1" ht="15" customHeight="1">
      <c r="B93" s="185" t="str">
        <f>B92 &amp;".01"</f>
        <v>01.06.05.01</v>
      </c>
      <c r="C93" s="184" t="s">
        <v>520</v>
      </c>
      <c r="D93" s="183" t="s">
        <v>307</v>
      </c>
      <c r="E93" s="183">
        <v>1</v>
      </c>
      <c r="F93" s="182">
        <f>F22</f>
        <v>1097.1600000000001</v>
      </c>
      <c r="G93" s="182"/>
      <c r="H93" s="182"/>
      <c r="I93" s="181">
        <f>+ROUND(PRODUCT(E93:H93),2)</f>
        <v>1097.1600000000001</v>
      </c>
      <c r="J93" s="180">
        <f>+I93</f>
        <v>1097.1600000000001</v>
      </c>
      <c r="K93" s="423"/>
    </row>
    <row r="94" spans="1:11" s="170" customFormat="1" ht="15" customHeight="1" thickBot="1">
      <c r="A94" s="168"/>
      <c r="B94" s="179"/>
      <c r="C94" s="178"/>
      <c r="D94" s="177"/>
      <c r="E94" s="177"/>
      <c r="F94" s="175"/>
      <c r="G94" s="175"/>
      <c r="H94" s="176"/>
      <c r="I94" s="175"/>
      <c r="J94" s="174"/>
    </row>
    <row r="95" spans="1:11" s="170" customFormat="1" ht="15" customHeight="1">
      <c r="B95" s="173"/>
      <c r="C95" s="172"/>
      <c r="D95" s="171"/>
      <c r="E95" s="171"/>
      <c r="F95" s="171"/>
      <c r="G95" s="171"/>
      <c r="H95" s="171"/>
      <c r="I95" s="171"/>
      <c r="J95" s="171"/>
      <c r="K95" s="423"/>
    </row>
    <row r="96" spans="1:11" s="170" customFormat="1" ht="15" customHeight="1">
      <c r="B96" s="173"/>
      <c r="C96" s="172"/>
      <c r="D96" s="171"/>
      <c r="E96" s="171"/>
      <c r="F96" s="171"/>
      <c r="G96" s="171"/>
      <c r="H96" s="171"/>
      <c r="I96" s="171"/>
      <c r="J96" s="171"/>
      <c r="K96" s="423"/>
    </row>
    <row r="97" spans="3:3" ht="15" customHeight="1"/>
    <row r="98" spans="3:3" ht="15" customHeight="1"/>
    <row r="99" spans="3:3" ht="15" customHeight="1"/>
    <row r="100" spans="3:3" ht="15" customHeight="1"/>
    <row r="101" spans="3:3" ht="15" customHeight="1"/>
    <row r="102" spans="3:3" ht="15" customHeight="1"/>
    <row r="103" spans="3:3" ht="15" customHeight="1"/>
    <row r="104" spans="3:3" ht="15" customHeight="1"/>
    <row r="105" spans="3:3" ht="15" customHeight="1"/>
    <row r="106" spans="3:3" ht="15" customHeight="1"/>
    <row r="107" spans="3:3" ht="15" customHeight="1">
      <c r="C107" s="168" t="s">
        <v>519</v>
      </c>
    </row>
    <row r="108" spans="3:3" ht="15" customHeight="1">
      <c r="C108" s="168" t="s">
        <v>518</v>
      </c>
    </row>
    <row r="109" spans="3:3" ht="15" customHeight="1"/>
    <row r="110" spans="3:3" ht="15" customHeight="1"/>
    <row r="111" spans="3:3" ht="15" customHeight="1"/>
    <row r="112" spans="3:3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</sheetData>
  <mergeCells count="8">
    <mergeCell ref="F13:I13"/>
    <mergeCell ref="F14:I14"/>
    <mergeCell ref="F7:I7"/>
    <mergeCell ref="B1:J1"/>
    <mergeCell ref="B2:J2"/>
    <mergeCell ref="B3:J3"/>
    <mergeCell ref="B4:J4"/>
    <mergeCell ref="F6:I6"/>
  </mergeCells>
  <phoneticPr fontId="0" type="noConversion"/>
  <conditionalFormatting sqref="C59:C72">
    <cfRule type="expression" priority="1" stopIfTrue="1">
      <formula>ROW()=CELL("fila")</formula>
    </cfRule>
  </conditionalFormatting>
  <printOptions horizontalCentered="1"/>
  <pageMargins left="0.47470238095238093" right="0.70866141732283472" top="0.74803149606299213" bottom="0.74803149606299213" header="0.31496062992125984" footer="0.31496062992125984"/>
  <pageSetup paperSize="9" scale="50" fitToHeight="0" orientation="portrait" r:id="rId1"/>
  <headerFooter>
    <oddFooter>&amp;CPágina &amp;P&amp;R&amp;A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DFACF-6169-45AA-A072-C760B13C353F}">
  <sheetPr codeName="Hoja9">
    <tabColor theme="7" tint="0.39997558519241921"/>
    <pageSetUpPr fitToPage="1"/>
  </sheetPr>
  <dimension ref="A1:O129"/>
  <sheetViews>
    <sheetView showGridLines="0" view="pageBreakPreview" topLeftCell="B91" zoomScale="65" zoomScaleNormal="85" zoomScaleSheetLayoutView="65" zoomScalePageLayoutView="70" workbookViewId="0">
      <selection activeCell="B3" sqref="B3:J3"/>
    </sheetView>
  </sheetViews>
  <sheetFormatPr baseColWidth="10" defaultColWidth="13.33203125" defaultRowHeight="11.25"/>
  <cols>
    <col min="1" max="1" width="3.33203125" style="170" hidden="1" customWidth="1"/>
    <col min="2" max="2" width="13.33203125" style="170" customWidth="1"/>
    <col min="3" max="3" width="93.83203125" style="170" customWidth="1"/>
    <col min="4" max="4" width="11.5" style="170" customWidth="1"/>
    <col min="5" max="5" width="10.83203125" style="170" customWidth="1"/>
    <col min="6" max="6" width="12.33203125" style="170" customWidth="1"/>
    <col min="7" max="7" width="12.6640625" style="170" customWidth="1"/>
    <col min="8" max="8" width="12.5" style="170" customWidth="1"/>
    <col min="9" max="9" width="13.5" style="170" customWidth="1"/>
    <col min="10" max="10" width="17.83203125" style="170" customWidth="1"/>
    <col min="11" max="11" width="3.33203125" style="170" customWidth="1"/>
    <col min="12" max="12" width="27.6640625" style="170" bestFit="1" customWidth="1"/>
    <col min="13" max="13" width="26.5" style="170" bestFit="1" customWidth="1"/>
    <col min="14" max="14" width="9.1640625" style="434" bestFit="1" customWidth="1"/>
    <col min="15" max="15" width="12.1640625" style="170" bestFit="1" customWidth="1"/>
    <col min="16" max="16" width="12.6640625" style="170" bestFit="1" customWidth="1"/>
    <col min="17" max="17" width="10.83203125" style="170" bestFit="1" customWidth="1"/>
    <col min="18" max="16384" width="13.33203125" style="170"/>
  </cols>
  <sheetData>
    <row r="1" spans="2:15" s="168" customFormat="1" ht="18" customHeight="1">
      <c r="B1" s="1016" t="s">
        <v>334</v>
      </c>
      <c r="C1" s="1017"/>
      <c r="D1" s="1017"/>
      <c r="E1" s="1017"/>
      <c r="F1" s="1017"/>
      <c r="G1" s="1017"/>
      <c r="H1" s="1017"/>
      <c r="I1" s="1017"/>
      <c r="J1" s="1018"/>
      <c r="K1" s="509"/>
      <c r="L1" s="508"/>
      <c r="N1" s="500"/>
    </row>
    <row r="2" spans="2:15" s="168" customFormat="1" ht="51" customHeight="1">
      <c r="B2" s="1049" t="s">
        <v>1086</v>
      </c>
      <c r="C2" s="1023"/>
      <c r="D2" s="1023"/>
      <c r="E2" s="1023"/>
      <c r="F2" s="1023"/>
      <c r="G2" s="1023"/>
      <c r="H2" s="1023"/>
      <c r="I2" s="1023"/>
      <c r="J2" s="1024"/>
      <c r="K2" s="507"/>
      <c r="L2" s="430"/>
      <c r="N2" s="500"/>
    </row>
    <row r="3" spans="2:15" s="168" customFormat="1" ht="19.5" customHeight="1" thickBot="1">
      <c r="B3" s="1019" t="s">
        <v>653</v>
      </c>
      <c r="C3" s="1020"/>
      <c r="D3" s="1020"/>
      <c r="E3" s="1020"/>
      <c r="F3" s="1020"/>
      <c r="G3" s="1020"/>
      <c r="H3" s="1020"/>
      <c r="I3" s="1020"/>
      <c r="J3" s="1021"/>
      <c r="K3" s="506"/>
      <c r="L3" s="430"/>
      <c r="N3" s="500"/>
    </row>
    <row r="4" spans="2:15" s="168" customFormat="1" ht="15" customHeight="1">
      <c r="B4" s="501"/>
      <c r="C4" s="431"/>
      <c r="D4" s="431"/>
      <c r="E4" s="222"/>
      <c r="F4" s="222"/>
      <c r="G4" s="222"/>
      <c r="H4" s="222"/>
      <c r="I4" s="221"/>
      <c r="J4" s="220"/>
      <c r="K4" s="222"/>
    </row>
    <row r="5" spans="2:15" s="168" customFormat="1" ht="15" customHeight="1">
      <c r="B5" s="501"/>
      <c r="C5" s="1050"/>
      <c r="D5" s="1051"/>
      <c r="E5" s="1051"/>
      <c r="F5" s="1051"/>
      <c r="G5" s="1051"/>
      <c r="H5" s="1052"/>
      <c r="I5" s="221"/>
      <c r="J5" s="220"/>
      <c r="K5" s="222"/>
    </row>
    <row r="6" spans="2:15" s="168" customFormat="1" ht="15" customHeight="1">
      <c r="B6" s="501"/>
      <c r="C6" s="1053"/>
      <c r="D6" s="1054"/>
      <c r="E6" s="1054"/>
      <c r="F6" s="1054"/>
      <c r="G6" s="1054"/>
      <c r="H6" s="1055"/>
      <c r="I6" s="221"/>
      <c r="J6" s="220"/>
      <c r="K6" s="222"/>
    </row>
    <row r="7" spans="2:15" s="168" customFormat="1" ht="15" customHeight="1">
      <c r="B7" s="501"/>
      <c r="C7" s="1053"/>
      <c r="D7" s="1054"/>
      <c r="E7" s="1054"/>
      <c r="F7" s="1054"/>
      <c r="G7" s="1054"/>
      <c r="H7" s="1055"/>
      <c r="I7" s="221"/>
      <c r="J7" s="220"/>
      <c r="K7" s="222"/>
    </row>
    <row r="8" spans="2:15" s="168" customFormat="1" ht="15" customHeight="1">
      <c r="B8" s="501"/>
      <c r="C8" s="1053"/>
      <c r="D8" s="1054"/>
      <c r="E8" s="1054"/>
      <c r="F8" s="1054"/>
      <c r="G8" s="1054"/>
      <c r="H8" s="1055"/>
      <c r="I8" s="221"/>
      <c r="J8" s="220"/>
      <c r="K8" s="222"/>
    </row>
    <row r="9" spans="2:15" s="168" customFormat="1" ht="15" customHeight="1">
      <c r="B9" s="501"/>
      <c r="C9" s="1053"/>
      <c r="D9" s="1054"/>
      <c r="E9" s="1054"/>
      <c r="F9" s="1054"/>
      <c r="G9" s="1054"/>
      <c r="H9" s="1055"/>
      <c r="I9" s="221"/>
      <c r="J9" s="220"/>
      <c r="K9" s="222"/>
    </row>
    <row r="10" spans="2:15" s="168" customFormat="1" ht="15" customHeight="1">
      <c r="B10" s="501"/>
      <c r="C10" s="1053"/>
      <c r="D10" s="1054"/>
      <c r="E10" s="1054"/>
      <c r="F10" s="1054"/>
      <c r="G10" s="1054"/>
      <c r="H10" s="1055"/>
      <c r="I10" s="221"/>
      <c r="J10" s="220"/>
      <c r="K10" s="222"/>
      <c r="L10" s="505" t="s">
        <v>652</v>
      </c>
      <c r="M10" s="505" t="s">
        <v>381</v>
      </c>
      <c r="N10" s="505" t="s">
        <v>325</v>
      </c>
    </row>
    <row r="11" spans="2:15" s="168" customFormat="1" ht="15" customHeight="1">
      <c r="B11" s="501"/>
      <c r="C11" s="1053"/>
      <c r="D11" s="1054"/>
      <c r="E11" s="1054"/>
      <c r="F11" s="1054"/>
      <c r="G11" s="1054"/>
      <c r="H11" s="1055"/>
      <c r="I11" s="221"/>
      <c r="J11" s="220"/>
      <c r="K11" s="222"/>
      <c r="L11" s="504">
        <v>1</v>
      </c>
      <c r="M11" s="503" t="s">
        <v>651</v>
      </c>
      <c r="N11" s="502">
        <v>1</v>
      </c>
    </row>
    <row r="12" spans="2:15" s="168" customFormat="1" ht="15" customHeight="1">
      <c r="B12" s="501"/>
      <c r="C12" s="1053"/>
      <c r="D12" s="1054"/>
      <c r="E12" s="1054"/>
      <c r="F12" s="1054"/>
      <c r="G12" s="1054"/>
      <c r="H12" s="1055"/>
      <c r="I12" s="221"/>
      <c r="J12" s="220"/>
      <c r="K12" s="222"/>
      <c r="L12" s="504">
        <v>2</v>
      </c>
      <c r="M12" s="503" t="s">
        <v>650</v>
      </c>
      <c r="N12" s="502">
        <v>4</v>
      </c>
    </row>
    <row r="13" spans="2:15" s="168" customFormat="1" ht="15" customHeight="1">
      <c r="B13" s="501"/>
      <c r="C13" s="1053"/>
      <c r="D13" s="1054"/>
      <c r="E13" s="1054"/>
      <c r="F13" s="1054"/>
      <c r="G13" s="1054"/>
      <c r="H13" s="1055"/>
      <c r="I13" s="221"/>
      <c r="J13" s="220"/>
      <c r="K13" s="222"/>
      <c r="L13" s="504">
        <v>3</v>
      </c>
      <c r="M13" s="503" t="s">
        <v>649</v>
      </c>
      <c r="N13" s="502">
        <v>2</v>
      </c>
    </row>
    <row r="14" spans="2:15" s="168" customFormat="1" ht="15" customHeight="1">
      <c r="B14" s="501"/>
      <c r="C14" s="1053"/>
      <c r="D14" s="1054"/>
      <c r="E14" s="1054"/>
      <c r="F14" s="1054"/>
      <c r="G14" s="1054"/>
      <c r="H14" s="1055"/>
      <c r="I14" s="221"/>
      <c r="J14" s="220"/>
      <c r="K14" s="222"/>
      <c r="L14" s="504">
        <v>4</v>
      </c>
      <c r="M14" s="503" t="s">
        <v>648</v>
      </c>
      <c r="N14" s="502">
        <v>1</v>
      </c>
      <c r="O14" s="489" t="s">
        <v>645</v>
      </c>
    </row>
    <row r="15" spans="2:15" s="168" customFormat="1" ht="15" customHeight="1">
      <c r="B15" s="501"/>
      <c r="C15" s="1053"/>
      <c r="D15" s="1054"/>
      <c r="E15" s="1054"/>
      <c r="F15" s="1054"/>
      <c r="G15" s="1054"/>
      <c r="H15" s="1055"/>
      <c r="I15" s="221"/>
      <c r="J15" s="220"/>
      <c r="K15" s="222"/>
      <c r="L15" s="504">
        <v>5</v>
      </c>
      <c r="M15" s="503" t="s">
        <v>647</v>
      </c>
      <c r="N15" s="502">
        <v>1</v>
      </c>
    </row>
    <row r="16" spans="2:15" s="168" customFormat="1" ht="15" customHeight="1">
      <c r="B16" s="501"/>
      <c r="C16" s="1056"/>
      <c r="D16" s="1057"/>
      <c r="E16" s="1057"/>
      <c r="F16" s="1057"/>
      <c r="G16" s="1057"/>
      <c r="H16" s="1058"/>
      <c r="I16" s="221"/>
      <c r="J16" s="220"/>
      <c r="K16" s="222"/>
      <c r="L16" s="504">
        <v>6</v>
      </c>
      <c r="M16" s="503" t="s">
        <v>646</v>
      </c>
      <c r="N16" s="502">
        <v>1</v>
      </c>
    </row>
    <row r="17" spans="1:14" s="168" customFormat="1" ht="15" customHeight="1">
      <c r="B17" s="501"/>
      <c r="C17" s="431"/>
      <c r="D17" s="431"/>
      <c r="E17" s="222"/>
      <c r="F17" s="222"/>
      <c r="G17" s="222"/>
      <c r="H17" s="222"/>
      <c r="I17" s="221"/>
      <c r="J17" s="220"/>
      <c r="K17" s="222"/>
      <c r="L17" s="430"/>
      <c r="M17" s="500"/>
      <c r="N17" s="500"/>
    </row>
    <row r="18" spans="1:14" ht="15" customHeight="1" thickBot="1">
      <c r="B18" s="499" t="s">
        <v>1</v>
      </c>
      <c r="C18" s="218" t="s">
        <v>2</v>
      </c>
      <c r="D18" s="217" t="s">
        <v>325</v>
      </c>
      <c r="E18" s="217" t="s">
        <v>3</v>
      </c>
      <c r="F18" s="217" t="s">
        <v>324</v>
      </c>
      <c r="G18" s="217" t="s">
        <v>5</v>
      </c>
      <c r="H18" s="217" t="s">
        <v>6</v>
      </c>
      <c r="I18" s="217" t="s">
        <v>7</v>
      </c>
      <c r="J18" s="216" t="s">
        <v>8</v>
      </c>
      <c r="K18" s="297"/>
      <c r="L18" s="498" t="str">
        <f>+B3&amp;O14&amp; " x"</f>
        <v>VALVULA DE AIRE  Ø = 3/4" x</v>
      </c>
      <c r="M18" s="451"/>
    </row>
    <row r="19" spans="1:14" s="487" customFormat="1" ht="15" customHeight="1" thickTop="1">
      <c r="A19" s="170"/>
      <c r="B19" s="497" t="str">
        <f>+"01.07"</f>
        <v>01.07</v>
      </c>
      <c r="C19" s="496" t="str">
        <f>+B3&amp;" ("&amp;E19&amp;" und.)"</f>
        <v>VALVULA DE AIRE  (1 und.)</v>
      </c>
      <c r="D19" s="288"/>
      <c r="E19" s="495">
        <f>E20+E21</f>
        <v>1</v>
      </c>
      <c r="F19" s="494"/>
      <c r="G19" s="493"/>
      <c r="H19" s="493"/>
      <c r="I19" s="493"/>
      <c r="J19" s="492"/>
      <c r="K19" s="297"/>
      <c r="L19" s="423"/>
      <c r="N19" s="488"/>
    </row>
    <row r="20" spans="1:14" s="487" customFormat="1" ht="15" customHeight="1">
      <c r="A20" s="170"/>
      <c r="B20" s="491"/>
      <c r="C20" s="340" t="str">
        <f>+$L$18&amp;L20</f>
        <v>VALVULA DE AIRE  Ø = 3/4" x Ø = 3/4"</v>
      </c>
      <c r="D20" s="196"/>
      <c r="E20" s="490">
        <v>1</v>
      </c>
      <c r="F20" s="364"/>
      <c r="G20" s="246"/>
      <c r="H20" s="246"/>
      <c r="I20" s="246"/>
      <c r="J20" s="452"/>
      <c r="K20" s="297"/>
      <c r="L20" s="489" t="s">
        <v>645</v>
      </c>
      <c r="N20" s="488"/>
    </row>
    <row r="21" spans="1:14" s="487" customFormat="1" ht="15" customHeight="1">
      <c r="A21" s="170"/>
      <c r="B21" s="491"/>
      <c r="C21" s="340"/>
      <c r="D21" s="196"/>
      <c r="E21" s="490"/>
      <c r="F21" s="364"/>
      <c r="G21" s="246"/>
      <c r="H21" s="246"/>
      <c r="I21" s="246"/>
      <c r="J21" s="452"/>
      <c r="K21" s="297"/>
      <c r="L21" s="489"/>
      <c r="N21" s="488"/>
    </row>
    <row r="22" spans="1:14" ht="15" customHeight="1">
      <c r="B22" s="455" t="str">
        <f>B$19 &amp; ".01"</f>
        <v>01.07.01</v>
      </c>
      <c r="C22" s="454" t="s">
        <v>107</v>
      </c>
      <c r="D22" s="196"/>
      <c r="E22" s="453">
        <f>+$E$19</f>
        <v>1</v>
      </c>
      <c r="F22" s="364"/>
      <c r="G22" s="246"/>
      <c r="H22" s="246"/>
      <c r="I22" s="246"/>
      <c r="J22" s="452"/>
      <c r="K22" s="297"/>
      <c r="L22" s="486" t="s">
        <v>10</v>
      </c>
      <c r="M22" s="486" t="s">
        <v>644</v>
      </c>
      <c r="N22" s="486" t="s">
        <v>12</v>
      </c>
    </row>
    <row r="23" spans="1:14" ht="15" customHeight="1">
      <c r="B23" s="450" t="str">
        <f>B$22 &amp; ".01"</f>
        <v>01.07.01.01</v>
      </c>
      <c r="C23" s="474" t="s">
        <v>493</v>
      </c>
      <c r="D23" s="20" t="s">
        <v>55</v>
      </c>
      <c r="E23" s="105"/>
      <c r="F23" s="103"/>
      <c r="G23" s="103"/>
      <c r="H23" s="103"/>
      <c r="I23" s="280">
        <f>SUM(I24)</f>
        <v>2.72</v>
      </c>
      <c r="J23" s="447">
        <f>+I23*$E$22</f>
        <v>2.72</v>
      </c>
      <c r="K23" s="439"/>
      <c r="L23" s="1066" t="s">
        <v>643</v>
      </c>
      <c r="M23" s="1066"/>
      <c r="N23" s="1066"/>
    </row>
    <row r="24" spans="1:14" ht="15" customHeight="1">
      <c r="B24" s="450"/>
      <c r="C24" s="340" t="s">
        <v>637</v>
      </c>
      <c r="D24" s="20"/>
      <c r="E24" s="105">
        <v>1</v>
      </c>
      <c r="F24" s="103">
        <f>+M51</f>
        <v>1.65</v>
      </c>
      <c r="G24" s="103">
        <f>+M50</f>
        <v>1.65</v>
      </c>
      <c r="I24" s="448">
        <f>+ROUND(PRODUCT(E24:G24),2)</f>
        <v>2.72</v>
      </c>
      <c r="J24" s="482"/>
      <c r="K24" s="350"/>
      <c r="L24" s="479" t="s">
        <v>328</v>
      </c>
      <c r="M24" s="477">
        <v>0.6</v>
      </c>
      <c r="N24" s="477" t="s">
        <v>0</v>
      </c>
    </row>
    <row r="25" spans="1:14" s="168" customFormat="1" ht="15" customHeight="1">
      <c r="B25" s="460"/>
      <c r="C25" s="30"/>
      <c r="D25" s="20"/>
      <c r="E25" s="105"/>
      <c r="F25" s="103"/>
      <c r="G25" s="103"/>
      <c r="H25" s="103"/>
      <c r="I25" s="103"/>
      <c r="J25" s="459"/>
      <c r="K25" s="338"/>
      <c r="L25" s="481" t="s">
        <v>23</v>
      </c>
      <c r="M25" s="477">
        <v>0.6</v>
      </c>
      <c r="N25" s="477" t="s">
        <v>0</v>
      </c>
    </row>
    <row r="26" spans="1:14" s="168" customFormat="1" ht="15" customHeight="1">
      <c r="B26" s="450" t="str">
        <f>B$22 &amp; ".02"</f>
        <v>01.07.01.02</v>
      </c>
      <c r="C26" s="474" t="s">
        <v>642</v>
      </c>
      <c r="D26" s="20" t="s">
        <v>55</v>
      </c>
      <c r="E26" s="105"/>
      <c r="F26" s="103"/>
      <c r="G26" s="103"/>
      <c r="H26" s="103"/>
      <c r="I26" s="280">
        <f>SUM(I27)</f>
        <v>2.72</v>
      </c>
      <c r="J26" s="447">
        <f>+I26*$E$22</f>
        <v>2.72</v>
      </c>
      <c r="K26" s="439"/>
      <c r="L26" s="479" t="s">
        <v>329</v>
      </c>
      <c r="M26" s="477">
        <v>0.75</v>
      </c>
      <c r="N26" s="477" t="s">
        <v>0</v>
      </c>
    </row>
    <row r="27" spans="1:14" s="168" customFormat="1" ht="15" customHeight="1">
      <c r="B27" s="460"/>
      <c r="C27" s="340" t="s">
        <v>637</v>
      </c>
      <c r="D27" s="20"/>
      <c r="E27" s="105">
        <v>1</v>
      </c>
      <c r="F27" s="103">
        <f>+F24</f>
        <v>1.65</v>
      </c>
      <c r="G27" s="103">
        <f>+G24</f>
        <v>1.65</v>
      </c>
      <c r="I27" s="448">
        <f>+ROUND(PRODUCT(E27:G27),2)</f>
        <v>2.72</v>
      </c>
      <c r="J27" s="482"/>
      <c r="K27" s="350"/>
      <c r="L27" s="481" t="s">
        <v>641</v>
      </c>
      <c r="M27" s="477">
        <v>0.1</v>
      </c>
      <c r="N27" s="477" t="s">
        <v>0</v>
      </c>
    </row>
    <row r="28" spans="1:14" s="168" customFormat="1" ht="15" customHeight="1">
      <c r="B28" s="460"/>
      <c r="C28" s="30"/>
      <c r="D28" s="20"/>
      <c r="E28" s="105"/>
      <c r="F28" s="103"/>
      <c r="G28" s="103"/>
      <c r="H28" s="103"/>
      <c r="I28" s="103"/>
      <c r="J28" s="459"/>
      <c r="K28" s="338"/>
      <c r="L28" s="481" t="s">
        <v>640</v>
      </c>
      <c r="M28" s="477">
        <v>0.1</v>
      </c>
      <c r="N28" s="477" t="s">
        <v>0</v>
      </c>
    </row>
    <row r="29" spans="1:14" s="168" customFormat="1" ht="15" customHeight="1">
      <c r="B29" s="450" t="str">
        <f>B$22 &amp; ".03"</f>
        <v>01.07.01.03</v>
      </c>
      <c r="C29" s="474" t="s">
        <v>639</v>
      </c>
      <c r="D29" s="20" t="s">
        <v>55</v>
      </c>
      <c r="E29" s="105"/>
      <c r="F29" s="103"/>
      <c r="G29" s="103"/>
      <c r="H29" s="103"/>
      <c r="I29" s="280">
        <f>SUM(I30)</f>
        <v>2.72</v>
      </c>
      <c r="J29" s="447">
        <f>+I29*$E$22</f>
        <v>2.72</v>
      </c>
      <c r="K29" s="338"/>
      <c r="L29" s="481"/>
      <c r="M29" s="477"/>
      <c r="N29" s="477"/>
    </row>
    <row r="30" spans="1:14" s="168" customFormat="1" ht="15" customHeight="1">
      <c r="B30" s="460"/>
      <c r="C30" s="340" t="s">
        <v>637</v>
      </c>
      <c r="D30" s="20"/>
      <c r="E30" s="105">
        <v>1</v>
      </c>
      <c r="F30" s="103">
        <f>+F27</f>
        <v>1.65</v>
      </c>
      <c r="G30" s="103">
        <f>+G27</f>
        <v>1.65</v>
      </c>
      <c r="I30" s="448">
        <f>+ROUND(PRODUCT(E30:G30),2)</f>
        <v>2.72</v>
      </c>
      <c r="J30" s="482"/>
      <c r="K30" s="338"/>
      <c r="L30" s="481"/>
      <c r="M30" s="477"/>
      <c r="N30" s="477"/>
    </row>
    <row r="31" spans="1:14" s="168" customFormat="1" ht="15" customHeight="1">
      <c r="B31" s="460"/>
      <c r="C31" s="30"/>
      <c r="D31" s="20"/>
      <c r="E31" s="105"/>
      <c r="F31" s="103"/>
      <c r="G31" s="103"/>
      <c r="H31" s="103"/>
      <c r="I31" s="103"/>
      <c r="J31" s="459"/>
      <c r="K31" s="338"/>
      <c r="L31" s="481"/>
      <c r="M31" s="477"/>
      <c r="N31" s="477"/>
    </row>
    <row r="32" spans="1:14" ht="15" customHeight="1">
      <c r="B32" s="455" t="str">
        <f>B$19 &amp; ".02"</f>
        <v>01.07.02</v>
      </c>
      <c r="C32" s="454" t="s">
        <v>101</v>
      </c>
      <c r="D32" s="196"/>
      <c r="E32" s="453">
        <f>+$E$19</f>
        <v>1</v>
      </c>
      <c r="F32" s="364"/>
      <c r="G32" s="246"/>
      <c r="H32" s="246"/>
      <c r="I32" s="246"/>
      <c r="J32" s="452"/>
      <c r="K32" s="297"/>
      <c r="L32" s="1066" t="s">
        <v>638</v>
      </c>
      <c r="M32" s="1066"/>
      <c r="N32" s="1066"/>
    </row>
    <row r="33" spans="2:15" s="168" customFormat="1" ht="15" customHeight="1">
      <c r="B33" s="450" t="str">
        <f>B$32 &amp; ".01"</f>
        <v>01.07.02.01</v>
      </c>
      <c r="C33" s="474" t="s">
        <v>246</v>
      </c>
      <c r="D33" s="20" t="s">
        <v>93</v>
      </c>
      <c r="E33" s="105"/>
      <c r="F33" s="103"/>
      <c r="G33" s="103"/>
      <c r="H33" s="103"/>
      <c r="I33" s="280">
        <f>SUM(I34:I42)</f>
        <v>1.9000000000000001</v>
      </c>
      <c r="J33" s="447">
        <f>+I33*$E$32</f>
        <v>1.9000000000000001</v>
      </c>
      <c r="K33" s="439"/>
      <c r="L33" s="481" t="s">
        <v>328</v>
      </c>
      <c r="M33" s="480">
        <f>+M24+2*M28+2*M27</f>
        <v>1</v>
      </c>
      <c r="N33" s="477" t="s">
        <v>0</v>
      </c>
    </row>
    <row r="34" spans="2:15" s="168" customFormat="1" ht="15" customHeight="1">
      <c r="B34" s="460"/>
      <c r="C34" s="340" t="s">
        <v>637</v>
      </c>
      <c r="D34" s="20"/>
      <c r="E34" s="105">
        <v>1</v>
      </c>
      <c r="F34" s="103" t="s">
        <v>236</v>
      </c>
      <c r="G34" s="103"/>
      <c r="H34" s="103">
        <f>+G39/6*((2*G35+G37)*G36+(2*G37+G35)*G38)</f>
        <v>1.8427499999999999</v>
      </c>
      <c r="I34" s="448">
        <f>+ROUND(PRODUCT(E34:H34),2)</f>
        <v>1.84</v>
      </c>
      <c r="J34" s="447"/>
      <c r="K34" s="439"/>
      <c r="L34" s="481" t="s">
        <v>23</v>
      </c>
      <c r="M34" s="480">
        <f>+M25+2*M28+2*M27</f>
        <v>1</v>
      </c>
      <c r="N34" s="477" t="s">
        <v>0</v>
      </c>
    </row>
    <row r="35" spans="2:15" s="168" customFormat="1" ht="15" customHeight="1">
      <c r="B35" s="460"/>
      <c r="C35" s="484"/>
      <c r="D35" s="20"/>
      <c r="E35" s="105"/>
      <c r="F35" s="103" t="s">
        <v>636</v>
      </c>
      <c r="G35" s="103">
        <f>+M50</f>
        <v>1.65</v>
      </c>
      <c r="H35" s="103"/>
      <c r="I35" s="103"/>
      <c r="J35" s="447"/>
      <c r="K35" s="439"/>
      <c r="L35" s="481" t="s">
        <v>635</v>
      </c>
      <c r="M35" s="480">
        <v>0.1</v>
      </c>
      <c r="N35" s="477" t="s">
        <v>0</v>
      </c>
    </row>
    <row r="36" spans="2:15" s="168" customFormat="1" ht="15" customHeight="1">
      <c r="B36" s="460"/>
      <c r="C36" s="484"/>
      <c r="D36" s="20"/>
      <c r="E36" s="105"/>
      <c r="F36" s="103" t="s">
        <v>634</v>
      </c>
      <c r="G36" s="103">
        <f>+M51</f>
        <v>1.65</v>
      </c>
      <c r="H36" s="103"/>
      <c r="I36" s="103"/>
      <c r="J36" s="447"/>
      <c r="K36" s="439"/>
      <c r="L36" s="481" t="s">
        <v>624</v>
      </c>
      <c r="M36" s="477">
        <v>0.05</v>
      </c>
      <c r="N36" s="477" t="s">
        <v>0</v>
      </c>
    </row>
    <row r="37" spans="2:15" s="168" customFormat="1" ht="15" customHeight="1">
      <c r="B37" s="460"/>
      <c r="C37" s="485" t="s">
        <v>633</v>
      </c>
      <c r="D37" s="20"/>
      <c r="E37" s="105"/>
      <c r="F37" s="103" t="s">
        <v>632</v>
      </c>
      <c r="G37" s="103">
        <f>+M46</f>
        <v>1.2</v>
      </c>
      <c r="H37" s="103"/>
      <c r="I37" s="103"/>
      <c r="J37" s="447"/>
      <c r="K37" s="439"/>
      <c r="L37" s="1066" t="s">
        <v>631</v>
      </c>
      <c r="M37" s="1066"/>
      <c r="N37" s="1066"/>
    </row>
    <row r="38" spans="2:15" s="168" customFormat="1" ht="15" customHeight="1">
      <c r="B38" s="460"/>
      <c r="C38" s="485" t="s">
        <v>630</v>
      </c>
      <c r="D38" s="20"/>
      <c r="E38" s="105"/>
      <c r="F38" s="103" t="s">
        <v>629</v>
      </c>
      <c r="G38" s="103">
        <f>+M47</f>
        <v>1.2</v>
      </c>
      <c r="H38" s="103"/>
      <c r="I38" s="103"/>
      <c r="J38" s="447"/>
      <c r="K38" s="439"/>
      <c r="L38" s="481" t="s">
        <v>628</v>
      </c>
      <c r="M38" s="477">
        <v>0.1</v>
      </c>
      <c r="N38" s="477" t="s">
        <v>0</v>
      </c>
    </row>
    <row r="39" spans="2:15" s="168" customFormat="1" ht="15" customHeight="1">
      <c r="B39" s="460"/>
      <c r="C39" s="484"/>
      <c r="D39" s="20"/>
      <c r="E39" s="105"/>
      <c r="F39" s="103" t="s">
        <v>627</v>
      </c>
      <c r="G39" s="103">
        <f>+M53</f>
        <v>0.9</v>
      </c>
      <c r="H39" s="103"/>
      <c r="I39" s="103"/>
      <c r="J39" s="447"/>
      <c r="K39" s="439"/>
      <c r="L39" s="481" t="s">
        <v>626</v>
      </c>
      <c r="M39" s="477">
        <v>0.2</v>
      </c>
      <c r="N39" s="477" t="s">
        <v>0</v>
      </c>
    </row>
    <row r="40" spans="2:15" s="168" customFormat="1" ht="15" customHeight="1">
      <c r="B40" s="460"/>
      <c r="C40" s="484"/>
      <c r="D40" s="20"/>
      <c r="E40" s="105"/>
      <c r="F40" s="103"/>
      <c r="H40" s="103"/>
      <c r="I40" s="103"/>
      <c r="J40" s="447"/>
      <c r="K40" s="439"/>
      <c r="L40" s="481" t="s">
        <v>328</v>
      </c>
      <c r="M40" s="477">
        <v>0.2</v>
      </c>
      <c r="N40" s="477" t="s">
        <v>0</v>
      </c>
    </row>
    <row r="41" spans="2:15" s="168" customFormat="1" ht="15" customHeight="1">
      <c r="B41" s="460"/>
      <c r="C41" s="340" t="s">
        <v>625</v>
      </c>
      <c r="D41" s="20"/>
      <c r="E41" s="105">
        <v>1</v>
      </c>
      <c r="F41" s="103">
        <f>+M42+M38</f>
        <v>0.23500000000000001</v>
      </c>
      <c r="G41" s="103">
        <f>+M40+M38</f>
        <v>0.30000000000000004</v>
      </c>
      <c r="H41" s="103">
        <f>+M39</f>
        <v>0.2</v>
      </c>
      <c r="I41" s="448">
        <f>+ROUND(PRODUCT(E41:H41),2)</f>
        <v>0.01</v>
      </c>
      <c r="J41" s="447"/>
      <c r="K41" s="439"/>
      <c r="L41" s="481"/>
      <c r="M41" s="477"/>
      <c r="N41" s="477"/>
    </row>
    <row r="42" spans="2:15" s="168" customFormat="1" ht="15" customHeight="1">
      <c r="B42" s="460"/>
      <c r="C42" s="340" t="s">
        <v>624</v>
      </c>
      <c r="D42" s="20"/>
      <c r="E42" s="105">
        <v>1</v>
      </c>
      <c r="F42" s="103">
        <f>+M34</f>
        <v>1</v>
      </c>
      <c r="G42" s="103">
        <f>+M33</f>
        <v>1</v>
      </c>
      <c r="H42" s="103">
        <f>+M36</f>
        <v>0.05</v>
      </c>
      <c r="I42" s="448">
        <f>+ROUND(PRODUCT(E42:H42),2)</f>
        <v>0.05</v>
      </c>
      <c r="J42" s="447"/>
      <c r="K42" s="439"/>
      <c r="L42" s="481" t="s">
        <v>23</v>
      </c>
      <c r="M42" s="477">
        <v>0.13500000000000001</v>
      </c>
      <c r="N42" s="477" t="s">
        <v>0</v>
      </c>
    </row>
    <row r="43" spans="2:15" s="168" customFormat="1" ht="15" customHeight="1">
      <c r="B43" s="460"/>
      <c r="C43" s="483"/>
      <c r="D43" s="20"/>
      <c r="E43" s="105"/>
      <c r="F43" s="103"/>
      <c r="G43" s="103"/>
      <c r="H43" s="103"/>
      <c r="I43" s="448"/>
      <c r="J43" s="447"/>
      <c r="K43" s="439"/>
      <c r="L43" s="1066" t="s">
        <v>615</v>
      </c>
      <c r="M43" s="1066"/>
      <c r="N43" s="1066"/>
    </row>
    <row r="44" spans="2:15" ht="15.75" customHeight="1">
      <c r="B44" s="450" t="str">
        <f>B$32 &amp; ".02"</f>
        <v>01.07.02.02</v>
      </c>
      <c r="C44" s="449" t="s">
        <v>623</v>
      </c>
      <c r="D44" s="20" t="s">
        <v>93</v>
      </c>
      <c r="E44" s="105"/>
      <c r="F44" s="103"/>
      <c r="G44" s="103"/>
      <c r="H44" s="103"/>
      <c r="I44" s="280">
        <f>SUM(I45:I47)</f>
        <v>1.26</v>
      </c>
      <c r="J44" s="447">
        <f>+I44*$E$32</f>
        <v>1.26</v>
      </c>
      <c r="K44" s="439"/>
      <c r="L44" s="1066" t="s">
        <v>622</v>
      </c>
      <c r="M44" s="1066"/>
      <c r="N44" s="1066"/>
    </row>
    <row r="45" spans="2:15" ht="15" customHeight="1">
      <c r="B45" s="450"/>
      <c r="C45" s="340" t="s">
        <v>621</v>
      </c>
      <c r="D45" s="20"/>
      <c r="E45" s="105">
        <v>1</v>
      </c>
      <c r="F45" s="103"/>
      <c r="G45" s="103"/>
      <c r="H45" s="103">
        <f>+H34</f>
        <v>1.8427499999999999</v>
      </c>
      <c r="I45" s="448">
        <f>+ROUND(PRODUCT(E45:H45),2)</f>
        <v>1.84</v>
      </c>
      <c r="J45" s="447"/>
      <c r="K45" s="439"/>
      <c r="L45" s="481" t="s">
        <v>615</v>
      </c>
      <c r="M45" s="478">
        <v>0.1</v>
      </c>
      <c r="N45" s="477" t="s">
        <v>0</v>
      </c>
    </row>
    <row r="46" spans="2:15" s="168" customFormat="1" ht="15" customHeight="1">
      <c r="B46" s="460"/>
      <c r="C46" s="340" t="s">
        <v>620</v>
      </c>
      <c r="D46" s="20"/>
      <c r="E46" s="105">
        <v>-1</v>
      </c>
      <c r="F46" s="103">
        <f>+M25+M28*2</f>
        <v>0.8</v>
      </c>
      <c r="G46" s="103">
        <f>+M24+2*M28</f>
        <v>0.8</v>
      </c>
      <c r="H46" s="103">
        <f>+M26</f>
        <v>0.75</v>
      </c>
      <c r="I46" s="448">
        <f>+ROUND(PRODUCT(E46:H46),2)</f>
        <v>-0.48</v>
      </c>
      <c r="J46" s="459"/>
      <c r="K46" s="338"/>
      <c r="L46" s="479" t="s">
        <v>619</v>
      </c>
      <c r="M46" s="480">
        <f>+M33+2*M45</f>
        <v>1.2</v>
      </c>
      <c r="N46" s="477" t="s">
        <v>0</v>
      </c>
    </row>
    <row r="47" spans="2:15" s="168" customFormat="1" ht="15" customHeight="1">
      <c r="B47" s="460"/>
      <c r="C47" s="340" t="s">
        <v>618</v>
      </c>
      <c r="D47" s="20"/>
      <c r="E47" s="105">
        <v>-1</v>
      </c>
      <c r="F47" s="103">
        <f>+M34</f>
        <v>1</v>
      </c>
      <c r="G47" s="103">
        <f>+M33</f>
        <v>1</v>
      </c>
      <c r="H47" s="103">
        <f>+M35</f>
        <v>0.1</v>
      </c>
      <c r="I47" s="448">
        <f>+ROUND(PRODUCT(E47:H47),2)</f>
        <v>-0.1</v>
      </c>
      <c r="J47" s="459"/>
      <c r="K47" s="338"/>
      <c r="L47" s="481" t="s">
        <v>617</v>
      </c>
      <c r="M47" s="480">
        <f>+M34+2*M45</f>
        <v>1.2</v>
      </c>
      <c r="N47" s="477" t="s">
        <v>0</v>
      </c>
      <c r="O47" s="170"/>
    </row>
    <row r="48" spans="2:15" s="168" customFormat="1" ht="15" customHeight="1">
      <c r="B48" s="460"/>
      <c r="C48" s="340"/>
      <c r="D48" s="20"/>
      <c r="E48" s="105"/>
      <c r="F48" s="103"/>
      <c r="G48" s="104"/>
      <c r="H48" s="103"/>
      <c r="I48" s="448"/>
      <c r="J48" s="459"/>
      <c r="K48" s="338"/>
      <c r="L48" s="1066" t="s">
        <v>616</v>
      </c>
      <c r="M48" s="1066"/>
      <c r="N48" s="1066"/>
      <c r="O48" s="170"/>
    </row>
    <row r="49" spans="2:15" s="168" customFormat="1" ht="24.75" customHeight="1">
      <c r="B49" s="450" t="str">
        <f>B$32 &amp; ".03"</f>
        <v>01.07.02.03</v>
      </c>
      <c r="C49" s="369" t="s">
        <v>317</v>
      </c>
      <c r="D49" s="20" t="s">
        <v>93</v>
      </c>
      <c r="E49" s="105"/>
      <c r="F49" s="103"/>
      <c r="G49" s="103"/>
      <c r="H49" s="103"/>
      <c r="I49" s="280">
        <f>SUM(I50:I51)</f>
        <v>0.87999999999999989</v>
      </c>
      <c r="J49" s="447">
        <f>+I49*$E$32</f>
        <v>0.87999999999999989</v>
      </c>
      <c r="K49" s="338"/>
      <c r="L49" s="481" t="s">
        <v>615</v>
      </c>
      <c r="M49" s="480">
        <f>+M52*M53</f>
        <v>0.22500000000000001</v>
      </c>
      <c r="N49" s="477" t="s">
        <v>0</v>
      </c>
      <c r="O49" s="170"/>
    </row>
    <row r="50" spans="2:15" s="168" customFormat="1" ht="15" customHeight="1">
      <c r="B50" s="460"/>
      <c r="C50" s="340" t="s">
        <v>238</v>
      </c>
      <c r="D50" s="20"/>
      <c r="E50" s="105">
        <v>1</v>
      </c>
      <c r="F50" s="103">
        <v>1.2</v>
      </c>
      <c r="G50" s="103" t="s">
        <v>236</v>
      </c>
      <c r="H50" s="103">
        <f>+I33</f>
        <v>1.9000000000000001</v>
      </c>
      <c r="I50" s="448">
        <f>+ROUND(PRODUCT(E50:H50),2)</f>
        <v>2.2799999999999998</v>
      </c>
      <c r="J50" s="482"/>
      <c r="K50" s="338"/>
      <c r="L50" s="479" t="s">
        <v>614</v>
      </c>
      <c r="M50" s="480">
        <f>+M46+2*M49</f>
        <v>1.65</v>
      </c>
      <c r="N50" s="477" t="s">
        <v>0</v>
      </c>
      <c r="O50" s="427"/>
    </row>
    <row r="51" spans="2:15" s="168" customFormat="1" ht="15" customHeight="1">
      <c r="B51" s="460"/>
      <c r="C51" s="340" t="s">
        <v>613</v>
      </c>
      <c r="D51" s="20"/>
      <c r="E51" s="105">
        <v>-1</v>
      </c>
      <c r="F51" s="103">
        <f>1/(0.9)</f>
        <v>1.1111111111111112</v>
      </c>
      <c r="G51" s="103" t="s">
        <v>236</v>
      </c>
      <c r="H51" s="103">
        <f>+I44</f>
        <v>1.26</v>
      </c>
      <c r="I51" s="448">
        <f>+ROUND(PRODUCT(E51:H51),2)</f>
        <v>-1.4</v>
      </c>
      <c r="J51" s="459"/>
      <c r="K51" s="338"/>
      <c r="L51" s="481" t="s">
        <v>612</v>
      </c>
      <c r="M51" s="480">
        <f>+M47+2*M49</f>
        <v>1.65</v>
      </c>
      <c r="N51" s="477" t="s">
        <v>0</v>
      </c>
      <c r="O51" s="427"/>
    </row>
    <row r="52" spans="2:15" s="168" customFormat="1" ht="15" customHeight="1">
      <c r="B52" s="460"/>
      <c r="C52" s="340"/>
      <c r="D52" s="20"/>
      <c r="E52" s="105"/>
      <c r="F52" s="103"/>
      <c r="G52" s="104"/>
      <c r="H52" s="103"/>
      <c r="I52" s="448"/>
      <c r="J52" s="459"/>
      <c r="K52" s="338"/>
      <c r="L52" s="481" t="s">
        <v>611</v>
      </c>
      <c r="M52" s="478">
        <v>0.25</v>
      </c>
      <c r="N52" s="477" t="s">
        <v>0</v>
      </c>
      <c r="O52" s="427"/>
    </row>
    <row r="53" spans="2:15" s="168" customFormat="1" ht="15" customHeight="1">
      <c r="B53" s="455" t="str">
        <f>B$19 &amp; ".03"</f>
        <v>01.07.03</v>
      </c>
      <c r="C53" s="454" t="s">
        <v>95</v>
      </c>
      <c r="D53" s="20"/>
      <c r="E53" s="453">
        <f>+$E$19</f>
        <v>1</v>
      </c>
      <c r="F53" s="103"/>
      <c r="G53" s="103"/>
      <c r="H53" s="103"/>
      <c r="I53" s="103"/>
      <c r="J53" s="459"/>
      <c r="K53" s="338"/>
      <c r="L53" s="479" t="s">
        <v>610</v>
      </c>
      <c r="M53" s="480">
        <v>0.9</v>
      </c>
      <c r="N53" s="477" t="s">
        <v>0</v>
      </c>
      <c r="O53" s="427"/>
    </row>
    <row r="54" spans="2:15" s="168" customFormat="1" ht="15" customHeight="1">
      <c r="B54" s="450" t="str">
        <f>B$53&amp; ".01"</f>
        <v>01.07.03.01</v>
      </c>
      <c r="C54" s="474" t="s">
        <v>609</v>
      </c>
      <c r="D54" s="20" t="s">
        <v>55</v>
      </c>
      <c r="E54" s="105"/>
      <c r="F54" s="103"/>
      <c r="G54" s="103"/>
      <c r="H54" s="103"/>
      <c r="I54" s="280">
        <f>SUM(I55)</f>
        <v>1</v>
      </c>
      <c r="J54" s="447">
        <f>+I54*$E$53</f>
        <v>1</v>
      </c>
      <c r="K54" s="338"/>
      <c r="L54" s="479" t="s">
        <v>608</v>
      </c>
      <c r="M54" s="478">
        <v>0.05</v>
      </c>
      <c r="N54" s="477" t="s">
        <v>0</v>
      </c>
      <c r="O54" s="427"/>
    </row>
    <row r="55" spans="2:15" s="168" customFormat="1" ht="15" customHeight="1">
      <c r="B55" s="460"/>
      <c r="C55" s="340" t="s">
        <v>607</v>
      </c>
      <c r="D55" s="20"/>
      <c r="E55" s="105">
        <v>1</v>
      </c>
      <c r="F55" s="103">
        <f>+M34</f>
        <v>1</v>
      </c>
      <c r="G55" s="103">
        <f>+M33</f>
        <v>1</v>
      </c>
      <c r="I55" s="448">
        <f>+ROUND(PRODUCT(E55:H55),2)</f>
        <v>1</v>
      </c>
      <c r="J55" s="459"/>
      <c r="K55" s="338"/>
    </row>
    <row r="56" spans="2:15" s="168" customFormat="1" ht="15" customHeight="1">
      <c r="B56" s="460"/>
      <c r="C56" s="30"/>
      <c r="D56" s="20"/>
      <c r="E56" s="105"/>
      <c r="F56" s="103"/>
      <c r="G56" s="103"/>
      <c r="H56" s="103"/>
      <c r="I56" s="103"/>
      <c r="J56" s="459"/>
      <c r="K56" s="338"/>
    </row>
    <row r="57" spans="2:15" s="168" customFormat="1" ht="15" customHeight="1">
      <c r="B57" s="450" t="str">
        <f>B$53&amp; ".02"</f>
        <v>01.07.03.02</v>
      </c>
      <c r="C57" s="474" t="s">
        <v>606</v>
      </c>
      <c r="D57" s="20" t="s">
        <v>93</v>
      </c>
      <c r="E57" s="105"/>
      <c r="F57" s="103"/>
      <c r="G57" s="103"/>
      <c r="H57" s="103"/>
      <c r="I57" s="280">
        <f>SUM(I58)</f>
        <v>5.0000000000000001E-3</v>
      </c>
      <c r="J57" s="447">
        <f>+I57*$E$53</f>
        <v>5.0000000000000001E-3</v>
      </c>
      <c r="K57" s="338"/>
    </row>
    <row r="58" spans="2:15" s="168" customFormat="1" ht="15" customHeight="1">
      <c r="B58" s="460"/>
      <c r="C58" s="340" t="s">
        <v>605</v>
      </c>
      <c r="D58" s="20"/>
      <c r="E58" s="105">
        <v>1</v>
      </c>
      <c r="F58" s="103">
        <v>0.15</v>
      </c>
      <c r="G58" s="103">
        <v>0.15</v>
      </c>
      <c r="H58" s="103">
        <v>0.2</v>
      </c>
      <c r="I58" s="448">
        <f>+ROUND(PRODUCT(E58:H58),3)</f>
        <v>5.0000000000000001E-3</v>
      </c>
      <c r="J58" s="459"/>
      <c r="K58" s="338"/>
    </row>
    <row r="59" spans="2:15" s="168" customFormat="1" ht="15" customHeight="1">
      <c r="B59" s="460"/>
      <c r="C59" s="476"/>
      <c r="D59" s="20"/>
      <c r="E59" s="105"/>
      <c r="F59" s="103"/>
      <c r="G59" s="103"/>
      <c r="H59" s="103"/>
      <c r="I59" s="103"/>
      <c r="J59" s="459"/>
      <c r="K59" s="338"/>
    </row>
    <row r="60" spans="2:15" s="168" customFormat="1" ht="15" customHeight="1">
      <c r="B60" s="455" t="str">
        <f>B$19 &amp; ".04"</f>
        <v>01.07.04</v>
      </c>
      <c r="C60" s="454" t="s">
        <v>467</v>
      </c>
      <c r="D60" s="20"/>
      <c r="E60" s="453">
        <f>+$E$19</f>
        <v>1</v>
      </c>
      <c r="F60" s="103"/>
      <c r="G60" s="103"/>
      <c r="H60" s="103"/>
      <c r="I60" s="103"/>
      <c r="J60" s="459"/>
      <c r="K60" s="338"/>
    </row>
    <row r="61" spans="2:15" ht="15" customHeight="1">
      <c r="B61" s="450" t="str">
        <f>B$60 &amp; ".01"</f>
        <v>01.07.04.01</v>
      </c>
      <c r="C61" s="474" t="s">
        <v>604</v>
      </c>
      <c r="D61" s="20" t="s">
        <v>93</v>
      </c>
      <c r="E61" s="105"/>
      <c r="F61" s="103"/>
      <c r="G61" s="103"/>
      <c r="H61" s="103"/>
      <c r="I61" s="280">
        <f>SUM(I62:I64)</f>
        <v>0.223</v>
      </c>
      <c r="J61" s="447">
        <f>+I61*$E$60</f>
        <v>0.223</v>
      </c>
      <c r="K61" s="439"/>
    </row>
    <row r="62" spans="2:15" ht="15" customHeight="1">
      <c r="B62" s="460"/>
      <c r="C62" s="340" t="s">
        <v>603</v>
      </c>
      <c r="D62" s="20"/>
      <c r="E62" s="105">
        <v>2</v>
      </c>
      <c r="F62" s="103">
        <f>+M25+2*M28</f>
        <v>0.8</v>
      </c>
      <c r="G62" s="103">
        <f>+M28</f>
        <v>0.1</v>
      </c>
      <c r="H62" s="103">
        <f>+$M$26</f>
        <v>0.75</v>
      </c>
      <c r="I62" s="448">
        <f>+ROUND(PRODUCT(E62:H62),2)</f>
        <v>0.12</v>
      </c>
      <c r="J62" s="459"/>
      <c r="K62" s="338"/>
    </row>
    <row r="63" spans="2:15" ht="15" customHeight="1">
      <c r="B63" s="460"/>
      <c r="C63" s="340" t="s">
        <v>602</v>
      </c>
      <c r="D63" s="20"/>
      <c r="E63" s="105">
        <v>2</v>
      </c>
      <c r="F63" s="103">
        <f>+M24</f>
        <v>0.6</v>
      </c>
      <c r="G63" s="103">
        <f>+G62</f>
        <v>0.1</v>
      </c>
      <c r="H63" s="103">
        <f>+$M$26</f>
        <v>0.75</v>
      </c>
      <c r="I63" s="448">
        <f>+ROUND(PRODUCT(E63:H63),3)</f>
        <v>0.09</v>
      </c>
      <c r="J63" s="459"/>
      <c r="K63" s="338"/>
    </row>
    <row r="64" spans="2:15" ht="15" customHeight="1">
      <c r="B64" s="460"/>
      <c r="C64" s="340" t="s">
        <v>601</v>
      </c>
      <c r="D64" s="20"/>
      <c r="E64" s="105">
        <v>1</v>
      </c>
      <c r="F64" s="103">
        <f>2*(M40+M42)</f>
        <v>0.67</v>
      </c>
      <c r="G64" s="104">
        <f>+M38</f>
        <v>0.1</v>
      </c>
      <c r="H64" s="103">
        <f>+M39</f>
        <v>0.2</v>
      </c>
      <c r="I64" s="448">
        <f>+ROUND(PRODUCT(E64:H64),3)</f>
        <v>1.2999999999999999E-2</v>
      </c>
      <c r="J64" s="459"/>
      <c r="K64" s="338"/>
    </row>
    <row r="65" spans="2:14" ht="15" customHeight="1">
      <c r="B65" s="460"/>
      <c r="C65" s="340"/>
      <c r="D65" s="20"/>
      <c r="E65" s="105"/>
      <c r="F65" s="103"/>
      <c r="G65" s="104"/>
      <c r="H65" s="103"/>
      <c r="I65" s="448"/>
      <c r="J65" s="459"/>
      <c r="K65" s="338"/>
    </row>
    <row r="66" spans="2:14" ht="15" customHeight="1">
      <c r="B66" s="450" t="str">
        <f>B$60 &amp; ".02"</f>
        <v>01.07.04.02</v>
      </c>
      <c r="C66" s="474" t="s">
        <v>600</v>
      </c>
      <c r="D66" s="20" t="s">
        <v>93</v>
      </c>
      <c r="E66" s="105"/>
      <c r="F66" s="103"/>
      <c r="G66" s="104"/>
      <c r="H66" s="103"/>
      <c r="I66" s="448">
        <f>I67</f>
        <v>0.1</v>
      </c>
      <c r="J66" s="447">
        <f>+I66*$E$53</f>
        <v>0.1</v>
      </c>
      <c r="K66" s="338"/>
    </row>
    <row r="67" spans="2:14" ht="15" customHeight="1">
      <c r="B67" s="460"/>
      <c r="C67" s="340" t="s">
        <v>466</v>
      </c>
      <c r="D67" s="20"/>
      <c r="E67" s="105">
        <v>1</v>
      </c>
      <c r="F67" s="103">
        <f>+M34</f>
        <v>1</v>
      </c>
      <c r="G67" s="103">
        <f>+M33</f>
        <v>1</v>
      </c>
      <c r="H67" s="103">
        <f>+M35</f>
        <v>0.1</v>
      </c>
      <c r="I67" s="448">
        <f>+ROUND(PRODUCT(E67:H67),3)</f>
        <v>0.1</v>
      </c>
      <c r="J67" s="459"/>
      <c r="K67" s="338"/>
    </row>
    <row r="68" spans="2:14" ht="15" customHeight="1">
      <c r="B68" s="460"/>
      <c r="C68" s="475"/>
      <c r="D68" s="20"/>
      <c r="E68" s="105"/>
      <c r="F68" s="103"/>
      <c r="H68" s="103"/>
      <c r="I68" s="103"/>
      <c r="J68" s="459"/>
      <c r="K68" s="338"/>
      <c r="L68" s="465"/>
    </row>
    <row r="69" spans="2:14" ht="15" customHeight="1">
      <c r="B69" s="450" t="str">
        <f>B$60 &amp; ".03"</f>
        <v>01.07.04.03</v>
      </c>
      <c r="C69" s="474" t="s">
        <v>599</v>
      </c>
      <c r="D69" s="20" t="s">
        <v>55</v>
      </c>
      <c r="E69" s="105"/>
      <c r="F69" s="103"/>
      <c r="G69" s="103"/>
      <c r="H69" s="103"/>
      <c r="I69" s="280">
        <f>SUM(I70:I73)</f>
        <v>4.2</v>
      </c>
      <c r="J69" s="447">
        <f>+I69*$E$53</f>
        <v>4.2</v>
      </c>
      <c r="K69" s="439"/>
      <c r="L69" s="465"/>
    </row>
    <row r="70" spans="2:14" ht="15" customHeight="1">
      <c r="B70" s="460"/>
      <c r="C70" s="340" t="s">
        <v>598</v>
      </c>
      <c r="D70" s="20"/>
      <c r="E70" s="105">
        <v>2</v>
      </c>
      <c r="F70" s="103">
        <f>+M25+2*M28</f>
        <v>0.8</v>
      </c>
      <c r="H70" s="103">
        <f>+$M$26</f>
        <v>0.75</v>
      </c>
      <c r="I70" s="448">
        <f>+ROUND(PRODUCT(E70:H70),2)</f>
        <v>1.2</v>
      </c>
      <c r="J70" s="459"/>
      <c r="K70" s="338"/>
      <c r="L70" s="465"/>
    </row>
    <row r="71" spans="2:14" ht="15" customHeight="1">
      <c r="B71" s="460"/>
      <c r="C71" s="340" t="s">
        <v>597</v>
      </c>
      <c r="D71" s="20"/>
      <c r="E71" s="105">
        <v>2</v>
      </c>
      <c r="F71" s="103"/>
      <c r="G71" s="103">
        <f>+M24+2*M28</f>
        <v>0.8</v>
      </c>
      <c r="H71" s="103">
        <f>+$M$26</f>
        <v>0.75</v>
      </c>
      <c r="I71" s="448">
        <f>+ROUND(PRODUCT(E71:H71),2)</f>
        <v>1.2</v>
      </c>
      <c r="J71" s="459"/>
      <c r="K71" s="338"/>
      <c r="L71" s="465"/>
    </row>
    <row r="72" spans="2:14" ht="15" customHeight="1">
      <c r="B72" s="460"/>
      <c r="C72" s="340" t="s">
        <v>581</v>
      </c>
      <c r="D72" s="20"/>
      <c r="E72" s="105">
        <v>2</v>
      </c>
      <c r="F72" s="103">
        <f>+M25</f>
        <v>0.6</v>
      </c>
      <c r="H72" s="103">
        <f>+$M$26</f>
        <v>0.75</v>
      </c>
      <c r="I72" s="448">
        <f>+ROUND(PRODUCT(E72:H72),2)</f>
        <v>0.9</v>
      </c>
      <c r="J72" s="459"/>
      <c r="K72" s="338"/>
      <c r="L72" s="465"/>
    </row>
    <row r="73" spans="2:14" ht="15" customHeight="1">
      <c r="B73" s="460"/>
      <c r="C73" s="340" t="s">
        <v>580</v>
      </c>
      <c r="D73" s="20"/>
      <c r="E73" s="105">
        <v>2</v>
      </c>
      <c r="F73" s="103"/>
      <c r="G73" s="103">
        <f>+M24</f>
        <v>0.6</v>
      </c>
      <c r="H73" s="103">
        <f>+$M$26</f>
        <v>0.75</v>
      </c>
      <c r="I73" s="448">
        <f>+ROUND(PRODUCT(E73:H73),2)</f>
        <v>0.9</v>
      </c>
      <c r="J73" s="459"/>
      <c r="K73" s="338"/>
      <c r="L73" s="465"/>
    </row>
    <row r="74" spans="2:14" ht="15" customHeight="1">
      <c r="B74" s="460"/>
      <c r="C74" s="340"/>
      <c r="D74" s="20"/>
      <c r="E74" s="105"/>
      <c r="F74" s="103"/>
      <c r="G74" s="103"/>
      <c r="H74" s="103"/>
      <c r="I74" s="448"/>
      <c r="J74" s="459"/>
      <c r="K74" s="338"/>
      <c r="L74" s="465"/>
      <c r="N74" s="464"/>
    </row>
    <row r="75" spans="2:14" ht="15" customHeight="1">
      <c r="B75" s="450" t="str">
        <f>B$60 &amp; ".04"</f>
        <v>01.07.04.04</v>
      </c>
      <c r="C75" s="474" t="s">
        <v>197</v>
      </c>
      <c r="D75" s="20" t="s">
        <v>55</v>
      </c>
      <c r="E75" s="105"/>
      <c r="F75" s="103"/>
      <c r="G75" s="103"/>
      <c r="H75" s="103"/>
      <c r="I75" s="280">
        <f>SUM(I76:I78)</f>
        <v>0.4</v>
      </c>
      <c r="J75" s="447">
        <f>+I75*$E$53</f>
        <v>0.4</v>
      </c>
      <c r="K75" s="338"/>
      <c r="L75" s="465"/>
      <c r="N75" s="464"/>
    </row>
    <row r="76" spans="2:14" ht="15" customHeight="1">
      <c r="B76" s="460"/>
      <c r="C76" s="340" t="s">
        <v>596</v>
      </c>
      <c r="D76" s="20"/>
      <c r="E76" s="105">
        <v>2</v>
      </c>
      <c r="F76" s="103">
        <f>+M34</f>
        <v>1</v>
      </c>
      <c r="H76" s="103">
        <f>+$M$35</f>
        <v>0.1</v>
      </c>
      <c r="I76" s="448">
        <f>+ROUND(PRODUCT(E76:H76),2)</f>
        <v>0.2</v>
      </c>
      <c r="J76" s="459"/>
      <c r="K76" s="338"/>
      <c r="L76" s="465"/>
      <c r="N76" s="464"/>
    </row>
    <row r="77" spans="2:14" ht="15" customHeight="1">
      <c r="B77" s="460"/>
      <c r="C77" s="340" t="s">
        <v>595</v>
      </c>
      <c r="D77" s="20"/>
      <c r="E77" s="105">
        <v>2</v>
      </c>
      <c r="F77" s="103">
        <f>+M33</f>
        <v>1</v>
      </c>
      <c r="G77" s="103"/>
      <c r="H77" s="103">
        <f>+$M$35</f>
        <v>0.1</v>
      </c>
      <c r="I77" s="448">
        <f>+ROUND(PRODUCT(E77:H77),2)</f>
        <v>0.2</v>
      </c>
      <c r="J77" s="459"/>
      <c r="K77" s="338"/>
      <c r="L77" s="465"/>
      <c r="N77" s="464"/>
    </row>
    <row r="78" spans="2:14" ht="15" customHeight="1">
      <c r="B78" s="460"/>
      <c r="C78" s="340"/>
      <c r="D78" s="20"/>
      <c r="E78" s="105"/>
      <c r="F78" s="103"/>
      <c r="G78" s="103"/>
      <c r="H78" s="103"/>
      <c r="I78" s="448"/>
      <c r="J78" s="459"/>
      <c r="K78" s="338"/>
      <c r="L78" s="465"/>
      <c r="N78" s="464"/>
    </row>
    <row r="79" spans="2:14" ht="15" customHeight="1">
      <c r="B79" s="450" t="str">
        <f>B$60 &amp; ".05"</f>
        <v>01.07.04.05</v>
      </c>
      <c r="C79" s="340" t="s">
        <v>594</v>
      </c>
      <c r="D79" s="473" t="s">
        <v>187</v>
      </c>
      <c r="E79" s="472" t="s">
        <v>593</v>
      </c>
      <c r="F79" s="471" t="s">
        <v>592</v>
      </c>
      <c r="G79" s="471" t="s">
        <v>591</v>
      </c>
      <c r="H79" s="471" t="s">
        <v>590</v>
      </c>
      <c r="I79" s="470">
        <f>SUM(I80:I85)</f>
        <v>103.43629999999999</v>
      </c>
      <c r="J79" s="469">
        <f>+I79*E19</f>
        <v>103.43629999999999</v>
      </c>
      <c r="K79" s="338"/>
      <c r="L79" s="465"/>
      <c r="N79" s="464"/>
    </row>
    <row r="80" spans="2:14" ht="15" customHeight="1">
      <c r="B80" s="463"/>
      <c r="C80" s="466" t="s">
        <v>589</v>
      </c>
      <c r="D80" s="182"/>
      <c r="E80" s="468"/>
      <c r="F80" s="182"/>
      <c r="G80" s="182"/>
      <c r="H80" s="182"/>
      <c r="I80" s="428"/>
      <c r="J80" s="459"/>
      <c r="K80" s="338"/>
      <c r="L80" s="465"/>
      <c r="N80" s="464"/>
    </row>
    <row r="81" spans="2:14" ht="15" customHeight="1">
      <c r="B81" s="467"/>
      <c r="C81" s="462" t="s">
        <v>588</v>
      </c>
      <c r="D81" s="182"/>
      <c r="E81" s="461">
        <v>0.375</v>
      </c>
      <c r="F81" s="182">
        <v>4</v>
      </c>
      <c r="G81" s="182">
        <v>1.07</v>
      </c>
      <c r="H81" s="182">
        <f>+VLOOKUP(E81,$E$116:$J$124,6,FALSE)</f>
        <v>0.56000000000000005</v>
      </c>
      <c r="I81" s="428">
        <f>+ROUND(PRODUCT(F81:H81),2)*5.01</f>
        <v>12.023999999999999</v>
      </c>
      <c r="J81" s="459"/>
      <c r="K81" s="338"/>
      <c r="L81" s="465"/>
      <c r="N81" s="464"/>
    </row>
    <row r="82" spans="2:14" ht="15" customHeight="1">
      <c r="B82" s="467"/>
      <c r="C82" s="462" t="s">
        <v>587</v>
      </c>
      <c r="D82" s="182"/>
      <c r="E82" s="461">
        <v>0.375</v>
      </c>
      <c r="F82" s="182">
        <v>4</v>
      </c>
      <c r="G82" s="182">
        <v>1.07</v>
      </c>
      <c r="H82" s="182">
        <f>+VLOOKUP(E82,$E$116:$J$124,6,FALSE)</f>
        <v>0.56000000000000005</v>
      </c>
      <c r="I82" s="428">
        <f>+ROUND(PRODUCT(F82:H82),2)*5.01</f>
        <v>12.023999999999999</v>
      </c>
      <c r="J82" s="459"/>
      <c r="K82" s="338"/>
      <c r="L82" s="465"/>
      <c r="N82" s="464"/>
    </row>
    <row r="83" spans="2:14" ht="15" customHeight="1">
      <c r="B83" s="463"/>
      <c r="C83" s="466" t="s">
        <v>586</v>
      </c>
      <c r="D83" s="182"/>
      <c r="E83" s="461"/>
      <c r="F83" s="182"/>
      <c r="G83" s="182"/>
      <c r="H83" s="182"/>
      <c r="I83" s="428">
        <f>+ROUND(PRODUCT(F83:H83),2)*5.01</f>
        <v>0</v>
      </c>
      <c r="J83" s="459"/>
      <c r="K83" s="338"/>
      <c r="L83" s="465"/>
      <c r="N83" s="464"/>
    </row>
    <row r="84" spans="2:14" ht="15" customHeight="1">
      <c r="B84" s="463"/>
      <c r="C84" s="462" t="s">
        <v>585</v>
      </c>
      <c r="D84" s="182"/>
      <c r="E84" s="461">
        <v>0.375</v>
      </c>
      <c r="F84" s="182">
        <v>16</v>
      </c>
      <c r="G84" s="182">
        <v>0.95640000000000003</v>
      </c>
      <c r="H84" s="182">
        <f>+VLOOKUP(E84,$E$116:$J$124,6,FALSE)</f>
        <v>0.56000000000000005</v>
      </c>
      <c r="I84" s="428">
        <f>+ROUND(PRODUCT(F84:H84),2)*5.01</f>
        <v>42.935699999999997</v>
      </c>
      <c r="J84" s="459"/>
      <c r="K84" s="338"/>
      <c r="L84" s="465"/>
      <c r="N84" s="464"/>
    </row>
    <row r="85" spans="2:14" ht="15" customHeight="1">
      <c r="B85" s="463"/>
      <c r="C85" s="462" t="s">
        <v>584</v>
      </c>
      <c r="D85" s="182"/>
      <c r="E85" s="461">
        <v>0.375</v>
      </c>
      <c r="F85" s="182">
        <v>4</v>
      </c>
      <c r="G85" s="182">
        <v>3.24</v>
      </c>
      <c r="H85" s="182">
        <f>+VLOOKUP(E85,$E$116:$J$124,6,FALSE)</f>
        <v>0.56000000000000005</v>
      </c>
      <c r="I85" s="428">
        <f>+ROUND(PRODUCT(F85:H85),2)*5.01+0.08</f>
        <v>36.452599999999997</v>
      </c>
      <c r="J85" s="459"/>
      <c r="K85" s="338"/>
      <c r="L85" s="423"/>
    </row>
    <row r="86" spans="2:14" ht="15" customHeight="1">
      <c r="B86" s="463"/>
      <c r="C86" s="462"/>
      <c r="D86" s="182"/>
      <c r="E86" s="461"/>
      <c r="F86" s="182"/>
      <c r="G86" s="182"/>
      <c r="H86" s="182"/>
      <c r="I86" s="428"/>
      <c r="J86" s="459"/>
      <c r="K86" s="338"/>
      <c r="L86" s="423"/>
    </row>
    <row r="87" spans="2:14" ht="15" customHeight="1">
      <c r="B87" s="455" t="str">
        <f>B$19 &amp; ".05"</f>
        <v>01.07.05</v>
      </c>
      <c r="C87" s="454" t="s">
        <v>583</v>
      </c>
      <c r="D87" s="20"/>
      <c r="E87" s="453">
        <f>+$E$19</f>
        <v>1</v>
      </c>
      <c r="F87" s="103"/>
      <c r="G87" s="103"/>
      <c r="H87" s="103"/>
      <c r="I87" s="103"/>
      <c r="J87" s="459"/>
      <c r="K87" s="338"/>
      <c r="L87" s="423"/>
    </row>
    <row r="88" spans="2:14" ht="15" customHeight="1">
      <c r="B88" s="450" t="str">
        <f>B$87 &amp; ".01"</f>
        <v>01.07.05.01</v>
      </c>
      <c r="C88" s="369" t="s">
        <v>582</v>
      </c>
      <c r="D88" s="20" t="s">
        <v>55</v>
      </c>
      <c r="E88" s="105"/>
      <c r="F88" s="103"/>
      <c r="G88" s="103"/>
      <c r="H88" s="103"/>
      <c r="I88" s="280">
        <f>SUM(I89:I91)</f>
        <v>2.16</v>
      </c>
      <c r="J88" s="447">
        <f>+I88*$E$87</f>
        <v>2.16</v>
      </c>
      <c r="K88" s="338"/>
      <c r="L88" s="423"/>
    </row>
    <row r="89" spans="2:14" ht="15" customHeight="1">
      <c r="B89" s="460"/>
      <c r="C89" s="340" t="s">
        <v>581</v>
      </c>
      <c r="D89" s="20"/>
      <c r="E89" s="105">
        <v>2</v>
      </c>
      <c r="F89" s="103">
        <f>+M25</f>
        <v>0.6</v>
      </c>
      <c r="H89" s="103">
        <f>+$M$26</f>
        <v>0.75</v>
      </c>
      <c r="I89" s="448">
        <f>+ROUND(PRODUCT(E89:H89),2)</f>
        <v>0.9</v>
      </c>
      <c r="J89" s="459"/>
      <c r="K89" s="338"/>
      <c r="L89" s="423"/>
    </row>
    <row r="90" spans="2:14" ht="15" customHeight="1">
      <c r="B90" s="460"/>
      <c r="C90" s="340" t="s">
        <v>580</v>
      </c>
      <c r="D90" s="20"/>
      <c r="E90" s="105">
        <v>2</v>
      </c>
      <c r="F90" s="103"/>
      <c r="G90" s="103">
        <f>+M24</f>
        <v>0.6</v>
      </c>
      <c r="H90" s="103">
        <f>+$M$26</f>
        <v>0.75</v>
      </c>
      <c r="I90" s="448">
        <f>+ROUND(PRODUCT(E90:H90),2)</f>
        <v>0.9</v>
      </c>
      <c r="J90" s="459"/>
      <c r="K90" s="338"/>
      <c r="L90" s="423"/>
    </row>
    <row r="91" spans="2:14" ht="15" customHeight="1">
      <c r="B91" s="460"/>
      <c r="C91" s="340" t="s">
        <v>579</v>
      </c>
      <c r="D91" s="20"/>
      <c r="E91" s="105">
        <v>1</v>
      </c>
      <c r="F91" s="103">
        <f>+M25</f>
        <v>0.6</v>
      </c>
      <c r="G91" s="103">
        <f>+M24</f>
        <v>0.6</v>
      </c>
      <c r="I91" s="448">
        <f>+ROUND(PRODUCT(E91:G91),2)</f>
        <v>0.36</v>
      </c>
      <c r="J91" s="459"/>
      <c r="K91" s="338"/>
      <c r="L91" s="423"/>
    </row>
    <row r="92" spans="2:14" ht="15" customHeight="1">
      <c r="B92" s="460"/>
      <c r="C92" s="107"/>
      <c r="D92" s="20"/>
      <c r="E92" s="105"/>
      <c r="F92" s="103"/>
      <c r="G92" s="103"/>
      <c r="H92" s="103"/>
      <c r="I92" s="103"/>
      <c r="J92" s="459"/>
      <c r="K92" s="338"/>
      <c r="L92" s="423"/>
    </row>
    <row r="93" spans="2:14" ht="15" customHeight="1">
      <c r="B93" s="455" t="str">
        <f>B$19 &amp; ".06"</f>
        <v>01.07.06</v>
      </c>
      <c r="C93" s="454" t="s">
        <v>578</v>
      </c>
      <c r="D93" s="196"/>
      <c r="E93" s="453">
        <f>+$E$19</f>
        <v>1</v>
      </c>
      <c r="F93" s="364"/>
      <c r="G93" s="246"/>
      <c r="H93" s="246"/>
      <c r="I93" s="103"/>
      <c r="J93" s="459"/>
      <c r="K93" s="297"/>
      <c r="L93" s="423"/>
    </row>
    <row r="94" spans="2:14" ht="24">
      <c r="B94" s="457" t="str">
        <f>B$93 &amp; ".01"</f>
        <v>01.07.06.01</v>
      </c>
      <c r="C94" s="847" t="s">
        <v>1068</v>
      </c>
      <c r="D94" s="20" t="s">
        <v>58</v>
      </c>
      <c r="E94" s="105">
        <v>9</v>
      </c>
      <c r="F94" s="103"/>
      <c r="G94" s="103"/>
      <c r="H94" s="103"/>
      <c r="I94" s="448">
        <f>E93</f>
        <v>1</v>
      </c>
      <c r="J94" s="447">
        <f>+I94</f>
        <v>1</v>
      </c>
      <c r="K94" s="439"/>
      <c r="L94" s="423"/>
    </row>
    <row r="95" spans="2:14" ht="15" customHeight="1">
      <c r="B95" s="457"/>
      <c r="C95" s="456" t="s">
        <v>577</v>
      </c>
      <c r="D95" s="20" t="s">
        <v>58</v>
      </c>
      <c r="E95" s="105">
        <f>+$N$11</f>
        <v>1</v>
      </c>
      <c r="F95" s="103"/>
      <c r="G95" s="103"/>
      <c r="H95" s="103"/>
      <c r="I95" s="448"/>
      <c r="J95" s="447"/>
      <c r="K95" s="439"/>
      <c r="L95" s="423"/>
      <c r="N95" s="458"/>
    </row>
    <row r="96" spans="2:14" ht="15" customHeight="1">
      <c r="B96" s="457"/>
      <c r="C96" s="456" t="s">
        <v>576</v>
      </c>
      <c r="D96" s="20" t="s">
        <v>58</v>
      </c>
      <c r="E96" s="105">
        <f>+$N$12</f>
        <v>4</v>
      </c>
      <c r="F96" s="103"/>
      <c r="G96" s="103"/>
      <c r="H96" s="103"/>
      <c r="I96" s="448"/>
      <c r="J96" s="447"/>
      <c r="K96" s="439"/>
      <c r="L96" s="423"/>
    </row>
    <row r="97" spans="2:13" ht="15" customHeight="1">
      <c r="B97" s="457"/>
      <c r="C97" s="456" t="s">
        <v>575</v>
      </c>
      <c r="D97" s="20" t="s">
        <v>58</v>
      </c>
      <c r="E97" s="105">
        <f>+$N$13</f>
        <v>2</v>
      </c>
      <c r="F97" s="103"/>
      <c r="G97" s="103"/>
      <c r="H97" s="103"/>
      <c r="I97" s="448"/>
      <c r="J97" s="447"/>
      <c r="K97" s="439"/>
      <c r="L97" s="423"/>
    </row>
    <row r="98" spans="2:13" ht="15" customHeight="1">
      <c r="B98" s="457"/>
      <c r="C98" s="456" t="s">
        <v>574</v>
      </c>
      <c r="D98" s="20" t="s">
        <v>58</v>
      </c>
      <c r="E98" s="105">
        <f>+$N$14</f>
        <v>1</v>
      </c>
      <c r="F98" s="103"/>
      <c r="G98" s="103"/>
      <c r="H98" s="103"/>
      <c r="I98" s="448"/>
      <c r="J98" s="447"/>
      <c r="K98" s="439"/>
      <c r="L98" s="423"/>
    </row>
    <row r="99" spans="2:13" ht="15" customHeight="1">
      <c r="B99" s="457"/>
      <c r="C99" s="456" t="s">
        <v>573</v>
      </c>
      <c r="D99" s="20" t="s">
        <v>58</v>
      </c>
      <c r="E99" s="105">
        <f>+$N$15</f>
        <v>1</v>
      </c>
      <c r="F99" s="103"/>
      <c r="G99" s="103"/>
      <c r="H99" s="103"/>
      <c r="I99" s="448"/>
      <c r="J99" s="447"/>
      <c r="K99" s="439"/>
      <c r="L99" s="423"/>
    </row>
    <row r="100" spans="2:13" ht="15" customHeight="1">
      <c r="B100" s="457"/>
      <c r="C100" s="456" t="s">
        <v>572</v>
      </c>
      <c r="D100" s="20" t="s">
        <v>58</v>
      </c>
      <c r="E100" s="105">
        <f>+$N$16</f>
        <v>1</v>
      </c>
      <c r="F100" s="103"/>
      <c r="G100" s="103"/>
      <c r="H100" s="103"/>
      <c r="I100" s="448"/>
      <c r="J100" s="447"/>
      <c r="K100" s="439"/>
      <c r="L100" s="423"/>
    </row>
    <row r="101" spans="2:13" ht="15" customHeight="1">
      <c r="B101" s="457"/>
      <c r="C101" s="456" t="s">
        <v>571</v>
      </c>
      <c r="D101" s="20" t="s">
        <v>58</v>
      </c>
      <c r="E101" s="105">
        <v>2</v>
      </c>
      <c r="F101" s="103"/>
      <c r="G101" s="103"/>
      <c r="H101" s="103"/>
      <c r="I101" s="448"/>
      <c r="J101" s="447"/>
      <c r="K101" s="439"/>
      <c r="L101" s="423"/>
    </row>
    <row r="102" spans="2:13" ht="15" customHeight="1">
      <c r="B102" s="457"/>
      <c r="C102" s="456" t="s">
        <v>570</v>
      </c>
      <c r="D102" s="20" t="s">
        <v>58</v>
      </c>
      <c r="E102" s="105">
        <v>1</v>
      </c>
      <c r="F102" s="103"/>
      <c r="G102" s="103"/>
      <c r="H102" s="103"/>
      <c r="I102" s="448"/>
      <c r="J102" s="447"/>
      <c r="K102" s="439"/>
      <c r="L102" s="423"/>
    </row>
    <row r="103" spans="2:13" ht="15" customHeight="1">
      <c r="B103" s="457"/>
      <c r="C103" s="456" t="s">
        <v>569</v>
      </c>
      <c r="D103" s="20" t="s">
        <v>58</v>
      </c>
      <c r="E103" s="105">
        <v>1</v>
      </c>
      <c r="F103" s="103"/>
      <c r="G103" s="103"/>
      <c r="H103" s="103"/>
      <c r="I103" s="448"/>
      <c r="J103" s="447"/>
      <c r="K103" s="439"/>
      <c r="L103" s="423"/>
    </row>
    <row r="104" spans="2:13" ht="15" customHeight="1">
      <c r="B104" s="457"/>
      <c r="C104" s="456" t="s">
        <v>568</v>
      </c>
      <c r="D104" s="20" t="s">
        <v>58</v>
      </c>
      <c r="E104" s="105">
        <v>5</v>
      </c>
      <c r="F104" s="103"/>
      <c r="G104" s="103"/>
      <c r="H104" s="103"/>
      <c r="I104" s="448"/>
      <c r="J104" s="447"/>
      <c r="K104" s="439"/>
      <c r="L104" s="423"/>
    </row>
    <row r="105" spans="2:13" ht="15" customHeight="1">
      <c r="B105" s="457"/>
      <c r="C105" s="456" t="s">
        <v>567</v>
      </c>
      <c r="D105" s="20" t="s">
        <v>58</v>
      </c>
      <c r="E105" s="105">
        <v>1</v>
      </c>
      <c r="F105" s="103"/>
      <c r="G105" s="103"/>
      <c r="H105" s="103"/>
      <c r="I105" s="448"/>
      <c r="J105" s="447"/>
      <c r="K105" s="439"/>
      <c r="L105" s="423"/>
    </row>
    <row r="106" spans="2:13" ht="15" customHeight="1">
      <c r="B106" s="457"/>
      <c r="C106" s="456"/>
      <c r="D106" s="20"/>
      <c r="E106" s="105"/>
      <c r="F106" s="103"/>
      <c r="G106" s="103"/>
      <c r="H106" s="103"/>
      <c r="I106" s="448"/>
      <c r="J106" s="447"/>
      <c r="K106" s="439"/>
      <c r="L106" s="423"/>
    </row>
    <row r="107" spans="2:13" ht="15" customHeight="1">
      <c r="B107" s="455" t="str">
        <f>B$19 &amp; ".07"</f>
        <v>01.07.07</v>
      </c>
      <c r="C107" s="454" t="s">
        <v>151</v>
      </c>
      <c r="D107" s="196"/>
      <c r="E107" s="453">
        <f>+$E$19</f>
        <v>1</v>
      </c>
      <c r="F107" s="364"/>
      <c r="G107" s="246"/>
      <c r="H107" s="246"/>
      <c r="I107" s="246"/>
      <c r="J107" s="452"/>
      <c r="K107" s="297"/>
      <c r="L107" s="423"/>
      <c r="M107" s="451"/>
    </row>
    <row r="108" spans="2:13" ht="35.25" customHeight="1">
      <c r="B108" s="450" t="str">
        <f>B$107 &amp; ".01"</f>
        <v>01.07.07.01</v>
      </c>
      <c r="C108" s="449" t="s">
        <v>443</v>
      </c>
      <c r="D108" s="20" t="s">
        <v>58</v>
      </c>
      <c r="E108" s="105">
        <v>1</v>
      </c>
      <c r="F108" s="103"/>
      <c r="G108" s="103"/>
      <c r="H108" s="103"/>
      <c r="I108" s="448">
        <f>+ROUND(PRODUCT(E108:H108),3)</f>
        <v>1</v>
      </c>
      <c r="J108" s="447">
        <f>+I108*$E$107</f>
        <v>1</v>
      </c>
      <c r="K108" s="439"/>
      <c r="L108" s="423"/>
    </row>
    <row r="109" spans="2:13" ht="14.25" customHeight="1">
      <c r="B109" s="450"/>
      <c r="C109" s="449"/>
      <c r="D109" s="20"/>
      <c r="E109" s="105"/>
      <c r="F109" s="103"/>
      <c r="G109" s="103"/>
      <c r="H109" s="103"/>
      <c r="I109" s="448"/>
      <c r="J109" s="447"/>
      <c r="K109" s="439"/>
      <c r="L109" s="423"/>
    </row>
    <row r="110" spans="2:13" ht="15" customHeight="1" thickBot="1">
      <c r="B110" s="446"/>
      <c r="C110" s="445"/>
      <c r="D110" s="444"/>
      <c r="E110" s="443"/>
      <c r="F110" s="442"/>
      <c r="G110" s="442"/>
      <c r="H110" s="442"/>
      <c r="I110" s="441"/>
      <c r="J110" s="440"/>
      <c r="K110" s="439"/>
      <c r="L110" s="423"/>
    </row>
    <row r="111" spans="2:13" ht="15" customHeight="1"/>
    <row r="112" spans="2:13" ht="15" customHeight="1"/>
    <row r="113" spans="5:10" ht="15" customHeight="1">
      <c r="E113" s="1059" t="s">
        <v>566</v>
      </c>
      <c r="F113" s="1060"/>
      <c r="G113" s="1060"/>
      <c r="H113" s="1060"/>
      <c r="I113" s="1060"/>
      <c r="J113" s="1061"/>
    </row>
    <row r="114" spans="5:10" ht="15" customHeight="1">
      <c r="E114" s="1062" t="s">
        <v>565</v>
      </c>
      <c r="F114" s="1063"/>
      <c r="G114" s="1064" t="s">
        <v>564</v>
      </c>
      <c r="H114" s="1064" t="s">
        <v>563</v>
      </c>
      <c r="I114" s="1064" t="s">
        <v>562</v>
      </c>
      <c r="J114" s="1064" t="s">
        <v>561</v>
      </c>
    </row>
    <row r="115" spans="5:10" ht="15" customHeight="1">
      <c r="E115" s="438" t="s">
        <v>560</v>
      </c>
      <c r="F115" s="438" t="s">
        <v>559</v>
      </c>
      <c r="G115" s="1065"/>
      <c r="H115" s="1065"/>
      <c r="I115" s="1065"/>
      <c r="J115" s="1065"/>
    </row>
    <row r="116" spans="5:10" ht="15" customHeight="1">
      <c r="E116" s="437">
        <v>0.25</v>
      </c>
      <c r="F116" s="436">
        <v>6</v>
      </c>
      <c r="G116" s="435">
        <f t="shared" ref="G116:G124" si="0">+PI()*H116*H116/4</f>
        <v>0.31669217443593611</v>
      </c>
      <c r="H116" s="435">
        <f>2.54*1/4</f>
        <v>0.63500000000000001</v>
      </c>
      <c r="I116" s="435">
        <f>+H116*PI()</f>
        <v>1.9949113350295187</v>
      </c>
      <c r="J116" s="435">
        <v>0.222</v>
      </c>
    </row>
    <row r="117" spans="5:10" ht="15" customHeight="1">
      <c r="E117" s="437"/>
      <c r="F117" s="436">
        <v>8</v>
      </c>
      <c r="G117" s="435">
        <f t="shared" si="0"/>
        <v>0.50265482457436694</v>
      </c>
      <c r="H117" s="435">
        <v>0.8</v>
      </c>
      <c r="I117" s="435"/>
      <c r="J117" s="435">
        <v>0.4</v>
      </c>
    </row>
    <row r="118" spans="5:10" ht="15" customHeight="1">
      <c r="E118" s="437">
        <v>0.375</v>
      </c>
      <c r="F118" s="436" t="s">
        <v>558</v>
      </c>
      <c r="G118" s="435">
        <f t="shared" si="0"/>
        <v>0.71255739248085614</v>
      </c>
      <c r="H118" s="435">
        <f>2.54*3/8</f>
        <v>0.95250000000000001</v>
      </c>
      <c r="I118" s="435">
        <f>+H118*PI()</f>
        <v>2.9923670025442779</v>
      </c>
      <c r="J118" s="435">
        <v>0.56000000000000005</v>
      </c>
    </row>
    <row r="119" spans="5:10" ht="15" customHeight="1">
      <c r="E119" s="437"/>
      <c r="F119" s="436">
        <v>12</v>
      </c>
      <c r="G119" s="435">
        <f t="shared" si="0"/>
        <v>1.1309733552923256</v>
      </c>
      <c r="H119" s="435">
        <v>1.2</v>
      </c>
      <c r="I119" s="435"/>
      <c r="J119" s="435">
        <v>0.89</v>
      </c>
    </row>
    <row r="120" spans="5:10" ht="15" customHeight="1">
      <c r="E120" s="437">
        <v>0.5</v>
      </c>
      <c r="F120" s="436" t="s">
        <v>558</v>
      </c>
      <c r="G120" s="435">
        <f t="shared" si="0"/>
        <v>1.2667686977437445</v>
      </c>
      <c r="H120" s="435">
        <f>1/2*2.54</f>
        <v>1.27</v>
      </c>
      <c r="I120" s="435">
        <f>+H120*PI()</f>
        <v>3.9898226700590373</v>
      </c>
      <c r="J120" s="435">
        <v>0.99399999999999999</v>
      </c>
    </row>
    <row r="121" spans="5:10" ht="15" customHeight="1">
      <c r="E121" s="437">
        <v>0.625</v>
      </c>
      <c r="F121" s="436" t="s">
        <v>558</v>
      </c>
      <c r="G121" s="435">
        <f t="shared" si="0"/>
        <v>1.9793260902246004</v>
      </c>
      <c r="H121" s="435">
        <f>5/8*2.54</f>
        <v>1.5874999999999999</v>
      </c>
      <c r="I121" s="435">
        <f>+H121*PI()</f>
        <v>4.9872783375737963</v>
      </c>
      <c r="J121" s="435">
        <v>1.552</v>
      </c>
    </row>
    <row r="122" spans="5:10" ht="15" customHeight="1">
      <c r="E122" s="437">
        <v>0.75</v>
      </c>
      <c r="F122" s="436" t="s">
        <v>558</v>
      </c>
      <c r="G122" s="435">
        <f t="shared" si="0"/>
        <v>2.8502295699234246</v>
      </c>
      <c r="H122" s="435">
        <f>3/4*2.54</f>
        <v>1.905</v>
      </c>
      <c r="I122" s="435">
        <f>+H122*PI()</f>
        <v>5.9847340050885558</v>
      </c>
      <c r="J122" s="435">
        <v>2.2349999999999999</v>
      </c>
    </row>
    <row r="123" spans="5:10" ht="15" customHeight="1">
      <c r="E123" s="437">
        <v>1</v>
      </c>
      <c r="F123" s="436" t="s">
        <v>558</v>
      </c>
      <c r="G123" s="435">
        <f t="shared" si="0"/>
        <v>5.0670747909749778</v>
      </c>
      <c r="H123" s="435">
        <v>2.54</v>
      </c>
      <c r="I123" s="435">
        <f>+H123*PI()</f>
        <v>7.9796453401180747</v>
      </c>
      <c r="J123" s="435">
        <v>3.9729999999999999</v>
      </c>
    </row>
    <row r="124" spans="5:10" ht="15" customHeight="1">
      <c r="E124" s="437">
        <v>1.375</v>
      </c>
      <c r="F124" s="436" t="s">
        <v>558</v>
      </c>
      <c r="G124" s="435">
        <f t="shared" si="0"/>
        <v>9.5799382766870682</v>
      </c>
      <c r="H124" s="435">
        <f>1.375*2.54</f>
        <v>3.4925000000000002</v>
      </c>
      <c r="I124" s="435">
        <f>+H124*PI()</f>
        <v>10.972012342662353</v>
      </c>
      <c r="J124" s="435">
        <v>7.907</v>
      </c>
    </row>
    <row r="125" spans="5:10" ht="15" customHeight="1"/>
    <row r="126" spans="5:10" ht="15" customHeight="1"/>
    <row r="127" spans="5:10" ht="15" customHeight="1"/>
    <row r="128" spans="5:10" ht="15" customHeight="1"/>
    <row r="129" ht="15" customHeight="1"/>
  </sheetData>
  <mergeCells count="16">
    <mergeCell ref="L48:N48"/>
    <mergeCell ref="L43:N43"/>
    <mergeCell ref="L44:N44"/>
    <mergeCell ref="L23:N23"/>
    <mergeCell ref="L32:N32"/>
    <mergeCell ref="L37:N37"/>
    <mergeCell ref="E114:F114"/>
    <mergeCell ref="G114:G115"/>
    <mergeCell ref="H114:H115"/>
    <mergeCell ref="I114:I115"/>
    <mergeCell ref="J114:J115"/>
    <mergeCell ref="B1:J1"/>
    <mergeCell ref="B3:J3"/>
    <mergeCell ref="B2:J2"/>
    <mergeCell ref="C5:H16"/>
    <mergeCell ref="E113:J113"/>
  </mergeCells>
  <conditionalFormatting sqref="C94">
    <cfRule type="expression" priority="1" stopIfTrue="1">
      <formula>ROW()=CELL("fila")</formula>
    </cfRule>
  </conditionalFormatting>
  <dataValidations count="1">
    <dataValidation type="list" allowBlank="1" showInputMessage="1" showErrorMessage="1" sqref="E80:E86" xr:uid="{00000000-0002-0000-0000-000000000000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headerFooter>
    <oddFooter>&amp;CPágina &amp;P&amp;R&amp;A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D42E8-8FC8-4864-82A7-31D5079AE69B}">
  <sheetPr codeName="Hoja10">
    <tabColor theme="7" tint="0.39997558519241921"/>
    <pageSetUpPr fitToPage="1"/>
  </sheetPr>
  <dimension ref="A1:O123"/>
  <sheetViews>
    <sheetView showGridLines="0" view="pageBreakPreview" topLeftCell="B100" zoomScale="70" zoomScaleNormal="70" zoomScaleSheetLayoutView="70" zoomScalePageLayoutView="40" workbookViewId="0">
      <selection activeCell="B3" sqref="B3:J3"/>
    </sheetView>
  </sheetViews>
  <sheetFormatPr baseColWidth="10" defaultColWidth="13.33203125" defaultRowHeight="11.25"/>
  <cols>
    <col min="1" max="1" width="3.33203125" style="170" hidden="1" customWidth="1"/>
    <col min="2" max="2" width="18.1640625" style="510" customWidth="1"/>
    <col min="3" max="3" width="107.33203125" style="170" customWidth="1"/>
    <col min="4" max="4" width="7.83203125" style="170" customWidth="1"/>
    <col min="5" max="8" width="10.83203125" style="170" customWidth="1"/>
    <col min="9" max="9" width="12.33203125" style="170" customWidth="1"/>
    <col min="10" max="10" width="10.83203125" style="170" customWidth="1"/>
    <col min="11" max="11" width="3.33203125" style="170" customWidth="1"/>
    <col min="12" max="12" width="19.83203125" style="170" customWidth="1"/>
    <col min="13" max="13" width="31.5" style="170" customWidth="1"/>
    <col min="14" max="14" width="10.83203125" style="434" customWidth="1"/>
    <col min="15" max="15" width="12.6640625" style="170" bestFit="1" customWidth="1"/>
    <col min="16" max="16" width="10.83203125" style="170" bestFit="1" customWidth="1"/>
    <col min="17" max="16384" width="13.33203125" style="170"/>
  </cols>
  <sheetData>
    <row r="1" spans="2:14" s="168" customFormat="1" ht="18" customHeight="1">
      <c r="B1" s="1016" t="s">
        <v>687</v>
      </c>
      <c r="C1" s="1017"/>
      <c r="D1" s="1017"/>
      <c r="E1" s="1017"/>
      <c r="F1" s="1017"/>
      <c r="G1" s="1017"/>
      <c r="H1" s="1017"/>
      <c r="I1" s="1017"/>
      <c r="J1" s="1018"/>
      <c r="K1" s="509"/>
      <c r="L1" s="508"/>
      <c r="N1" s="500"/>
    </row>
    <row r="2" spans="2:14" s="168" customFormat="1" ht="57" customHeight="1">
      <c r="B2" s="1049" t="s">
        <v>1086</v>
      </c>
      <c r="C2" s="1023"/>
      <c r="D2" s="1023"/>
      <c r="E2" s="1023"/>
      <c r="F2" s="1023"/>
      <c r="G2" s="1023"/>
      <c r="H2" s="1023"/>
      <c r="I2" s="1023"/>
      <c r="J2" s="1024"/>
      <c r="K2" s="507"/>
      <c r="L2" s="430"/>
      <c r="N2" s="500"/>
    </row>
    <row r="3" spans="2:14" s="168" customFormat="1" ht="19.5" customHeight="1" thickBot="1">
      <c r="B3" s="1019" t="s">
        <v>686</v>
      </c>
      <c r="C3" s="1020"/>
      <c r="D3" s="1020"/>
      <c r="E3" s="1020"/>
      <c r="F3" s="1020"/>
      <c r="G3" s="1020"/>
      <c r="H3" s="1020"/>
      <c r="I3" s="1020"/>
      <c r="J3" s="1021"/>
      <c r="K3" s="506"/>
      <c r="L3" s="430"/>
      <c r="N3" s="500"/>
    </row>
    <row r="4" spans="2:14" s="168" customFormat="1" ht="15" customHeight="1">
      <c r="B4" s="223"/>
      <c r="C4" s="431"/>
      <c r="D4" s="431"/>
      <c r="E4" s="222"/>
      <c r="F4" s="222"/>
      <c r="G4" s="222"/>
      <c r="H4" s="222"/>
      <c r="I4" s="221"/>
      <c r="J4" s="220"/>
      <c r="K4" s="222"/>
      <c r="L4" s="505" t="s">
        <v>652</v>
      </c>
      <c r="M4" s="505" t="s">
        <v>381</v>
      </c>
      <c r="N4" s="505" t="s">
        <v>325</v>
      </c>
    </row>
    <row r="5" spans="2:14" s="168" customFormat="1" ht="15" customHeight="1">
      <c r="B5" s="223"/>
      <c r="C5" s="1050"/>
      <c r="D5" s="1051"/>
      <c r="E5" s="1051"/>
      <c r="F5" s="1051"/>
      <c r="G5" s="1051"/>
      <c r="H5" s="1052"/>
      <c r="I5" s="221"/>
      <c r="J5" s="220"/>
      <c r="K5" s="222"/>
      <c r="L5" s="504">
        <v>1</v>
      </c>
      <c r="M5" s="503" t="s">
        <v>648</v>
      </c>
      <c r="N5" s="502">
        <v>1</v>
      </c>
    </row>
    <row r="6" spans="2:14" s="168" customFormat="1" ht="15" customHeight="1">
      <c r="B6" s="223"/>
      <c r="C6" s="1053"/>
      <c r="D6" s="1054"/>
      <c r="E6" s="1054"/>
      <c r="F6" s="1054"/>
      <c r="G6" s="1054"/>
      <c r="H6" s="1055"/>
      <c r="I6" s="221"/>
      <c r="J6" s="220"/>
      <c r="K6" s="222"/>
      <c r="L6" s="504">
        <v>2</v>
      </c>
      <c r="M6" s="503" t="s">
        <v>685</v>
      </c>
      <c r="N6" s="502">
        <v>2</v>
      </c>
    </row>
    <row r="7" spans="2:14" s="168" customFormat="1" ht="15" customHeight="1">
      <c r="B7" s="223"/>
      <c r="C7" s="1053"/>
      <c r="D7" s="1054"/>
      <c r="E7" s="1054"/>
      <c r="F7" s="1054"/>
      <c r="G7" s="1054"/>
      <c r="H7" s="1055"/>
      <c r="I7" s="221"/>
      <c r="J7" s="220"/>
      <c r="K7" s="222"/>
      <c r="L7" s="504">
        <v>3</v>
      </c>
      <c r="M7" s="503" t="s">
        <v>649</v>
      </c>
      <c r="N7" s="502">
        <v>2</v>
      </c>
    </row>
    <row r="8" spans="2:14" s="168" customFormat="1" ht="15" customHeight="1">
      <c r="B8" s="223"/>
      <c r="C8" s="1053"/>
      <c r="D8" s="1054"/>
      <c r="E8" s="1054"/>
      <c r="F8" s="1054"/>
      <c r="G8" s="1054"/>
      <c r="H8" s="1055"/>
      <c r="I8" s="221"/>
      <c r="J8" s="220"/>
      <c r="K8" s="222"/>
      <c r="L8" s="504">
        <v>4</v>
      </c>
      <c r="M8" s="503" t="s">
        <v>684</v>
      </c>
      <c r="N8" s="502">
        <v>2</v>
      </c>
    </row>
    <row r="9" spans="2:14" s="168" customFormat="1" ht="15" customHeight="1">
      <c r="B9" s="223"/>
      <c r="C9" s="1053"/>
      <c r="D9" s="1054"/>
      <c r="E9" s="1054"/>
      <c r="F9" s="1054"/>
      <c r="G9" s="1054"/>
      <c r="H9" s="1055"/>
      <c r="I9" s="221"/>
      <c r="J9" s="220"/>
      <c r="K9" s="222"/>
      <c r="L9" s="504">
        <v>5</v>
      </c>
      <c r="M9" s="503" t="s">
        <v>683</v>
      </c>
      <c r="N9" s="502">
        <v>3</v>
      </c>
    </row>
    <row r="10" spans="2:14" s="168" customFormat="1" ht="15" customHeight="1">
      <c r="B10" s="223"/>
      <c r="C10" s="1053"/>
      <c r="D10" s="1054"/>
      <c r="E10" s="1054"/>
      <c r="F10" s="1054"/>
      <c r="G10" s="1054"/>
      <c r="H10" s="1055"/>
      <c r="I10" s="221"/>
      <c r="J10" s="220"/>
      <c r="K10" s="222"/>
      <c r="L10" s="504">
        <v>6</v>
      </c>
      <c r="M10" s="503" t="s">
        <v>682</v>
      </c>
      <c r="N10" s="502">
        <v>4</v>
      </c>
    </row>
    <row r="11" spans="2:14" s="168" customFormat="1" ht="15" customHeight="1">
      <c r="B11" s="223"/>
      <c r="C11" s="1053"/>
      <c r="D11" s="1054"/>
      <c r="E11" s="1054"/>
      <c r="F11" s="1054"/>
      <c r="G11" s="1054"/>
      <c r="H11" s="1055"/>
      <c r="I11" s="221"/>
      <c r="J11" s="220"/>
      <c r="K11" s="222"/>
      <c r="L11" s="504">
        <v>7</v>
      </c>
      <c r="M11" s="503" t="s">
        <v>681</v>
      </c>
      <c r="N11" s="502">
        <v>1</v>
      </c>
    </row>
    <row r="12" spans="2:14" s="168" customFormat="1" ht="15" customHeight="1">
      <c r="B12" s="223"/>
      <c r="C12" s="1053"/>
      <c r="D12" s="1054"/>
      <c r="E12" s="1054"/>
      <c r="F12" s="1054"/>
      <c r="G12" s="1054"/>
      <c r="H12" s="1055"/>
      <c r="I12" s="221"/>
      <c r="J12" s="220"/>
      <c r="K12" s="222"/>
      <c r="L12" s="504">
        <v>8</v>
      </c>
      <c r="M12" s="503" t="s">
        <v>680</v>
      </c>
      <c r="N12" s="502">
        <v>1</v>
      </c>
    </row>
    <row r="13" spans="2:14" s="168" customFormat="1" ht="15" customHeight="1">
      <c r="B13" s="223"/>
      <c r="C13" s="1053"/>
      <c r="D13" s="1054"/>
      <c r="E13" s="1054"/>
      <c r="F13" s="1054"/>
      <c r="G13" s="1054"/>
      <c r="H13" s="1055"/>
      <c r="I13" s="221"/>
      <c r="J13" s="220"/>
      <c r="K13" s="222"/>
      <c r="L13" s="504">
        <v>9</v>
      </c>
      <c r="M13" s="503" t="s">
        <v>646</v>
      </c>
      <c r="N13" s="502">
        <v>1</v>
      </c>
    </row>
    <row r="14" spans="2:14" s="168" customFormat="1" ht="15" customHeight="1">
      <c r="B14" s="223"/>
      <c r="C14" s="1053"/>
      <c r="D14" s="1054"/>
      <c r="E14" s="1054"/>
      <c r="F14" s="1054"/>
      <c r="G14" s="1054"/>
      <c r="H14" s="1055"/>
      <c r="I14" s="221"/>
      <c r="J14" s="220"/>
      <c r="K14" s="222"/>
      <c r="L14" s="504">
        <v>10</v>
      </c>
      <c r="M14" s="503" t="s">
        <v>679</v>
      </c>
      <c r="N14" s="502">
        <v>1</v>
      </c>
    </row>
    <row r="15" spans="2:14" s="168" customFormat="1" ht="15" customHeight="1">
      <c r="B15" s="223"/>
      <c r="C15" s="1053"/>
      <c r="D15" s="1054"/>
      <c r="E15" s="1054"/>
      <c r="F15" s="1054"/>
      <c r="G15" s="1054"/>
      <c r="H15" s="1055"/>
      <c r="I15" s="221"/>
      <c r="J15" s="220"/>
      <c r="K15" s="222"/>
      <c r="L15" s="504"/>
      <c r="M15" s="503" t="s">
        <v>678</v>
      </c>
      <c r="N15" s="502">
        <v>3</v>
      </c>
    </row>
    <row r="16" spans="2:14" s="168" customFormat="1" ht="15" customHeight="1">
      <c r="B16" s="223"/>
      <c r="C16" s="1056"/>
      <c r="D16" s="1057"/>
      <c r="E16" s="1057"/>
      <c r="F16" s="1057"/>
      <c r="G16" s="1057"/>
      <c r="H16" s="1058"/>
      <c r="I16" s="221"/>
      <c r="J16" s="220"/>
      <c r="K16" s="222"/>
      <c r="N16" s="500"/>
    </row>
    <row r="17" spans="1:14" s="168" customFormat="1" ht="15" customHeight="1">
      <c r="B17" s="223"/>
      <c r="C17" s="431"/>
      <c r="D17" s="431"/>
      <c r="E17" s="222"/>
      <c r="F17" s="222"/>
      <c r="G17" s="222"/>
      <c r="H17" s="222"/>
      <c r="I17" s="221"/>
      <c r="J17" s="220"/>
      <c r="K17" s="222"/>
      <c r="L17" s="430"/>
      <c r="N17" s="500"/>
    </row>
    <row r="18" spans="1:14" ht="15" customHeight="1" thickBot="1">
      <c r="B18" s="525" t="s">
        <v>1</v>
      </c>
      <c r="C18" s="218" t="s">
        <v>2</v>
      </c>
      <c r="D18" s="217" t="s">
        <v>325</v>
      </c>
      <c r="E18" s="217" t="s">
        <v>3</v>
      </c>
      <c r="F18" s="217" t="s">
        <v>324</v>
      </c>
      <c r="G18" s="217" t="s">
        <v>5</v>
      </c>
      <c r="H18" s="217" t="s">
        <v>6</v>
      </c>
      <c r="I18" s="217" t="s">
        <v>7</v>
      </c>
      <c r="J18" s="216" t="s">
        <v>8</v>
      </c>
      <c r="K18" s="297"/>
      <c r="L18" s="423" t="s">
        <v>677</v>
      </c>
      <c r="M18" s="451"/>
    </row>
    <row r="19" spans="1:14" s="487" customFormat="1" ht="15" customHeight="1" thickTop="1">
      <c r="A19" s="170"/>
      <c r="B19" s="524" t="str">
        <f>+"01.08"</f>
        <v>01.08</v>
      </c>
      <c r="C19" s="496" t="s">
        <v>1069</v>
      </c>
      <c r="D19" s="288"/>
      <c r="E19" s="495">
        <f>+SUM(E20:E20)</f>
        <v>2</v>
      </c>
      <c r="F19" s="494"/>
      <c r="G19" s="493"/>
      <c r="H19" s="493"/>
      <c r="I19" s="493"/>
      <c r="J19" s="492"/>
      <c r="K19" s="297"/>
    </row>
    <row r="20" spans="1:14" s="487" customFormat="1" ht="15" customHeight="1">
      <c r="A20" s="170"/>
      <c r="B20" s="524"/>
      <c r="C20" s="340" t="str">
        <f>+$B$3&amp;L20</f>
        <v>VALVULA DE PURGA TIPO 1 Ø = 1 1/2"</v>
      </c>
      <c r="D20" s="196"/>
      <c r="E20" s="490">
        <v>2</v>
      </c>
      <c r="F20" s="494"/>
      <c r="G20" s="493"/>
      <c r="H20" s="493"/>
      <c r="I20" s="493"/>
      <c r="J20" s="492"/>
      <c r="K20" s="297"/>
      <c r="L20" s="489" t="s">
        <v>676</v>
      </c>
    </row>
    <row r="21" spans="1:14" s="487" customFormat="1" ht="15" customHeight="1">
      <c r="A21" s="170"/>
      <c r="B21" s="518" t="str">
        <f>B$19 &amp; ".01"</f>
        <v>01.08.01</v>
      </c>
      <c r="C21" s="454" t="s">
        <v>1070</v>
      </c>
      <c r="D21" s="196"/>
      <c r="E21" s="453"/>
      <c r="F21" s="364"/>
      <c r="G21" s="246"/>
      <c r="H21" s="246"/>
      <c r="I21" s="246"/>
      <c r="J21" s="452"/>
      <c r="K21" s="297"/>
      <c r="L21" s="423"/>
      <c r="N21" s="488"/>
    </row>
    <row r="22" spans="1:14" ht="15" customHeight="1">
      <c r="B22" s="518" t="str">
        <f>B$19 &amp; ".01.01"</f>
        <v>01.08.01.01</v>
      </c>
      <c r="C22" s="454" t="s">
        <v>107</v>
      </c>
      <c r="D22" s="196"/>
      <c r="E22" s="21">
        <f>+$E$19</f>
        <v>2</v>
      </c>
      <c r="F22" s="364"/>
      <c r="G22" s="246"/>
      <c r="H22" s="246"/>
      <c r="I22" s="246"/>
      <c r="J22" s="452"/>
      <c r="K22" s="297"/>
      <c r="L22" s="486" t="s">
        <v>10</v>
      </c>
      <c r="M22" s="523" t="s">
        <v>644</v>
      </c>
      <c r="N22" s="486" t="s">
        <v>12</v>
      </c>
    </row>
    <row r="23" spans="1:14" ht="15" customHeight="1">
      <c r="B23" s="517" t="str">
        <f>B$22 &amp; ".01"</f>
        <v>01.08.01.01.01</v>
      </c>
      <c r="C23" s="474" t="s">
        <v>493</v>
      </c>
      <c r="D23" s="20" t="s">
        <v>55</v>
      </c>
      <c r="E23" s="105"/>
      <c r="F23" s="103"/>
      <c r="G23" s="103"/>
      <c r="H23" s="103"/>
      <c r="I23" s="280">
        <f>SUM(I24:I25)</f>
        <v>5.5600000000000005</v>
      </c>
      <c r="J23" s="447">
        <f>+I23*$E$22</f>
        <v>11.120000000000001</v>
      </c>
      <c r="K23" s="439"/>
      <c r="L23" s="1066" t="s">
        <v>643</v>
      </c>
      <c r="M23" s="1066"/>
      <c r="N23" s="1066"/>
    </row>
    <row r="24" spans="1:14" ht="15" customHeight="1">
      <c r="B24" s="517"/>
      <c r="C24" s="340" t="s">
        <v>637</v>
      </c>
      <c r="D24" s="20"/>
      <c r="E24" s="105">
        <v>1</v>
      </c>
      <c r="F24" s="103">
        <f>+M45</f>
        <v>1.6</v>
      </c>
      <c r="G24" s="103">
        <f>+M44</f>
        <v>1.6</v>
      </c>
      <c r="I24" s="448">
        <f>+ROUND(PRODUCT(E24:G24),2)</f>
        <v>2.56</v>
      </c>
      <c r="J24" s="482"/>
      <c r="K24" s="350"/>
      <c r="L24" s="479" t="s">
        <v>328</v>
      </c>
      <c r="M24" s="478">
        <v>0.6</v>
      </c>
      <c r="N24" s="477" t="s">
        <v>0</v>
      </c>
    </row>
    <row r="25" spans="1:14" ht="15" customHeight="1">
      <c r="B25" s="517"/>
      <c r="C25" s="340" t="s">
        <v>674</v>
      </c>
      <c r="D25" s="20"/>
      <c r="E25" s="105">
        <v>1</v>
      </c>
      <c r="F25" s="103">
        <v>3</v>
      </c>
      <c r="G25" s="103">
        <v>1</v>
      </c>
      <c r="H25" s="103"/>
      <c r="I25" s="448">
        <f>+ROUND(PRODUCT(E25:H25),2)</f>
        <v>3</v>
      </c>
      <c r="J25" s="482"/>
      <c r="K25" s="350"/>
      <c r="L25" s="481" t="s">
        <v>23</v>
      </c>
      <c r="M25" s="478">
        <v>0.6</v>
      </c>
      <c r="N25" s="477" t="s">
        <v>0</v>
      </c>
    </row>
    <row r="26" spans="1:14" s="168" customFormat="1" ht="15" customHeight="1">
      <c r="B26" s="521"/>
      <c r="C26" s="30"/>
      <c r="D26" s="20"/>
      <c r="E26" s="105"/>
      <c r="F26" s="103"/>
      <c r="G26" s="103"/>
      <c r="H26" s="103"/>
      <c r="I26" s="103"/>
      <c r="J26" s="459"/>
      <c r="K26" s="338"/>
      <c r="L26" s="479" t="s">
        <v>329</v>
      </c>
      <c r="M26" s="478">
        <v>0.7</v>
      </c>
      <c r="N26" s="477" t="s">
        <v>0</v>
      </c>
    </row>
    <row r="27" spans="1:14" s="168" customFormat="1" ht="15" customHeight="1">
      <c r="B27" s="517" t="str">
        <f>B$22 &amp; ".02"</f>
        <v>01.08.01.01.02</v>
      </c>
      <c r="C27" s="474" t="s">
        <v>642</v>
      </c>
      <c r="D27" s="20" t="s">
        <v>55</v>
      </c>
      <c r="E27" s="105"/>
      <c r="F27" s="103"/>
      <c r="G27" s="103"/>
      <c r="H27" s="103"/>
      <c r="I27" s="280">
        <f>SUM(I28:I29)</f>
        <v>5.5600000000000005</v>
      </c>
      <c r="J27" s="447">
        <f>+I27*$E$22</f>
        <v>11.120000000000001</v>
      </c>
      <c r="K27" s="439"/>
      <c r="L27" s="481" t="s">
        <v>641</v>
      </c>
      <c r="M27" s="478">
        <v>0.1</v>
      </c>
      <c r="N27" s="477" t="s">
        <v>0</v>
      </c>
    </row>
    <row r="28" spans="1:14" s="168" customFormat="1" ht="15" customHeight="1">
      <c r="B28" s="521"/>
      <c r="C28" s="340" t="s">
        <v>637</v>
      </c>
      <c r="D28" s="20"/>
      <c r="E28" s="105">
        <v>1</v>
      </c>
      <c r="F28" s="103">
        <f>+F24</f>
        <v>1.6</v>
      </c>
      <c r="G28" s="103">
        <f>+G24</f>
        <v>1.6</v>
      </c>
      <c r="I28" s="448">
        <f>+ROUND(PRODUCT(E28:G28),2)</f>
        <v>2.56</v>
      </c>
      <c r="J28" s="482"/>
      <c r="K28" s="350"/>
      <c r="L28" s="481" t="s">
        <v>640</v>
      </c>
      <c r="M28" s="478">
        <v>0.1</v>
      </c>
      <c r="N28" s="477" t="s">
        <v>0</v>
      </c>
    </row>
    <row r="29" spans="1:14" s="168" customFormat="1" ht="15" customHeight="1">
      <c r="B29" s="521"/>
      <c r="C29" s="340" t="s">
        <v>674</v>
      </c>
      <c r="D29" s="20"/>
      <c r="E29" s="105">
        <v>1</v>
      </c>
      <c r="F29" s="103">
        <f>+F25</f>
        <v>3</v>
      </c>
      <c r="G29" s="103">
        <f>+G25</f>
        <v>1</v>
      </c>
      <c r="H29" s="103"/>
      <c r="I29" s="448">
        <f>+ROUND(PRODUCT(E29:H29),2)</f>
        <v>3</v>
      </c>
      <c r="J29" s="482"/>
      <c r="K29" s="350"/>
      <c r="L29" s="1066" t="s">
        <v>675</v>
      </c>
      <c r="M29" s="1066"/>
      <c r="N29" s="1066"/>
    </row>
    <row r="30" spans="1:14" s="168" customFormat="1" ht="15" customHeight="1">
      <c r="B30" s="521"/>
      <c r="C30" s="340"/>
      <c r="D30" s="20"/>
      <c r="E30" s="105"/>
      <c r="F30" s="103"/>
      <c r="G30" s="103"/>
      <c r="H30" s="103"/>
      <c r="I30" s="448"/>
      <c r="J30" s="482"/>
      <c r="K30" s="350"/>
      <c r="L30" s="522"/>
      <c r="M30" s="522"/>
      <c r="N30" s="522"/>
    </row>
    <row r="31" spans="1:14" s="168" customFormat="1" ht="15" customHeight="1">
      <c r="B31" s="517" t="str">
        <f>B$22 &amp; ".03"</f>
        <v>01.08.01.01.03</v>
      </c>
      <c r="C31" s="474" t="s">
        <v>639</v>
      </c>
      <c r="D31" s="20" t="s">
        <v>55</v>
      </c>
      <c r="E31" s="105"/>
      <c r="F31" s="103"/>
      <c r="G31" s="103"/>
      <c r="H31" s="103"/>
      <c r="I31" s="280">
        <f>SUM(I32:I33)</f>
        <v>5.5600000000000005</v>
      </c>
      <c r="J31" s="447">
        <f>+I31*$E$22</f>
        <v>11.120000000000001</v>
      </c>
      <c r="K31" s="350"/>
      <c r="L31" s="522"/>
      <c r="M31" s="522"/>
      <c r="N31" s="522"/>
    </row>
    <row r="32" spans="1:14" s="168" customFormat="1" ht="15" customHeight="1">
      <c r="B32" s="521"/>
      <c r="C32" s="340" t="s">
        <v>637</v>
      </c>
      <c r="D32" s="20"/>
      <c r="E32" s="105">
        <v>1</v>
      </c>
      <c r="F32" s="103">
        <f>+F28</f>
        <v>1.6</v>
      </c>
      <c r="G32" s="103">
        <f>+G28</f>
        <v>1.6</v>
      </c>
      <c r="I32" s="448">
        <f>+ROUND(PRODUCT(E32:G32),2)</f>
        <v>2.56</v>
      </c>
      <c r="J32" s="482"/>
      <c r="K32" s="350"/>
      <c r="L32" s="522"/>
      <c r="M32" s="522"/>
      <c r="N32" s="522"/>
    </row>
    <row r="33" spans="2:14" s="168" customFormat="1" ht="15" customHeight="1">
      <c r="B33" s="521"/>
      <c r="C33" s="340" t="s">
        <v>674</v>
      </c>
      <c r="D33" s="20"/>
      <c r="E33" s="105">
        <v>1</v>
      </c>
      <c r="F33" s="103">
        <f>+F29</f>
        <v>3</v>
      </c>
      <c r="G33" s="103">
        <f>+G29</f>
        <v>1</v>
      </c>
      <c r="H33" s="103"/>
      <c r="I33" s="448">
        <f>+ROUND(PRODUCT(E33:H33),2)</f>
        <v>3</v>
      </c>
      <c r="J33" s="482"/>
      <c r="K33" s="350"/>
      <c r="L33" s="522"/>
      <c r="M33" s="522"/>
      <c r="N33" s="522"/>
    </row>
    <row r="34" spans="2:14" s="168" customFormat="1" ht="14.25" customHeight="1">
      <c r="B34" s="521"/>
      <c r="C34" s="30"/>
      <c r="D34" s="20"/>
      <c r="E34" s="105"/>
      <c r="F34" s="103"/>
      <c r="G34" s="103"/>
      <c r="H34" s="103"/>
      <c r="I34" s="103"/>
      <c r="J34" s="459"/>
      <c r="K34" s="338"/>
      <c r="L34" s="481" t="s">
        <v>328</v>
      </c>
      <c r="M34" s="478">
        <f>+M24+2*M28+2*M27</f>
        <v>1</v>
      </c>
      <c r="N34" s="477" t="s">
        <v>0</v>
      </c>
    </row>
    <row r="35" spans="2:14" ht="15" customHeight="1">
      <c r="B35" s="518" t="str">
        <f>B$19 &amp; ".01.02"</f>
        <v>01.08.01.02</v>
      </c>
      <c r="C35" s="454" t="s">
        <v>101</v>
      </c>
      <c r="D35" s="196"/>
      <c r="E35" s="21">
        <f>+$E$19</f>
        <v>2</v>
      </c>
      <c r="F35" s="364"/>
      <c r="G35" s="246"/>
      <c r="H35" s="246"/>
      <c r="I35" s="246"/>
      <c r="J35" s="452"/>
      <c r="K35" s="297"/>
      <c r="L35" s="481" t="s">
        <v>23</v>
      </c>
      <c r="M35" s="478">
        <f>+M25+2*M28+2*M27</f>
        <v>1</v>
      </c>
      <c r="N35" s="477" t="s">
        <v>0</v>
      </c>
    </row>
    <row r="36" spans="2:14" s="168" customFormat="1" ht="15" customHeight="1">
      <c r="B36" s="517" t="str">
        <f>B$35 &amp; ".01"</f>
        <v>01.08.01.02.01</v>
      </c>
      <c r="C36" s="474" t="s">
        <v>246</v>
      </c>
      <c r="D36" s="20" t="s">
        <v>93</v>
      </c>
      <c r="E36" s="105"/>
      <c r="F36" s="103"/>
      <c r="G36" s="103"/>
      <c r="H36" s="103"/>
      <c r="I36" s="280">
        <f>SUM(I37:I44)</f>
        <v>3.38</v>
      </c>
      <c r="J36" s="447">
        <f>+I36*$E$35</f>
        <v>6.76</v>
      </c>
      <c r="K36" s="439"/>
      <c r="L36" s="481" t="s">
        <v>635</v>
      </c>
      <c r="M36" s="478">
        <v>0.1</v>
      </c>
      <c r="N36" s="477" t="s">
        <v>0</v>
      </c>
    </row>
    <row r="37" spans="2:14" s="168" customFormat="1" ht="15" customHeight="1">
      <c r="B37" s="521"/>
      <c r="C37" s="340" t="s">
        <v>637</v>
      </c>
      <c r="D37" s="20"/>
      <c r="E37" s="105">
        <v>1</v>
      </c>
      <c r="F37" s="103" t="s">
        <v>236</v>
      </c>
      <c r="G37" s="103"/>
      <c r="H37" s="103">
        <f>+G42/6*((2*G38+G40)*G39+(2*G40+G38)*G41)</f>
        <v>1.5786666666666667</v>
      </c>
      <c r="I37" s="448">
        <f>+ROUND(PRODUCT(E37:H37),2)</f>
        <v>1.58</v>
      </c>
      <c r="J37" s="482"/>
      <c r="K37" s="350"/>
      <c r="L37" s="1066" t="s">
        <v>615</v>
      </c>
      <c r="M37" s="1066"/>
      <c r="N37" s="1066"/>
    </row>
    <row r="38" spans="2:14" s="168" customFormat="1" ht="15" customHeight="1">
      <c r="B38" s="521"/>
      <c r="C38" s="340"/>
      <c r="D38" s="20"/>
      <c r="E38" s="105"/>
      <c r="F38" s="103" t="s">
        <v>636</v>
      </c>
      <c r="G38" s="103">
        <f>+M44</f>
        <v>1.6</v>
      </c>
      <c r="H38" s="103"/>
      <c r="I38" s="448"/>
      <c r="J38" s="482"/>
      <c r="K38" s="350"/>
      <c r="L38" s="1066" t="s">
        <v>622</v>
      </c>
      <c r="M38" s="1066"/>
      <c r="N38" s="1066"/>
    </row>
    <row r="39" spans="2:14" s="168" customFormat="1" ht="15" customHeight="1">
      <c r="B39" s="521"/>
      <c r="C39" s="340"/>
      <c r="D39" s="20"/>
      <c r="E39" s="105"/>
      <c r="F39" s="103" t="s">
        <v>634</v>
      </c>
      <c r="G39" s="103">
        <f>+M45</f>
        <v>1.6</v>
      </c>
      <c r="H39" s="103"/>
      <c r="I39" s="448"/>
      <c r="J39" s="482"/>
      <c r="K39" s="350"/>
      <c r="L39" s="481" t="s">
        <v>615</v>
      </c>
      <c r="M39" s="478">
        <v>0.1</v>
      </c>
      <c r="N39" s="477" t="s">
        <v>0</v>
      </c>
    </row>
    <row r="40" spans="2:14" s="168" customFormat="1" ht="15" customHeight="1">
      <c r="B40" s="521"/>
      <c r="C40" s="485" t="s">
        <v>633</v>
      </c>
      <c r="D40" s="20"/>
      <c r="E40" s="105"/>
      <c r="F40" s="103" t="s">
        <v>632</v>
      </c>
      <c r="G40" s="103">
        <f>+M40</f>
        <v>1.2</v>
      </c>
      <c r="H40" s="103"/>
      <c r="I40" s="448"/>
      <c r="J40" s="482"/>
      <c r="K40" s="350"/>
      <c r="L40" s="479" t="s">
        <v>619</v>
      </c>
      <c r="M40" s="478">
        <f>+M34+2*M39</f>
        <v>1.2</v>
      </c>
      <c r="N40" s="477" t="s">
        <v>0</v>
      </c>
    </row>
    <row r="41" spans="2:14" s="168" customFormat="1" ht="15" customHeight="1">
      <c r="B41" s="521"/>
      <c r="C41" s="485" t="s">
        <v>630</v>
      </c>
      <c r="D41" s="20"/>
      <c r="E41" s="105"/>
      <c r="F41" s="103" t="s">
        <v>629</v>
      </c>
      <c r="G41" s="103">
        <f>+M41</f>
        <v>1.2</v>
      </c>
      <c r="H41" s="103"/>
      <c r="I41" s="448"/>
      <c r="J41" s="482"/>
      <c r="K41" s="350"/>
      <c r="L41" s="481" t="s">
        <v>617</v>
      </c>
      <c r="M41" s="478">
        <f>+M35+2*M39</f>
        <v>1.2</v>
      </c>
      <c r="N41" s="477" t="s">
        <v>0</v>
      </c>
    </row>
    <row r="42" spans="2:14" s="168" customFormat="1" ht="15" customHeight="1">
      <c r="B42" s="521"/>
      <c r="C42" s="340"/>
      <c r="D42" s="20"/>
      <c r="E42" s="105"/>
      <c r="F42" s="103" t="s">
        <v>627</v>
      </c>
      <c r="G42" s="103">
        <f>+M47</f>
        <v>0.8</v>
      </c>
      <c r="H42" s="103"/>
      <c r="I42" s="448"/>
      <c r="J42" s="482"/>
      <c r="K42" s="350"/>
      <c r="L42" s="1066" t="s">
        <v>616</v>
      </c>
      <c r="M42" s="1066"/>
      <c r="N42" s="1066"/>
    </row>
    <row r="43" spans="2:14" s="168" customFormat="1" ht="15" customHeight="1">
      <c r="B43" s="521"/>
      <c r="C43" s="340"/>
      <c r="D43" s="20"/>
      <c r="E43" s="105"/>
      <c r="F43" s="103"/>
      <c r="G43" s="103"/>
      <c r="H43" s="103"/>
      <c r="I43" s="448"/>
      <c r="J43" s="482"/>
      <c r="K43" s="350"/>
      <c r="L43" s="481" t="s">
        <v>615</v>
      </c>
      <c r="M43" s="480">
        <f>+M46*M47</f>
        <v>0.2</v>
      </c>
      <c r="N43" s="477" t="s">
        <v>0</v>
      </c>
    </row>
    <row r="44" spans="2:14" s="168" customFormat="1" ht="15" customHeight="1">
      <c r="B44" s="521"/>
      <c r="C44" s="340" t="s">
        <v>673</v>
      </c>
      <c r="D44" s="20"/>
      <c r="E44" s="105">
        <v>1</v>
      </c>
      <c r="F44" s="103">
        <f>+F25</f>
        <v>3</v>
      </c>
      <c r="G44" s="103">
        <f>+G29</f>
        <v>1</v>
      </c>
      <c r="H44" s="103">
        <v>0.6</v>
      </c>
      <c r="I44" s="448">
        <f>+ROUND(PRODUCT(E44:H44),2)</f>
        <v>1.8</v>
      </c>
      <c r="J44" s="482"/>
      <c r="K44" s="350"/>
      <c r="L44" s="479" t="s">
        <v>614</v>
      </c>
      <c r="M44" s="478">
        <f>+M40+2*M43</f>
        <v>1.6</v>
      </c>
      <c r="N44" s="477" t="s">
        <v>0</v>
      </c>
    </row>
    <row r="45" spans="2:14" s="168" customFormat="1" ht="15" customHeight="1">
      <c r="B45" s="521"/>
      <c r="C45" s="484"/>
      <c r="D45" s="20"/>
      <c r="E45" s="105"/>
      <c r="F45" s="103"/>
      <c r="G45" s="103"/>
      <c r="H45" s="103"/>
      <c r="I45" s="103"/>
      <c r="J45" s="459"/>
      <c r="K45" s="338"/>
      <c r="L45" s="481" t="s">
        <v>612</v>
      </c>
      <c r="M45" s="478">
        <f>+M41+2*M43</f>
        <v>1.6</v>
      </c>
      <c r="N45" s="477" t="s">
        <v>0</v>
      </c>
    </row>
    <row r="46" spans="2:14" ht="16.5" customHeight="1">
      <c r="B46" s="519" t="str">
        <f>B$35 &amp; ".02"</f>
        <v>01.08.01.02.02</v>
      </c>
      <c r="C46" s="449" t="s">
        <v>672</v>
      </c>
      <c r="D46" s="20" t="s">
        <v>93</v>
      </c>
      <c r="E46" s="105"/>
      <c r="F46" s="103"/>
      <c r="G46" s="103"/>
      <c r="H46" s="103"/>
      <c r="I46" s="280">
        <f>SUM(I47:I49)</f>
        <v>1.03</v>
      </c>
      <c r="J46" s="447">
        <f>+I46*$E$35</f>
        <v>2.06</v>
      </c>
      <c r="K46" s="439"/>
      <c r="L46" s="481" t="s">
        <v>611</v>
      </c>
      <c r="M46" s="478">
        <v>0.25</v>
      </c>
      <c r="N46" s="477" t="s">
        <v>0</v>
      </c>
    </row>
    <row r="47" spans="2:14" ht="15" customHeight="1">
      <c r="B47" s="521"/>
      <c r="C47" s="340" t="s">
        <v>621</v>
      </c>
      <c r="D47" s="20"/>
      <c r="E47" s="105">
        <v>1</v>
      </c>
      <c r="F47" s="476"/>
      <c r="G47" s="476"/>
      <c r="H47" s="103">
        <f>+H37</f>
        <v>1.5786666666666667</v>
      </c>
      <c r="I47" s="448">
        <f>+ROUND(PRODUCT(E47:H47),2)</f>
        <v>1.58</v>
      </c>
      <c r="J47" s="459"/>
      <c r="K47" s="338"/>
      <c r="L47" s="479" t="s">
        <v>610</v>
      </c>
      <c r="M47" s="480">
        <v>0.8</v>
      </c>
      <c r="N47" s="477" t="s">
        <v>0</v>
      </c>
    </row>
    <row r="48" spans="2:14" ht="15" customHeight="1">
      <c r="B48" s="521"/>
      <c r="C48" s="340" t="s">
        <v>620</v>
      </c>
      <c r="D48" s="20"/>
      <c r="E48" s="105">
        <v>-1</v>
      </c>
      <c r="F48" s="103">
        <f>+M25+2*M28</f>
        <v>0.8</v>
      </c>
      <c r="G48" s="103">
        <f>+M24+2*M28</f>
        <v>0.8</v>
      </c>
      <c r="H48" s="103">
        <f>+M26</f>
        <v>0.7</v>
      </c>
      <c r="I48" s="448">
        <f>+ROUND(PRODUCT(E48:H48),2)</f>
        <v>-0.45</v>
      </c>
      <c r="J48" s="459"/>
      <c r="K48" s="338"/>
      <c r="L48" s="479" t="s">
        <v>608</v>
      </c>
      <c r="M48" s="478">
        <v>0.05</v>
      </c>
      <c r="N48" s="477" t="s">
        <v>0</v>
      </c>
    </row>
    <row r="49" spans="2:14" ht="15" customHeight="1">
      <c r="B49" s="521"/>
      <c r="C49" s="340" t="s">
        <v>618</v>
      </c>
      <c r="D49" s="20"/>
      <c r="E49" s="105">
        <v>-1</v>
      </c>
      <c r="F49" s="103">
        <f>+M35</f>
        <v>1</v>
      </c>
      <c r="G49" s="103">
        <f>+M34</f>
        <v>1</v>
      </c>
      <c r="H49" s="103">
        <f>+M36</f>
        <v>0.1</v>
      </c>
      <c r="I49" s="448">
        <f>+ROUND(PRODUCT(E49:H49),2)</f>
        <v>-0.1</v>
      </c>
      <c r="J49" s="459"/>
      <c r="K49" s="338"/>
      <c r="L49" s="479" t="s">
        <v>671</v>
      </c>
      <c r="M49" s="478">
        <v>0.2</v>
      </c>
      <c r="N49" s="477" t="s">
        <v>0</v>
      </c>
    </row>
    <row r="50" spans="2:14" ht="15" customHeight="1">
      <c r="B50" s="521"/>
      <c r="C50" s="340"/>
      <c r="D50" s="20"/>
      <c r="E50" s="105"/>
      <c r="F50" s="103"/>
      <c r="H50" s="103"/>
      <c r="I50" s="448"/>
      <c r="J50" s="459"/>
      <c r="K50" s="338"/>
    </row>
    <row r="51" spans="2:14" ht="15" customHeight="1">
      <c r="B51" s="517" t="str">
        <f>B$35 &amp; ".03"</f>
        <v>01.08.01.02.03</v>
      </c>
      <c r="C51" s="474" t="s">
        <v>317</v>
      </c>
      <c r="D51" s="20" t="s">
        <v>93</v>
      </c>
      <c r="E51" s="105"/>
      <c r="F51" s="103"/>
      <c r="G51" s="103"/>
      <c r="H51" s="103"/>
      <c r="I51" s="280">
        <f>SUM(I52:I53)</f>
        <v>2.92</v>
      </c>
      <c r="J51" s="447">
        <f>+I51*$E$35</f>
        <v>5.84</v>
      </c>
      <c r="K51" s="338"/>
    </row>
    <row r="52" spans="2:14" ht="15" customHeight="1">
      <c r="B52" s="521"/>
      <c r="C52" s="340" t="s">
        <v>238</v>
      </c>
      <c r="D52" s="20"/>
      <c r="E52" s="105">
        <v>1</v>
      </c>
      <c r="F52" s="103">
        <v>1.2</v>
      </c>
      <c r="G52" s="103" t="s">
        <v>236</v>
      </c>
      <c r="H52" s="103">
        <f>+I36</f>
        <v>3.38</v>
      </c>
      <c r="I52" s="448">
        <f>+ROUND(PRODUCT(E52:H52),2)</f>
        <v>4.0599999999999996</v>
      </c>
      <c r="J52" s="482"/>
      <c r="K52" s="338"/>
    </row>
    <row r="53" spans="2:14" ht="15" customHeight="1">
      <c r="B53" s="521"/>
      <c r="C53" s="340" t="s">
        <v>514</v>
      </c>
      <c r="D53" s="20"/>
      <c r="E53" s="105">
        <v>-1</v>
      </c>
      <c r="F53" s="103">
        <f>1/(0.9)</f>
        <v>1.1111111111111112</v>
      </c>
      <c r="G53" s="103" t="s">
        <v>236</v>
      </c>
      <c r="H53" s="103">
        <f>+I46</f>
        <v>1.03</v>
      </c>
      <c r="I53" s="448">
        <f>+ROUND(PRODUCT(E53:H53),2)</f>
        <v>-1.1399999999999999</v>
      </c>
      <c r="J53" s="482"/>
      <c r="K53" s="338"/>
    </row>
    <row r="54" spans="2:14" ht="15" customHeight="1">
      <c r="B54" s="521"/>
      <c r="C54" s="30"/>
      <c r="D54" s="20"/>
      <c r="E54" s="105"/>
      <c r="F54" s="103"/>
      <c r="G54" s="103"/>
      <c r="H54" s="103"/>
      <c r="I54" s="448"/>
      <c r="J54" s="459"/>
      <c r="K54" s="338"/>
    </row>
    <row r="55" spans="2:14" s="168" customFormat="1" ht="15" customHeight="1">
      <c r="B55" s="518" t="str">
        <f>B$19 &amp; ".01.03"</f>
        <v>01.08.01.03</v>
      </c>
      <c r="C55" s="454" t="s">
        <v>95</v>
      </c>
      <c r="D55" s="20"/>
      <c r="E55" s="21">
        <f>+$E$19</f>
        <v>2</v>
      </c>
      <c r="F55" s="103"/>
      <c r="G55" s="103"/>
      <c r="H55" s="103"/>
      <c r="I55" s="103"/>
      <c r="J55" s="459"/>
      <c r="K55" s="338"/>
      <c r="N55" s="500"/>
    </row>
    <row r="56" spans="2:14" s="168" customFormat="1" ht="15" customHeight="1">
      <c r="B56" s="517" t="str">
        <f>B$55 &amp; ".01"</f>
        <v>01.08.01.03.01</v>
      </c>
      <c r="C56" s="474" t="s">
        <v>606</v>
      </c>
      <c r="D56" s="20" t="s">
        <v>93</v>
      </c>
      <c r="E56" s="105"/>
      <c r="F56" s="103"/>
      <c r="G56" s="103"/>
      <c r="H56" s="103"/>
      <c r="I56" s="280">
        <f>SUM(I57)</f>
        <v>1.2E-2</v>
      </c>
      <c r="J56" s="447">
        <f>+I56*$E$55</f>
        <v>2.4E-2</v>
      </c>
      <c r="K56" s="338"/>
      <c r="L56" s="427"/>
      <c r="N56" s="500"/>
    </row>
    <row r="57" spans="2:14" s="168" customFormat="1" ht="15" customHeight="1">
      <c r="B57" s="517"/>
      <c r="C57" s="340" t="s">
        <v>670</v>
      </c>
      <c r="D57" s="20"/>
      <c r="E57" s="105">
        <v>1</v>
      </c>
      <c r="F57" s="103">
        <v>0.3</v>
      </c>
      <c r="G57" s="103">
        <v>0.2</v>
      </c>
      <c r="H57" s="103">
        <v>0.2</v>
      </c>
      <c r="I57" s="448">
        <f>+ROUND(PRODUCT(E57:H57),3)</f>
        <v>1.2E-2</v>
      </c>
      <c r="J57" s="459"/>
      <c r="K57" s="338"/>
      <c r="L57" s="427"/>
      <c r="N57" s="500"/>
    </row>
    <row r="58" spans="2:14" s="168" customFormat="1" ht="15" customHeight="1">
      <c r="B58" s="517"/>
      <c r="C58" s="30"/>
      <c r="D58" s="20"/>
      <c r="E58" s="105"/>
      <c r="F58" s="103"/>
      <c r="G58" s="103"/>
      <c r="H58" s="103"/>
      <c r="I58" s="103"/>
      <c r="J58" s="459"/>
      <c r="K58" s="338"/>
      <c r="L58" s="427"/>
      <c r="N58" s="500"/>
    </row>
    <row r="59" spans="2:14" s="168" customFormat="1" ht="15" customHeight="1">
      <c r="B59" s="518" t="str">
        <f>B$19 &amp; ".01.04"</f>
        <v>01.08.01.04</v>
      </c>
      <c r="C59" s="454" t="s">
        <v>467</v>
      </c>
      <c r="D59" s="20"/>
      <c r="E59" s="105"/>
      <c r="F59" s="103"/>
      <c r="G59" s="104"/>
      <c r="H59" s="103"/>
      <c r="I59" s="103"/>
      <c r="J59" s="459"/>
      <c r="K59" s="338"/>
      <c r="L59" s="427"/>
      <c r="N59" s="500"/>
    </row>
    <row r="60" spans="2:14" ht="15" customHeight="1">
      <c r="B60" s="517" t="str">
        <f>B$59 &amp; ".01"</f>
        <v>01.08.01.04.01</v>
      </c>
      <c r="C60" s="474" t="s">
        <v>669</v>
      </c>
      <c r="D60" s="20" t="s">
        <v>93</v>
      </c>
      <c r="E60" s="105"/>
      <c r="F60" s="103"/>
      <c r="H60" s="103"/>
      <c r="I60" s="280">
        <f>SUM(I61:I62)</f>
        <v>0.19600000000000001</v>
      </c>
      <c r="J60" s="447">
        <f>+I60*E55</f>
        <v>0.39200000000000002</v>
      </c>
      <c r="K60" s="439"/>
      <c r="L60" s="423"/>
    </row>
    <row r="61" spans="2:14" ht="15" customHeight="1">
      <c r="B61" s="521"/>
      <c r="C61" s="340" t="s">
        <v>603</v>
      </c>
      <c r="D61" s="20"/>
      <c r="E61" s="105">
        <v>2</v>
      </c>
      <c r="F61" s="103">
        <f>+M24+2*M28</f>
        <v>0.8</v>
      </c>
      <c r="G61" s="103">
        <f>+M28</f>
        <v>0.1</v>
      </c>
      <c r="H61" s="103">
        <f>+$M$26</f>
        <v>0.7</v>
      </c>
      <c r="I61" s="448">
        <f>+ROUND(PRODUCT(E61:H61),3)</f>
        <v>0.112</v>
      </c>
      <c r="J61" s="459"/>
      <c r="K61" s="338"/>
      <c r="L61" s="423"/>
    </row>
    <row r="62" spans="2:14" ht="15" customHeight="1">
      <c r="B62" s="521"/>
      <c r="C62" s="340" t="s">
        <v>602</v>
      </c>
      <c r="D62" s="20"/>
      <c r="E62" s="105">
        <v>2</v>
      </c>
      <c r="F62" s="103">
        <f>+M24</f>
        <v>0.6</v>
      </c>
      <c r="G62" s="103">
        <f>+M28</f>
        <v>0.1</v>
      </c>
      <c r="H62" s="103">
        <f>+$M$26</f>
        <v>0.7</v>
      </c>
      <c r="I62" s="448">
        <f>+ROUND(PRODUCT(E62:H62),3)</f>
        <v>8.4000000000000005E-2</v>
      </c>
      <c r="J62" s="459"/>
      <c r="K62" s="338"/>
      <c r="L62" s="423"/>
    </row>
    <row r="63" spans="2:14" ht="15" customHeight="1">
      <c r="B63" s="521"/>
      <c r="C63" s="340"/>
      <c r="D63" s="20"/>
      <c r="E63" s="105"/>
      <c r="F63" s="103"/>
      <c r="G63" s="103"/>
      <c r="H63" s="103"/>
      <c r="I63" s="448"/>
      <c r="J63" s="459"/>
      <c r="K63" s="338"/>
      <c r="L63" s="423"/>
    </row>
    <row r="64" spans="2:14" ht="15" customHeight="1">
      <c r="B64" s="517" t="str">
        <f>B$59 &amp; ".02"</f>
        <v>01.08.01.04.02</v>
      </c>
      <c r="C64" s="474" t="s">
        <v>668</v>
      </c>
      <c r="D64" s="20" t="s">
        <v>93</v>
      </c>
      <c r="E64" s="105"/>
      <c r="F64" s="103"/>
      <c r="H64" s="103"/>
      <c r="I64" s="280">
        <f>SUM(I65:I66)</f>
        <v>6.4000000000000001E-2</v>
      </c>
      <c r="J64" s="447">
        <f>+I64*E55</f>
        <v>0.128</v>
      </c>
      <c r="K64" s="338"/>
      <c r="L64" s="423"/>
    </row>
    <row r="65" spans="2:14" ht="15" customHeight="1">
      <c r="B65" s="521"/>
      <c r="C65" s="340" t="s">
        <v>466</v>
      </c>
      <c r="D65" s="20"/>
      <c r="E65" s="105">
        <v>1</v>
      </c>
      <c r="F65" s="103">
        <f>+M35</f>
        <v>1</v>
      </c>
      <c r="G65" s="103">
        <f>+M34</f>
        <v>1</v>
      </c>
      <c r="H65" s="103">
        <f>+$M$36</f>
        <v>0.1</v>
      </c>
      <c r="I65" s="448">
        <f>+ROUND(PRODUCT(E65:H65),3)</f>
        <v>0.1</v>
      </c>
      <c r="J65" s="459"/>
      <c r="K65" s="338"/>
      <c r="L65" s="423"/>
    </row>
    <row r="66" spans="2:14" ht="15" customHeight="1">
      <c r="B66" s="521"/>
      <c r="C66" s="340" t="s">
        <v>667</v>
      </c>
      <c r="D66" s="20"/>
      <c r="E66" s="105">
        <v>-1</v>
      </c>
      <c r="F66" s="103">
        <f>+M25</f>
        <v>0.6</v>
      </c>
      <c r="G66" s="103">
        <f>+M24</f>
        <v>0.6</v>
      </c>
      <c r="H66" s="103">
        <f>+$M$36</f>
        <v>0.1</v>
      </c>
      <c r="I66" s="448">
        <f>+ROUND(PRODUCT(E66:H66),3)</f>
        <v>-3.5999999999999997E-2</v>
      </c>
      <c r="J66" s="459"/>
      <c r="K66" s="338"/>
      <c r="L66" s="423"/>
    </row>
    <row r="67" spans="2:14" ht="15" customHeight="1">
      <c r="B67" s="521"/>
      <c r="C67" s="340"/>
      <c r="D67" s="20"/>
      <c r="E67" s="105"/>
      <c r="F67" s="103"/>
      <c r="G67" s="103"/>
      <c r="H67" s="103"/>
      <c r="I67" s="448"/>
      <c r="J67" s="459"/>
      <c r="K67" s="338"/>
      <c r="L67" s="423"/>
    </row>
    <row r="68" spans="2:14" s="168" customFormat="1" ht="15" customHeight="1">
      <c r="B68" s="517" t="str">
        <f>B$59 &amp; ".03"</f>
        <v>01.08.01.04.03</v>
      </c>
      <c r="C68" s="474" t="s">
        <v>666</v>
      </c>
      <c r="D68" s="20" t="s">
        <v>55</v>
      </c>
      <c r="E68" s="105"/>
      <c r="F68" s="103"/>
      <c r="G68" s="103"/>
      <c r="H68" s="103"/>
      <c r="I68" s="280">
        <f>SUM(I69:I70)</f>
        <v>0.2</v>
      </c>
      <c r="J68" s="447">
        <f>+I68*$E$55</f>
        <v>0.4</v>
      </c>
      <c r="K68" s="338"/>
      <c r="L68" s="427"/>
      <c r="N68" s="500"/>
    </row>
    <row r="69" spans="2:14" s="168" customFormat="1" ht="15" customHeight="1">
      <c r="B69" s="521"/>
      <c r="C69" s="340" t="s">
        <v>665</v>
      </c>
      <c r="D69" s="20"/>
      <c r="E69" s="105">
        <v>2</v>
      </c>
      <c r="F69" s="103">
        <v>0.2</v>
      </c>
      <c r="H69" s="103">
        <v>0.2</v>
      </c>
      <c r="I69" s="448">
        <f>+ROUND(PRODUCT(E69:H69),3)</f>
        <v>0.08</v>
      </c>
      <c r="J69" s="459"/>
      <c r="K69" s="338"/>
      <c r="L69" s="427"/>
      <c r="N69" s="500"/>
    </row>
    <row r="70" spans="2:14" s="168" customFormat="1" ht="15" customHeight="1">
      <c r="B70" s="521"/>
      <c r="C70" s="340" t="s">
        <v>664</v>
      </c>
      <c r="D70" s="20"/>
      <c r="E70" s="105">
        <v>2</v>
      </c>
      <c r="F70" s="103">
        <v>0.3</v>
      </c>
      <c r="G70" s="103">
        <v>0.2</v>
      </c>
      <c r="H70" s="103"/>
      <c r="I70" s="448">
        <f>+ROUND(PRODUCT(E70:H70),3)</f>
        <v>0.12</v>
      </c>
      <c r="J70" s="459"/>
      <c r="K70" s="338"/>
      <c r="L70" s="427"/>
      <c r="N70" s="500"/>
    </row>
    <row r="71" spans="2:14" s="168" customFormat="1" ht="15" customHeight="1">
      <c r="B71" s="521"/>
      <c r="C71" s="340"/>
      <c r="D71" s="20"/>
      <c r="E71" s="105"/>
      <c r="F71" s="103"/>
      <c r="G71" s="103"/>
      <c r="H71" s="103"/>
      <c r="I71" s="448"/>
      <c r="J71" s="459"/>
      <c r="K71" s="338"/>
      <c r="L71" s="427"/>
      <c r="N71" s="500"/>
    </row>
    <row r="72" spans="2:14" s="168" customFormat="1" ht="15" customHeight="1">
      <c r="B72" s="517" t="str">
        <f>B$59 &amp; ".04"</f>
        <v>01.08.01.04.04</v>
      </c>
      <c r="C72" s="474" t="s">
        <v>205</v>
      </c>
      <c r="D72" s="20" t="s">
        <v>55</v>
      </c>
      <c r="E72" s="105"/>
      <c r="F72" s="103"/>
      <c r="G72" s="103"/>
      <c r="H72" s="103"/>
      <c r="I72" s="280">
        <f>SUM(I73:I76)</f>
        <v>3.92</v>
      </c>
      <c r="J72" s="447">
        <f>+I72*$E$55</f>
        <v>7.84</v>
      </c>
      <c r="K72" s="338"/>
      <c r="L72" s="427"/>
      <c r="N72" s="500"/>
    </row>
    <row r="73" spans="2:14" s="168" customFormat="1" ht="15" customHeight="1">
      <c r="B73" s="521"/>
      <c r="C73" s="340" t="s">
        <v>598</v>
      </c>
      <c r="D73" s="20"/>
      <c r="E73" s="105">
        <v>2</v>
      </c>
      <c r="F73" s="103">
        <f>+M25+2*M28</f>
        <v>0.8</v>
      </c>
      <c r="G73" s="170"/>
      <c r="H73" s="103">
        <f>+$M$26</f>
        <v>0.7</v>
      </c>
      <c r="I73" s="448">
        <f>+ROUND(PRODUCT(E73:H73),3)</f>
        <v>1.1200000000000001</v>
      </c>
      <c r="J73" s="459"/>
      <c r="K73" s="338"/>
      <c r="L73" s="427"/>
      <c r="N73" s="500"/>
    </row>
    <row r="74" spans="2:14" s="168" customFormat="1" ht="15" customHeight="1">
      <c r="B74" s="521"/>
      <c r="C74" s="340" t="s">
        <v>597</v>
      </c>
      <c r="D74" s="20"/>
      <c r="E74" s="105">
        <v>2</v>
      </c>
      <c r="F74" s="103"/>
      <c r="G74" s="103">
        <f>+M24+2*M28</f>
        <v>0.8</v>
      </c>
      <c r="H74" s="103">
        <f>+$M$26</f>
        <v>0.7</v>
      </c>
      <c r="I74" s="448">
        <f>+ROUND(PRODUCT(E74:H74),3)</f>
        <v>1.1200000000000001</v>
      </c>
      <c r="J74" s="459"/>
      <c r="K74" s="338"/>
      <c r="L74" s="427"/>
      <c r="N74" s="500"/>
    </row>
    <row r="75" spans="2:14" s="168" customFormat="1" ht="15" customHeight="1">
      <c r="B75" s="521"/>
      <c r="C75" s="340" t="s">
        <v>581</v>
      </c>
      <c r="D75" s="20"/>
      <c r="E75" s="105">
        <v>2</v>
      </c>
      <c r="F75" s="103">
        <f>+$M$25</f>
        <v>0.6</v>
      </c>
      <c r="G75" s="170"/>
      <c r="H75" s="103">
        <f>+$M$26</f>
        <v>0.7</v>
      </c>
      <c r="I75" s="448">
        <f>+ROUND(PRODUCT(E75:H75),3)</f>
        <v>0.84</v>
      </c>
      <c r="J75" s="459"/>
      <c r="K75" s="338"/>
      <c r="L75" s="427"/>
      <c r="N75" s="500"/>
    </row>
    <row r="76" spans="2:14" s="168" customFormat="1" ht="15" customHeight="1">
      <c r="B76" s="521"/>
      <c r="C76" s="340" t="s">
        <v>580</v>
      </c>
      <c r="D76" s="20"/>
      <c r="E76" s="105">
        <v>2</v>
      </c>
      <c r="F76" s="103"/>
      <c r="G76" s="103">
        <f>+$M$24</f>
        <v>0.6</v>
      </c>
      <c r="H76" s="103">
        <f>+$M$26</f>
        <v>0.7</v>
      </c>
      <c r="I76" s="448">
        <f>+ROUND(PRODUCT(E76:H76),3)</f>
        <v>0.84</v>
      </c>
      <c r="J76" s="459"/>
      <c r="K76" s="338"/>
      <c r="L76" s="427"/>
      <c r="N76" s="500"/>
    </row>
    <row r="77" spans="2:14" s="168" customFormat="1" ht="15" customHeight="1">
      <c r="B77" s="521"/>
      <c r="C77" s="340"/>
      <c r="D77" s="20"/>
      <c r="E77" s="105"/>
      <c r="F77" s="103"/>
      <c r="G77" s="103"/>
      <c r="H77" s="103"/>
      <c r="I77" s="448"/>
      <c r="J77" s="459"/>
      <c r="K77" s="338"/>
      <c r="L77" s="427"/>
      <c r="N77" s="500"/>
    </row>
    <row r="78" spans="2:14" s="168" customFormat="1" ht="15" customHeight="1">
      <c r="B78" s="517" t="str">
        <f>B$59 &amp; ".05"</f>
        <v>01.08.01.04.05</v>
      </c>
      <c r="C78" s="474" t="s">
        <v>197</v>
      </c>
      <c r="D78" s="20" t="s">
        <v>55</v>
      </c>
      <c r="E78" s="105"/>
      <c r="F78" s="103"/>
      <c r="G78" s="103"/>
      <c r="H78" s="103"/>
      <c r="I78" s="280">
        <f>SUM(I79:I82)</f>
        <v>0.64</v>
      </c>
      <c r="J78" s="447">
        <f>+I78*$E$55</f>
        <v>1.28</v>
      </c>
      <c r="K78" s="338"/>
      <c r="L78" s="427"/>
      <c r="N78" s="500"/>
    </row>
    <row r="79" spans="2:14" s="168" customFormat="1" ht="15" customHeight="1">
      <c r="B79" s="521"/>
      <c r="C79" s="340" t="s">
        <v>596</v>
      </c>
      <c r="D79" s="20"/>
      <c r="E79" s="105">
        <v>2</v>
      </c>
      <c r="F79" s="103">
        <f>+$M$35</f>
        <v>1</v>
      </c>
      <c r="G79" s="170"/>
      <c r="H79" s="103">
        <f>+$M$36</f>
        <v>0.1</v>
      </c>
      <c r="I79" s="448">
        <f>+ROUND(PRODUCT(E79:H79),3)</f>
        <v>0.2</v>
      </c>
      <c r="J79" s="459"/>
      <c r="K79" s="338"/>
      <c r="L79" s="427"/>
      <c r="N79" s="500"/>
    </row>
    <row r="80" spans="2:14" s="168" customFormat="1" ht="15" customHeight="1">
      <c r="B80" s="521"/>
      <c r="C80" s="340" t="s">
        <v>595</v>
      </c>
      <c r="D80" s="20"/>
      <c r="E80" s="105">
        <v>2</v>
      </c>
      <c r="F80" s="170"/>
      <c r="G80" s="103">
        <f>+$M$34</f>
        <v>1</v>
      </c>
      <c r="H80" s="103">
        <f>+$M$36</f>
        <v>0.1</v>
      </c>
      <c r="I80" s="448">
        <f>+ROUND(PRODUCT(E80:H80),3)</f>
        <v>0.2</v>
      </c>
      <c r="J80" s="459"/>
      <c r="K80" s="338"/>
      <c r="L80" s="427"/>
      <c r="N80" s="500"/>
    </row>
    <row r="81" spans="2:15" s="168" customFormat="1" ht="15" customHeight="1">
      <c r="B81" s="521"/>
      <c r="C81" s="340" t="s">
        <v>660</v>
      </c>
      <c r="D81" s="20"/>
      <c r="E81" s="105">
        <v>2</v>
      </c>
      <c r="F81" s="103">
        <f>+$M$25</f>
        <v>0.6</v>
      </c>
      <c r="G81" s="170"/>
      <c r="H81" s="103">
        <f>+$M$36</f>
        <v>0.1</v>
      </c>
      <c r="I81" s="448">
        <f>+ROUND(PRODUCT(E81:H81),3)</f>
        <v>0.12</v>
      </c>
      <c r="J81" s="459"/>
      <c r="K81" s="338"/>
      <c r="L81" s="427"/>
      <c r="N81" s="500"/>
    </row>
    <row r="82" spans="2:15" s="168" customFormat="1" ht="15" customHeight="1">
      <c r="B82" s="521"/>
      <c r="C82" s="340" t="s">
        <v>659</v>
      </c>
      <c r="D82" s="20"/>
      <c r="E82" s="105">
        <v>2</v>
      </c>
      <c r="F82" s="103"/>
      <c r="G82" s="103">
        <f>+$M$24</f>
        <v>0.6</v>
      </c>
      <c r="H82" s="103">
        <f>+$M$36</f>
        <v>0.1</v>
      </c>
      <c r="I82" s="448">
        <f>+ROUND(PRODUCT(E82:H82),3)</f>
        <v>0.12</v>
      </c>
      <c r="J82" s="459"/>
      <c r="K82" s="338"/>
      <c r="L82" s="427"/>
      <c r="N82" s="500"/>
    </row>
    <row r="83" spans="2:15" s="168" customFormat="1" ht="15" customHeight="1">
      <c r="B83" s="521"/>
      <c r="C83" s="340"/>
      <c r="D83" s="20"/>
      <c r="E83" s="105"/>
      <c r="F83" s="103"/>
      <c r="G83" s="103"/>
      <c r="H83" s="103"/>
      <c r="I83" s="448"/>
      <c r="J83" s="459"/>
      <c r="K83" s="338"/>
      <c r="L83" s="427"/>
      <c r="N83" s="500"/>
    </row>
    <row r="84" spans="2:15" s="168" customFormat="1" ht="15" customHeight="1">
      <c r="B84" s="517" t="str">
        <f>B$59 &amp; ".06"</f>
        <v>01.08.01.04.06</v>
      </c>
      <c r="C84" s="474" t="s">
        <v>188</v>
      </c>
      <c r="D84" s="848" t="s">
        <v>187</v>
      </c>
      <c r="E84" s="21"/>
      <c r="F84" s="103"/>
      <c r="G84" s="103"/>
      <c r="H84" s="103"/>
      <c r="I84" s="358">
        <f>SUM(I85:I85)</f>
        <v>25.715200000000003</v>
      </c>
      <c r="J84" s="447">
        <f>+I84*$E$55</f>
        <v>51.430400000000006</v>
      </c>
      <c r="K84" s="338"/>
      <c r="L84" s="427"/>
      <c r="N84" s="500"/>
    </row>
    <row r="85" spans="2:15" ht="15" customHeight="1">
      <c r="B85" s="521"/>
      <c r="C85" s="340" t="s">
        <v>663</v>
      </c>
      <c r="D85" s="20"/>
      <c r="E85" s="849">
        <v>1</v>
      </c>
      <c r="F85" s="103"/>
      <c r="G85" s="103"/>
      <c r="H85" s="103"/>
      <c r="I85" s="448">
        <f>'1.8.1 M.ACERO T-01'!N228</f>
        <v>25.715200000000003</v>
      </c>
      <c r="J85" s="459"/>
      <c r="K85" s="338"/>
      <c r="L85" s="423"/>
      <c r="N85" s="170"/>
      <c r="O85" s="434"/>
    </row>
    <row r="86" spans="2:15" ht="15" customHeight="1">
      <c r="B86" s="521"/>
      <c r="C86" s="340"/>
      <c r="D86" s="20"/>
      <c r="E86" s="461"/>
      <c r="F86" s="103"/>
      <c r="G86" s="103"/>
      <c r="H86" s="103"/>
      <c r="I86" s="448"/>
      <c r="J86" s="459"/>
      <c r="K86" s="338"/>
      <c r="L86" s="423"/>
    </row>
    <row r="87" spans="2:15" ht="15" customHeight="1">
      <c r="B87" s="518" t="str">
        <f>B$19 &amp; ".01.05"</f>
        <v>01.08.01.05</v>
      </c>
      <c r="C87" s="454" t="s">
        <v>662</v>
      </c>
      <c r="D87" s="20"/>
      <c r="E87" s="21">
        <f>+$E$19</f>
        <v>2</v>
      </c>
      <c r="F87" s="103"/>
      <c r="G87" s="103"/>
      <c r="H87" s="103"/>
      <c r="I87" s="103"/>
      <c r="J87" s="459"/>
      <c r="K87" s="338"/>
      <c r="L87" s="423"/>
    </row>
    <row r="88" spans="2:15" ht="15" customHeight="1">
      <c r="B88" s="517" t="str">
        <f>B$87 &amp; ".01"</f>
        <v>01.08.01.05.01</v>
      </c>
      <c r="C88" s="369" t="s">
        <v>661</v>
      </c>
      <c r="D88" s="20" t="s">
        <v>55</v>
      </c>
      <c r="E88" s="105"/>
      <c r="F88" s="103"/>
      <c r="G88" s="103"/>
      <c r="H88" s="103"/>
      <c r="I88" s="280">
        <f>SUM(I89:I92)</f>
        <v>1.92</v>
      </c>
      <c r="J88" s="447">
        <f>+I88*$E$87</f>
        <v>3.84</v>
      </c>
      <c r="K88" s="338"/>
      <c r="L88" s="423"/>
    </row>
    <row r="89" spans="2:15" ht="15" customHeight="1">
      <c r="B89" s="521"/>
      <c r="C89" s="340" t="s">
        <v>581</v>
      </c>
      <c r="D89" s="20"/>
      <c r="E89" s="105">
        <v>2</v>
      </c>
      <c r="F89" s="103">
        <f>+$M$25</f>
        <v>0.6</v>
      </c>
      <c r="H89" s="103">
        <f>+$M$26</f>
        <v>0.7</v>
      </c>
      <c r="I89" s="448">
        <f>+ROUND(PRODUCT(E89:H89),2)</f>
        <v>0.84</v>
      </c>
      <c r="J89" s="459"/>
      <c r="K89" s="338"/>
      <c r="L89" s="423"/>
    </row>
    <row r="90" spans="2:15" ht="15" customHeight="1">
      <c r="B90" s="521"/>
      <c r="C90" s="340" t="s">
        <v>580</v>
      </c>
      <c r="D90" s="20"/>
      <c r="E90" s="105">
        <v>2</v>
      </c>
      <c r="F90" s="103"/>
      <c r="G90" s="103">
        <f>+$M$24</f>
        <v>0.6</v>
      </c>
      <c r="H90" s="103">
        <f>+$M$26</f>
        <v>0.7</v>
      </c>
      <c r="I90" s="448">
        <f>+ROUND(PRODUCT(E90:H90),2)</f>
        <v>0.84</v>
      </c>
      <c r="J90" s="459"/>
      <c r="K90" s="338"/>
      <c r="L90" s="423"/>
    </row>
    <row r="91" spans="2:15" ht="15" customHeight="1">
      <c r="B91" s="521"/>
      <c r="C91" s="340" t="s">
        <v>660</v>
      </c>
      <c r="D91" s="20"/>
      <c r="E91" s="105">
        <v>2</v>
      </c>
      <c r="F91" s="103">
        <f>+$M$25</f>
        <v>0.6</v>
      </c>
      <c r="H91" s="103">
        <f>+$M$36</f>
        <v>0.1</v>
      </c>
      <c r="I91" s="448">
        <f>+ROUND(PRODUCT(E91:H91),2)</f>
        <v>0.12</v>
      </c>
      <c r="J91" s="459"/>
      <c r="K91" s="338"/>
      <c r="L91" s="423"/>
    </row>
    <row r="92" spans="2:15" ht="30" customHeight="1">
      <c r="B92" s="521"/>
      <c r="C92" s="340" t="s">
        <v>659</v>
      </c>
      <c r="D92" s="20"/>
      <c r="E92" s="105">
        <v>2</v>
      </c>
      <c r="F92" s="103"/>
      <c r="G92" s="103">
        <f>+$M$24</f>
        <v>0.6</v>
      </c>
      <c r="H92" s="103">
        <f>+$M$36</f>
        <v>0.1</v>
      </c>
      <c r="I92" s="448">
        <f>+ROUND(PRODUCT(E92:H92),2)</f>
        <v>0.12</v>
      </c>
      <c r="J92" s="459"/>
      <c r="K92" s="338"/>
      <c r="L92" s="423"/>
    </row>
    <row r="93" spans="2:15" ht="15" customHeight="1">
      <c r="B93" s="521"/>
      <c r="C93" s="340"/>
      <c r="D93" s="20"/>
      <c r="E93" s="105"/>
      <c r="F93" s="103"/>
      <c r="G93" s="103"/>
      <c r="H93" s="103"/>
      <c r="I93" s="448"/>
      <c r="J93" s="459"/>
      <c r="K93" s="338"/>
      <c r="L93" s="423"/>
    </row>
    <row r="94" spans="2:15" ht="15" customHeight="1">
      <c r="B94" s="518" t="str">
        <f>B$19 &amp; ".01.06"</f>
        <v>01.08.01.06</v>
      </c>
      <c r="C94" s="454" t="s">
        <v>658</v>
      </c>
      <c r="D94" s="20"/>
      <c r="E94" s="21">
        <f>+$E$19</f>
        <v>2</v>
      </c>
      <c r="F94" s="103"/>
      <c r="G94" s="103"/>
      <c r="H94" s="103"/>
      <c r="I94" s="448"/>
      <c r="J94" s="459"/>
      <c r="K94" s="338"/>
      <c r="L94" s="423"/>
    </row>
    <row r="95" spans="2:15" ht="15" customHeight="1">
      <c r="B95" s="517" t="str">
        <f>B$94 &amp; ".01"</f>
        <v>01.08.01.06.01</v>
      </c>
      <c r="C95" s="449" t="s">
        <v>657</v>
      </c>
      <c r="D95" s="20" t="s">
        <v>55</v>
      </c>
      <c r="E95" s="105"/>
      <c r="F95" s="103"/>
      <c r="G95" s="103"/>
      <c r="H95" s="103"/>
      <c r="I95" s="280">
        <f>SUM(I96)</f>
        <v>0.5</v>
      </c>
      <c r="J95" s="447">
        <f>+I95*$E$94</f>
        <v>1</v>
      </c>
      <c r="K95" s="297"/>
      <c r="L95" s="423"/>
    </row>
    <row r="96" spans="2:15" ht="15" customHeight="1">
      <c r="B96" s="521"/>
      <c r="C96" s="340" t="s">
        <v>656</v>
      </c>
      <c r="D96" s="20"/>
      <c r="E96" s="105">
        <v>1</v>
      </c>
      <c r="F96" s="103">
        <v>1</v>
      </c>
      <c r="G96" s="103">
        <v>0.5</v>
      </c>
      <c r="H96" s="103"/>
      <c r="I96" s="448">
        <f>+ROUND(PRODUCT(E96:H96),2)</f>
        <v>0.5</v>
      </c>
      <c r="J96" s="459"/>
      <c r="K96" s="439"/>
      <c r="L96" s="423"/>
    </row>
    <row r="97" spans="2:12" ht="15" customHeight="1">
      <c r="B97" s="521"/>
      <c r="C97" s="340"/>
      <c r="D97" s="20"/>
      <c r="E97" s="105"/>
      <c r="F97" s="103"/>
      <c r="G97" s="103"/>
      <c r="H97" s="103"/>
      <c r="I97" s="103"/>
      <c r="J97" s="459"/>
      <c r="K97" s="439"/>
      <c r="L97" s="423"/>
    </row>
    <row r="98" spans="2:12" ht="15" customHeight="1">
      <c r="B98" s="518" t="str">
        <f>B$19 &amp; ".01.07"</f>
        <v>01.08.01.07</v>
      </c>
      <c r="C98" s="454" t="s">
        <v>156</v>
      </c>
      <c r="D98" s="196"/>
      <c r="E98" s="21">
        <f>+$E$19</f>
        <v>2</v>
      </c>
      <c r="F98" s="364"/>
      <c r="G98" s="246"/>
      <c r="H98" s="246"/>
      <c r="I98" s="246"/>
      <c r="J98" s="452"/>
      <c r="K98" s="338"/>
      <c r="L98" s="423"/>
    </row>
    <row r="99" spans="2:12" ht="15" customHeight="1">
      <c r="B99" s="517" t="str">
        <f>B$98 &amp; ".01"</f>
        <v>01.08.01.07.01</v>
      </c>
      <c r="C99" s="449" t="s">
        <v>112</v>
      </c>
      <c r="D99" s="20" t="s">
        <v>93</v>
      </c>
      <c r="E99" s="105"/>
      <c r="F99" s="364"/>
      <c r="H99" s="246"/>
      <c r="I99" s="280">
        <f>SUM(I100)</f>
        <v>7.1999999999999995E-2</v>
      </c>
      <c r="J99" s="447">
        <f>+I99*$E$98</f>
        <v>0.14399999999999999</v>
      </c>
      <c r="K99" s="297"/>
      <c r="L99" s="423"/>
    </row>
    <row r="100" spans="2:12" ht="15" customHeight="1">
      <c r="B100" s="517"/>
      <c r="C100" s="449"/>
      <c r="D100" s="20"/>
      <c r="E100" s="105">
        <v>1</v>
      </c>
      <c r="F100" s="103">
        <f>+M25</f>
        <v>0.6</v>
      </c>
      <c r="G100" s="103">
        <f>+M24</f>
        <v>0.6</v>
      </c>
      <c r="H100" s="103">
        <f>+M49</f>
        <v>0.2</v>
      </c>
      <c r="I100" s="448">
        <f>+ROUND(PRODUCT(E100:H100),3)</f>
        <v>7.1999999999999995E-2</v>
      </c>
      <c r="J100" s="447"/>
      <c r="K100" s="439"/>
    </row>
    <row r="101" spans="2:12" ht="15" customHeight="1">
      <c r="B101" s="521"/>
      <c r="C101" s="107"/>
      <c r="D101" s="20"/>
      <c r="E101" s="105"/>
      <c r="F101" s="103"/>
      <c r="G101" s="103"/>
      <c r="H101" s="103"/>
      <c r="I101" s="103"/>
      <c r="J101" s="459"/>
      <c r="K101" s="439"/>
      <c r="L101" s="423"/>
    </row>
    <row r="102" spans="2:12" ht="15" customHeight="1">
      <c r="B102" s="518" t="str">
        <f>B$19 &amp; ".01.08"</f>
        <v>01.08.01.08</v>
      </c>
      <c r="C102" s="454" t="s">
        <v>655</v>
      </c>
      <c r="D102" s="196"/>
      <c r="E102" s="21"/>
      <c r="F102" s="364"/>
      <c r="G102" s="246"/>
      <c r="H102" s="246"/>
      <c r="I102" s="246"/>
      <c r="J102" s="452"/>
      <c r="K102" s="439"/>
      <c r="L102" s="423"/>
    </row>
    <row r="103" spans="2:12" ht="15" customHeight="1">
      <c r="B103" s="519"/>
      <c r="C103" s="520"/>
      <c r="D103" s="20"/>
      <c r="E103" s="105"/>
      <c r="F103" s="103"/>
      <c r="G103" s="103"/>
      <c r="H103" s="103"/>
      <c r="I103" s="448"/>
      <c r="J103" s="447"/>
      <c r="K103" s="439"/>
      <c r="L103" s="423"/>
    </row>
    <row r="104" spans="2:12" ht="15" customHeight="1">
      <c r="B104" s="519" t="str">
        <f>B$102 &amp; ".01"</f>
        <v>01.08.01.08.01</v>
      </c>
      <c r="C104" s="449" t="str">
        <f>"SUMINISTRO Y COLOC. DE ACCESORIOS EN VALVULA DE PURGA  "&amp;L20</f>
        <v>SUMINISTRO Y COLOC. DE ACCESORIOS EN VALVULA DE PURGA   Ø = 1 1/2"</v>
      </c>
      <c r="D104" s="20" t="s">
        <v>58</v>
      </c>
      <c r="E104" s="21">
        <f>E19</f>
        <v>2</v>
      </c>
      <c r="F104" s="103"/>
      <c r="G104" s="103"/>
      <c r="H104" s="103"/>
      <c r="I104" s="448">
        <f>+ROUND(PRODUCT(E104:H104),3)</f>
        <v>2</v>
      </c>
      <c r="J104" s="447">
        <f>+I104</f>
        <v>2</v>
      </c>
      <c r="K104" s="439"/>
      <c r="L104" s="423"/>
    </row>
    <row r="105" spans="2:12" ht="15" customHeight="1">
      <c r="B105" s="519"/>
      <c r="C105" s="456" t="str">
        <f>+M5&amp;L20</f>
        <v>Valvula compuerta Bronce Ø = 1 1/2"</v>
      </c>
      <c r="D105" s="20" t="s">
        <v>58</v>
      </c>
      <c r="E105" s="105">
        <f t="shared" ref="E105:E115" si="0">+N5</f>
        <v>1</v>
      </c>
      <c r="F105" s="103"/>
      <c r="G105" s="103"/>
      <c r="H105" s="103"/>
      <c r="I105" s="448"/>
      <c r="J105" s="447"/>
      <c r="K105" s="439"/>
      <c r="L105" s="423"/>
    </row>
    <row r="106" spans="2:12" ht="15" customHeight="1">
      <c r="B106" s="519"/>
      <c r="C106" s="456" t="str">
        <f>+M6&amp;L20</f>
        <v>Niple PVC L=2" Ø = 1 1/2"</v>
      </c>
      <c r="D106" s="20" t="s">
        <v>58</v>
      </c>
      <c r="E106" s="105">
        <f t="shared" si="0"/>
        <v>2</v>
      </c>
      <c r="F106" s="103"/>
      <c r="G106" s="103"/>
      <c r="H106" s="103"/>
      <c r="I106" s="448"/>
      <c r="J106" s="447"/>
      <c r="K106" s="439"/>
      <c r="L106" s="423"/>
    </row>
    <row r="107" spans="2:12" ht="15" customHeight="1">
      <c r="B107" s="519"/>
      <c r="C107" s="456" t="str">
        <f>+M7&amp;L20</f>
        <v>Union universal PVC Ø = 1 1/2"</v>
      </c>
      <c r="D107" s="20" t="s">
        <v>58</v>
      </c>
      <c r="E107" s="105">
        <f t="shared" si="0"/>
        <v>2</v>
      </c>
      <c r="F107" s="103"/>
      <c r="G107" s="103"/>
      <c r="H107" s="103"/>
      <c r="I107" s="448"/>
      <c r="J107" s="447"/>
      <c r="K107" s="439"/>
      <c r="L107" s="423"/>
    </row>
    <row r="108" spans="2:12" ht="15" customHeight="1">
      <c r="B108" s="519"/>
      <c r="C108" s="456" t="str">
        <f>+M8&amp;L20</f>
        <v>Adaptador UPR PVC Ø = 1 1/2"</v>
      </c>
      <c r="D108" s="20" t="s">
        <v>58</v>
      </c>
      <c r="E108" s="105">
        <f t="shared" si="0"/>
        <v>2</v>
      </c>
      <c r="F108" s="103"/>
      <c r="G108" s="103"/>
      <c r="H108" s="103"/>
      <c r="I108" s="448"/>
      <c r="J108" s="447"/>
      <c r="K108" s="439"/>
      <c r="L108" s="423"/>
    </row>
    <row r="109" spans="2:12" ht="15" customHeight="1">
      <c r="B109" s="519"/>
      <c r="C109" s="456" t="str">
        <f>+M9&amp;L20</f>
        <v>Niple PVC L=8" Ø = 1 1/2"</v>
      </c>
      <c r="D109" s="20" t="s">
        <v>58</v>
      </c>
      <c r="E109" s="105">
        <f t="shared" si="0"/>
        <v>3</v>
      </c>
      <c r="F109" s="103"/>
      <c r="G109" s="103"/>
      <c r="H109" s="103"/>
      <c r="I109" s="448"/>
      <c r="J109" s="447"/>
      <c r="K109" s="439"/>
      <c r="L109" s="423"/>
    </row>
    <row r="110" spans="2:12" ht="15" customHeight="1">
      <c r="B110" s="519"/>
      <c r="C110" s="456" t="str">
        <f>+M10&amp;L20</f>
        <v>Codo PVC SP x 45° Ø = 1 1/2"</v>
      </c>
      <c r="D110" s="20" t="s">
        <v>58</v>
      </c>
      <c r="E110" s="105">
        <f t="shared" si="0"/>
        <v>4</v>
      </c>
      <c r="F110" s="103"/>
      <c r="G110" s="103"/>
      <c r="H110" s="103"/>
      <c r="I110" s="448"/>
      <c r="J110" s="447"/>
      <c r="K110" s="439"/>
      <c r="L110" s="423"/>
    </row>
    <row r="111" spans="2:12" ht="15" customHeight="1">
      <c r="B111" s="519"/>
      <c r="C111" s="456" t="str">
        <f>+M11&amp;L20</f>
        <v>Niple PVC L=22" Ø = 1 1/2"</v>
      </c>
      <c r="D111" s="20" t="s">
        <v>58</v>
      </c>
      <c r="E111" s="105">
        <f t="shared" si="0"/>
        <v>1</v>
      </c>
      <c r="F111" s="103"/>
      <c r="G111" s="103"/>
      <c r="H111" s="103"/>
      <c r="I111" s="448"/>
      <c r="J111" s="447"/>
      <c r="K111" s="439"/>
      <c r="L111" s="423"/>
    </row>
    <row r="112" spans="2:12" ht="15" customHeight="1">
      <c r="B112" s="519"/>
      <c r="C112" s="456" t="str">
        <f>+M12&amp;L20</f>
        <v>Niple PVC L=7" Ø = 1 1/2"</v>
      </c>
      <c r="D112" s="20" t="s">
        <v>58</v>
      </c>
      <c r="E112" s="105">
        <f t="shared" si="0"/>
        <v>1</v>
      </c>
      <c r="F112" s="103"/>
      <c r="G112" s="103"/>
      <c r="H112" s="103"/>
      <c r="I112" s="448"/>
      <c r="J112" s="447"/>
      <c r="K112" s="439"/>
      <c r="L112" s="423"/>
    </row>
    <row r="113" spans="2:12" ht="15" customHeight="1">
      <c r="B113" s="519"/>
      <c r="C113" s="456" t="str">
        <f>+M13&amp;L20</f>
        <v>Tee PVC SP Ø = 1 1/2"</v>
      </c>
      <c r="D113" s="20" t="s">
        <v>58</v>
      </c>
      <c r="E113" s="105">
        <f t="shared" si="0"/>
        <v>1</v>
      </c>
      <c r="F113" s="103"/>
      <c r="G113" s="103"/>
      <c r="H113" s="103"/>
      <c r="I113" s="448"/>
      <c r="J113" s="447"/>
      <c r="K113" s="439"/>
      <c r="L113" s="423"/>
    </row>
    <row r="114" spans="2:12" ht="15" customHeight="1">
      <c r="B114" s="519"/>
      <c r="C114" s="456" t="str">
        <f>+M14&amp;L20</f>
        <v>Tapón macho F°G° Ø = 1 1/2"</v>
      </c>
      <c r="D114" s="20" t="s">
        <v>58</v>
      </c>
      <c r="E114" s="105">
        <f t="shared" si="0"/>
        <v>1</v>
      </c>
      <c r="F114" s="103"/>
      <c r="G114" s="103"/>
      <c r="H114" s="103"/>
      <c r="I114" s="448"/>
      <c r="J114" s="447"/>
      <c r="K114" s="439"/>
      <c r="L114" s="423"/>
    </row>
    <row r="115" spans="2:12" ht="15" customHeight="1">
      <c r="B115" s="519"/>
      <c r="C115" s="456" t="str">
        <f>+M15&amp;L20</f>
        <v>Tuberia PVC C-10 Ø = 1 1/2"</v>
      </c>
      <c r="D115" s="20" t="s">
        <v>0</v>
      </c>
      <c r="E115" s="105">
        <f t="shared" si="0"/>
        <v>3</v>
      </c>
      <c r="F115" s="103"/>
      <c r="G115" s="103"/>
      <c r="H115" s="103"/>
      <c r="I115" s="448"/>
      <c r="J115" s="447"/>
      <c r="K115" s="439"/>
      <c r="L115" s="423"/>
    </row>
    <row r="116" spans="2:12" ht="15" customHeight="1">
      <c r="B116" s="519"/>
      <c r="C116" s="456" t="s">
        <v>654</v>
      </c>
      <c r="D116" s="20" t="s">
        <v>58</v>
      </c>
      <c r="E116" s="105">
        <v>2</v>
      </c>
      <c r="F116" s="103"/>
      <c r="G116" s="103"/>
      <c r="H116" s="103"/>
      <c r="I116" s="448"/>
      <c r="J116" s="447"/>
      <c r="K116" s="439"/>
      <c r="L116" s="423"/>
    </row>
    <row r="117" spans="2:12" ht="15" customHeight="1">
      <c r="B117" s="519"/>
      <c r="C117" s="456"/>
      <c r="D117" s="20"/>
      <c r="E117" s="105"/>
      <c r="F117" s="103"/>
      <c r="G117" s="103"/>
      <c r="H117" s="103"/>
      <c r="I117" s="448"/>
      <c r="J117" s="447"/>
      <c r="K117" s="439"/>
      <c r="L117" s="423"/>
    </row>
    <row r="118" spans="2:12" ht="15" customHeight="1">
      <c r="B118" s="518" t="str">
        <f>B$19 &amp; ".01.09"</f>
        <v>01.08.01.09</v>
      </c>
      <c r="C118" s="454" t="s">
        <v>151</v>
      </c>
      <c r="D118" s="196"/>
      <c r="E118" s="21">
        <f>+$E$19</f>
        <v>2</v>
      </c>
      <c r="F118" s="364"/>
      <c r="G118" s="246"/>
      <c r="H118" s="246"/>
      <c r="I118" s="246"/>
      <c r="J118" s="452"/>
    </row>
    <row r="119" spans="2:12" ht="36" customHeight="1">
      <c r="B119" s="517" t="str">
        <f>B$118 &amp; ".01"</f>
        <v>01.08.01.09.01</v>
      </c>
      <c r="C119" s="449" t="s">
        <v>443</v>
      </c>
      <c r="D119" s="20" t="s">
        <v>58</v>
      </c>
      <c r="E119" s="105">
        <v>1</v>
      </c>
      <c r="F119" s="103"/>
      <c r="G119" s="103"/>
      <c r="H119" s="103"/>
      <c r="I119" s="448">
        <f>+ROUND(PRODUCT(E119:H119),3)</f>
        <v>1</v>
      </c>
      <c r="J119" s="447">
        <f>I119*$E$118</f>
        <v>2</v>
      </c>
    </row>
    <row r="120" spans="2:12" ht="15" customHeight="1" thickBot="1">
      <c r="B120" s="516"/>
      <c r="C120" s="515"/>
      <c r="D120" s="514"/>
      <c r="E120" s="513"/>
      <c r="F120" s="512"/>
      <c r="G120" s="512"/>
      <c r="H120" s="512"/>
      <c r="I120" s="512"/>
      <c r="J120" s="511"/>
    </row>
    <row r="121" spans="2:12" ht="15" customHeight="1"/>
    <row r="122" spans="2:12" ht="15" customHeight="1"/>
    <row r="123" spans="2:12" ht="15" customHeight="1"/>
  </sheetData>
  <mergeCells count="9">
    <mergeCell ref="B1:J1"/>
    <mergeCell ref="B3:J3"/>
    <mergeCell ref="B2:J2"/>
    <mergeCell ref="L42:N42"/>
    <mergeCell ref="L23:N23"/>
    <mergeCell ref="L29:N29"/>
    <mergeCell ref="C5:H16"/>
    <mergeCell ref="L37:N37"/>
    <mergeCell ref="L38:N38"/>
  </mergeCells>
  <dataValidations count="1">
    <dataValidation type="list" allowBlank="1" showInputMessage="1" showErrorMessage="1" sqref="E86" xr:uid="{00000000-0002-0000-0000-000000000000}">
      <formula1>$E$139:$E$147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headerFooter>
    <oddFooter>Página &amp;P&amp;R&amp;A</oddFooter>
  </headerFooter>
  <rowBreaks count="1" manualBreakCount="1">
    <brk id="86" min="1" max="9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5E35-6156-476E-B2D6-FB93514C7753}">
  <sheetPr codeName="Hoja11"/>
  <dimension ref="A1:S228"/>
  <sheetViews>
    <sheetView view="pageBreakPreview" topLeftCell="A16" zoomScaleNormal="100" zoomScaleSheetLayoutView="100" zoomScalePageLayoutView="85" workbookViewId="0">
      <selection activeCell="N18" sqref="N18"/>
    </sheetView>
  </sheetViews>
  <sheetFormatPr baseColWidth="10" defaultColWidth="11.5" defaultRowHeight="15"/>
  <cols>
    <col min="1" max="1" width="8.83203125" style="405" customWidth="1"/>
    <col min="2" max="2" width="8.33203125" style="405" customWidth="1"/>
    <col min="3" max="3" width="9.5" style="405" customWidth="1"/>
    <col min="4" max="9" width="6" style="405" customWidth="1"/>
    <col min="10" max="12" width="11.5" style="405"/>
    <col min="13" max="13" width="17.33203125" style="405" customWidth="1"/>
    <col min="14" max="16384" width="11.5" style="405"/>
  </cols>
  <sheetData>
    <row r="1" spans="1:19" ht="15.75" thickBot="1"/>
    <row r="2" spans="1:19" ht="19.5" thickBot="1">
      <c r="A2" s="1016" t="s">
        <v>745</v>
      </c>
      <c r="B2" s="1017"/>
      <c r="C2" s="1017"/>
      <c r="D2" s="1017"/>
      <c r="E2" s="1017"/>
      <c r="F2" s="1017"/>
      <c r="G2" s="1017"/>
      <c r="H2" s="1017"/>
      <c r="I2" s="1017"/>
      <c r="J2" s="1017"/>
      <c r="K2" s="1017"/>
      <c r="L2" s="1017"/>
      <c r="M2" s="1017"/>
      <c r="N2" s="1017"/>
      <c r="O2" s="1017"/>
      <c r="P2" s="1017"/>
      <c r="Q2" s="1017"/>
      <c r="R2" s="1017"/>
      <c r="S2" s="1018"/>
    </row>
    <row r="3" spans="1:19" ht="29.25" customHeight="1" thickBot="1">
      <c r="A3" s="1102" t="s">
        <v>1086</v>
      </c>
      <c r="B3" s="1103"/>
      <c r="C3" s="1103"/>
      <c r="D3" s="1103"/>
      <c r="E3" s="1103"/>
      <c r="F3" s="1103"/>
      <c r="G3" s="1103"/>
      <c r="H3" s="1103"/>
      <c r="I3" s="1103"/>
      <c r="J3" s="1103"/>
      <c r="K3" s="1103"/>
      <c r="L3" s="1103"/>
      <c r="M3" s="1103"/>
      <c r="N3" s="1103"/>
      <c r="O3" s="1103"/>
      <c r="P3" s="1103"/>
      <c r="Q3" s="1103"/>
      <c r="R3" s="1103"/>
      <c r="S3" s="1104"/>
    </row>
    <row r="4" spans="1:19" ht="19.5" thickBot="1">
      <c r="A4" s="1019" t="s">
        <v>744</v>
      </c>
      <c r="B4" s="1020"/>
      <c r="C4" s="1020"/>
      <c r="D4" s="1020"/>
      <c r="E4" s="1020"/>
      <c r="F4" s="1020"/>
      <c r="G4" s="1020"/>
      <c r="H4" s="1020"/>
      <c r="I4" s="1020"/>
      <c r="J4" s="1020"/>
      <c r="K4" s="1020"/>
      <c r="L4" s="1020"/>
      <c r="M4" s="1020"/>
      <c r="N4" s="1020"/>
      <c r="O4" s="1020"/>
      <c r="P4" s="1020"/>
      <c r="Q4" s="1020"/>
      <c r="R4" s="1020"/>
      <c r="S4" s="1021"/>
    </row>
    <row r="5" spans="1:19">
      <c r="A5" s="590"/>
      <c r="B5" s="589"/>
      <c r="C5" s="589"/>
      <c r="D5" s="589"/>
      <c r="E5" s="589"/>
      <c r="F5" s="589"/>
      <c r="G5" s="589"/>
      <c r="H5" s="589"/>
      <c r="I5" s="589"/>
      <c r="J5" s="589"/>
      <c r="K5" s="589"/>
      <c r="L5" s="589"/>
      <c r="M5" s="589"/>
      <c r="N5" s="589"/>
      <c r="O5" s="589"/>
      <c r="P5" s="589"/>
      <c r="Q5" s="589"/>
      <c r="R5" s="589"/>
      <c r="S5" s="588"/>
    </row>
    <row r="6" spans="1:19" hidden="1">
      <c r="A6" s="587" t="str">
        <f>+'[26]Captación Dique'!B140</f>
        <v>01.03.04.03</v>
      </c>
      <c r="B6" s="586"/>
      <c r="C6" s="586"/>
      <c r="D6" s="585" t="str">
        <f>+'[26]Captación Dique'!C140</f>
        <v>ACERO f'y=4200 kg/cm2</v>
      </c>
      <c r="E6" s="584"/>
      <c r="F6" s="584"/>
      <c r="G6" s="584"/>
      <c r="H6" s="584"/>
      <c r="I6" s="584"/>
      <c r="J6" s="546"/>
      <c r="K6" s="546"/>
      <c r="L6" s="546"/>
      <c r="M6" s="546"/>
      <c r="N6" s="546"/>
      <c r="O6" s="546"/>
      <c r="P6" s="546"/>
      <c r="Q6" s="546"/>
      <c r="R6" s="546"/>
      <c r="S6" s="583"/>
    </row>
    <row r="7" spans="1:19" ht="15.75" thickBot="1">
      <c r="A7" s="582"/>
      <c r="B7" s="581"/>
      <c r="C7" s="581"/>
      <c r="D7" s="581"/>
      <c r="E7" s="581"/>
      <c r="F7" s="581"/>
      <c r="G7" s="581"/>
      <c r="H7" s="581"/>
      <c r="I7" s="581"/>
      <c r="J7" s="581"/>
      <c r="K7" s="581"/>
      <c r="L7" s="581"/>
      <c r="M7" s="581"/>
      <c r="N7" s="581"/>
      <c r="O7" s="581"/>
      <c r="P7" s="581"/>
      <c r="Q7" s="581"/>
      <c r="R7" s="581"/>
      <c r="S7" s="580"/>
    </row>
    <row r="8" spans="1:19">
      <c r="A8" s="1105" t="s">
        <v>2</v>
      </c>
      <c r="B8" s="1106"/>
      <c r="C8" s="1107"/>
      <c r="D8" s="1111" t="s">
        <v>270</v>
      </c>
      <c r="E8" s="1112"/>
      <c r="F8" s="1112"/>
      <c r="G8" s="1112"/>
      <c r="H8" s="1112"/>
      <c r="I8" s="1112"/>
      <c r="J8" s="1113" t="s">
        <v>743</v>
      </c>
      <c r="K8" s="1113" t="s">
        <v>742</v>
      </c>
      <c r="L8" s="1113" t="s">
        <v>741</v>
      </c>
      <c r="M8" s="1113" t="s">
        <v>740</v>
      </c>
      <c r="N8" s="1115" t="s">
        <v>739</v>
      </c>
      <c r="O8" s="1115"/>
      <c r="P8" s="1115"/>
      <c r="Q8" s="1115"/>
      <c r="R8" s="1115"/>
      <c r="S8" s="1115"/>
    </row>
    <row r="9" spans="1:19" ht="15.75" thickBot="1">
      <c r="A9" s="1108"/>
      <c r="B9" s="1109"/>
      <c r="C9" s="1110"/>
      <c r="D9" s="1111"/>
      <c r="E9" s="1112"/>
      <c r="F9" s="1112"/>
      <c r="G9" s="1112"/>
      <c r="H9" s="1112"/>
      <c r="I9" s="1112"/>
      <c r="J9" s="1114"/>
      <c r="K9" s="1113"/>
      <c r="L9" s="1113"/>
      <c r="M9" s="1113"/>
      <c r="N9" s="579" t="s">
        <v>738</v>
      </c>
      <c r="O9" s="579" t="s">
        <v>692</v>
      </c>
      <c r="P9" s="579" t="s">
        <v>710</v>
      </c>
      <c r="Q9" s="579" t="s">
        <v>737</v>
      </c>
      <c r="R9" s="579" t="s">
        <v>736</v>
      </c>
      <c r="S9" s="579" t="s">
        <v>735</v>
      </c>
    </row>
    <row r="10" spans="1:19" ht="15.75" thickTop="1">
      <c r="A10" s="1099" t="s">
        <v>734</v>
      </c>
      <c r="B10" s="1092" t="s">
        <v>733</v>
      </c>
      <c r="C10" s="1092" t="s">
        <v>732</v>
      </c>
      <c r="D10" s="565"/>
      <c r="E10" s="564"/>
      <c r="F10" s="564"/>
      <c r="G10" s="564"/>
      <c r="H10" s="564"/>
      <c r="I10" s="564"/>
      <c r="J10" s="563"/>
      <c r="K10" s="563"/>
      <c r="L10" s="563"/>
      <c r="M10" s="563"/>
      <c r="N10" s="563"/>
      <c r="O10" s="563"/>
      <c r="P10" s="563"/>
      <c r="Q10" s="563"/>
      <c r="R10" s="563"/>
      <c r="S10" s="563"/>
    </row>
    <row r="11" spans="1:19">
      <c r="A11" s="1100"/>
      <c r="B11" s="1079"/>
      <c r="C11" s="1079"/>
      <c r="D11" s="540"/>
      <c r="E11" s="539"/>
      <c r="F11" s="539"/>
      <c r="G11" s="539"/>
      <c r="H11" s="539"/>
      <c r="I11" s="539"/>
      <c r="J11" s="541"/>
      <c r="K11" s="537"/>
      <c r="L11" s="537"/>
      <c r="M11" s="537"/>
      <c r="N11" s="537"/>
      <c r="O11" s="537"/>
      <c r="P11" s="537"/>
      <c r="Q11" s="537"/>
      <c r="R11" s="537"/>
      <c r="S11" s="537"/>
    </row>
    <row r="12" spans="1:19">
      <c r="A12" s="1100"/>
      <c r="B12" s="1079"/>
      <c r="C12" s="1079"/>
      <c r="D12" s="540"/>
      <c r="E12" s="546"/>
      <c r="F12" s="539">
        <v>0.95</v>
      </c>
      <c r="G12" s="539"/>
      <c r="H12" s="539"/>
      <c r="I12" s="539"/>
      <c r="J12" s="537" t="s">
        <v>692</v>
      </c>
      <c r="K12" s="538">
        <v>4</v>
      </c>
      <c r="L12" s="538">
        <v>4</v>
      </c>
      <c r="M12" s="537">
        <f>+F12+G14</f>
        <v>1.1499999999999999</v>
      </c>
      <c r="N12" s="537">
        <f t="shared" ref="N12:S12" si="0">IF(+$J12=N$9,+$K12*$L12*$M12,0)</f>
        <v>0</v>
      </c>
      <c r="O12" s="537">
        <f t="shared" si="0"/>
        <v>18.399999999999999</v>
      </c>
      <c r="P12" s="537">
        <f t="shared" si="0"/>
        <v>0</v>
      </c>
      <c r="Q12" s="537">
        <f t="shared" si="0"/>
        <v>0</v>
      </c>
      <c r="R12" s="537">
        <f t="shared" si="0"/>
        <v>0</v>
      </c>
      <c r="S12" s="537">
        <f t="shared" si="0"/>
        <v>0</v>
      </c>
    </row>
    <row r="13" spans="1:19">
      <c r="A13" s="1100"/>
      <c r="B13" s="1079"/>
      <c r="C13" s="1079"/>
      <c r="D13" s="540"/>
      <c r="E13" s="546"/>
      <c r="F13" s="539"/>
      <c r="G13" s="539"/>
      <c r="H13" s="539"/>
      <c r="I13" s="539"/>
      <c r="J13" s="537"/>
      <c r="K13" s="538"/>
      <c r="L13" s="538"/>
      <c r="M13" s="537"/>
      <c r="N13" s="537"/>
      <c r="O13" s="537"/>
      <c r="P13" s="537"/>
      <c r="Q13" s="537"/>
      <c r="R13" s="537"/>
      <c r="S13" s="537"/>
    </row>
    <row r="14" spans="1:19" ht="15.75" thickBot="1">
      <c r="A14" s="1100"/>
      <c r="B14" s="1079"/>
      <c r="C14" s="1079"/>
      <c r="D14" s="540"/>
      <c r="E14" s="539"/>
      <c r="F14" s="546"/>
      <c r="G14" s="539">
        <v>0.2</v>
      </c>
      <c r="H14" s="539"/>
      <c r="I14" s="539"/>
      <c r="J14" s="541"/>
      <c r="K14" s="538"/>
      <c r="L14" s="538"/>
      <c r="M14" s="537"/>
      <c r="N14" s="537"/>
      <c r="O14" s="537"/>
      <c r="P14" s="537"/>
      <c r="Q14" s="537"/>
      <c r="R14" s="537"/>
      <c r="S14" s="537"/>
    </row>
    <row r="15" spans="1:19" ht="15.75" thickTop="1">
      <c r="A15" s="1100"/>
      <c r="B15" s="1079"/>
      <c r="C15" s="1092" t="s">
        <v>725</v>
      </c>
      <c r="D15" s="545"/>
      <c r="E15" s="544"/>
      <c r="F15" s="544">
        <v>0.2</v>
      </c>
      <c r="G15" s="544"/>
      <c r="H15" s="544"/>
      <c r="I15" s="544"/>
      <c r="J15" s="542"/>
      <c r="K15" s="542"/>
      <c r="L15" s="542"/>
      <c r="M15" s="542"/>
      <c r="N15" s="542"/>
      <c r="O15" s="542"/>
      <c r="P15" s="542"/>
      <c r="Q15" s="542"/>
      <c r="R15" s="542"/>
      <c r="S15" s="542"/>
    </row>
    <row r="16" spans="1:19">
      <c r="A16" s="1100"/>
      <c r="B16" s="1079"/>
      <c r="C16" s="1079"/>
      <c r="D16" s="540"/>
      <c r="E16" s="539">
        <v>0.2</v>
      </c>
      <c r="F16" s="1094">
        <v>0.7</v>
      </c>
      <c r="G16" s="1094"/>
      <c r="I16" s="539"/>
      <c r="J16" s="541"/>
      <c r="K16" s="541"/>
      <c r="L16" s="541"/>
      <c r="M16" s="541"/>
      <c r="N16" s="541"/>
      <c r="O16" s="541"/>
      <c r="P16" s="541"/>
      <c r="Q16" s="541"/>
      <c r="R16" s="541"/>
      <c r="S16" s="541"/>
    </row>
    <row r="17" spans="1:19">
      <c r="A17" s="1100"/>
      <c r="B17" s="1079"/>
      <c r="C17" s="1079"/>
      <c r="D17" s="540"/>
      <c r="E17" s="546"/>
      <c r="F17" s="539">
        <v>0.7</v>
      </c>
      <c r="G17" s="539"/>
      <c r="H17" s="539">
        <v>0.7</v>
      </c>
      <c r="I17" s="539"/>
      <c r="J17" s="537" t="s">
        <v>692</v>
      </c>
      <c r="K17" s="538">
        <v>1</v>
      </c>
      <c r="L17" s="538">
        <v>4</v>
      </c>
      <c r="M17" s="537">
        <f>+F19+H17+E16+F15+F16+F17</f>
        <v>3.2</v>
      </c>
      <c r="N17" s="537">
        <f t="shared" ref="N17:S17" si="1">IF(+$J17=N$9,+$K17*$L17*$M17,0)</f>
        <v>0</v>
      </c>
      <c r="O17" s="537">
        <f t="shared" si="1"/>
        <v>12.8</v>
      </c>
      <c r="P17" s="537">
        <f t="shared" si="1"/>
        <v>0</v>
      </c>
      <c r="Q17" s="537">
        <f t="shared" si="1"/>
        <v>0</v>
      </c>
      <c r="R17" s="537">
        <f t="shared" si="1"/>
        <v>0</v>
      </c>
      <c r="S17" s="537">
        <f t="shared" si="1"/>
        <v>0</v>
      </c>
    </row>
    <row r="18" spans="1:19">
      <c r="A18" s="1100"/>
      <c r="B18" s="1079"/>
      <c r="C18" s="1079"/>
      <c r="D18" s="540"/>
      <c r="E18" s="539"/>
      <c r="H18" s="539"/>
      <c r="I18" s="539"/>
      <c r="J18" s="541"/>
      <c r="K18" s="538"/>
      <c r="L18" s="538"/>
      <c r="M18" s="537"/>
      <c r="N18" s="537"/>
      <c r="O18" s="537"/>
      <c r="P18" s="537"/>
      <c r="Q18" s="537"/>
      <c r="R18" s="537"/>
      <c r="S18" s="537"/>
    </row>
    <row r="19" spans="1:19">
      <c r="A19" s="1100"/>
      <c r="B19" s="1079"/>
      <c r="C19" s="1079"/>
      <c r="D19" s="540"/>
      <c r="E19" s="539"/>
      <c r="F19" s="1086">
        <v>0.7</v>
      </c>
      <c r="G19" s="1086"/>
      <c r="H19" s="539"/>
      <c r="I19" s="539"/>
      <c r="J19" s="541"/>
      <c r="K19" s="538"/>
      <c r="L19" s="538"/>
      <c r="M19" s="537"/>
      <c r="N19" s="537"/>
      <c r="O19" s="537"/>
      <c r="P19" s="537"/>
      <c r="Q19" s="537"/>
      <c r="R19" s="537"/>
      <c r="S19" s="537"/>
    </row>
    <row r="20" spans="1:19">
      <c r="A20" s="1100"/>
      <c r="B20" s="1079"/>
      <c r="C20" s="1095" t="s">
        <v>731</v>
      </c>
      <c r="D20" s="545"/>
      <c r="E20" s="544"/>
      <c r="F20" s="544"/>
      <c r="G20" s="544"/>
      <c r="H20" s="544"/>
      <c r="I20" s="544"/>
      <c r="J20" s="542"/>
      <c r="K20" s="542"/>
      <c r="L20" s="542"/>
      <c r="M20" s="542"/>
      <c r="N20" s="542"/>
      <c r="O20" s="542"/>
      <c r="P20" s="542"/>
      <c r="Q20" s="542"/>
      <c r="R20" s="542"/>
      <c r="S20" s="542"/>
    </row>
    <row r="21" spans="1:19">
      <c r="A21" s="1100"/>
      <c r="B21" s="1079"/>
      <c r="C21" s="1096"/>
      <c r="D21" s="540"/>
      <c r="E21" s="546"/>
      <c r="F21" s="539"/>
      <c r="G21" s="539"/>
      <c r="H21" s="546"/>
      <c r="I21" s="539"/>
      <c r="J21" s="537"/>
      <c r="K21" s="538"/>
      <c r="L21" s="538"/>
      <c r="M21" s="537"/>
      <c r="N21" s="537"/>
      <c r="O21" s="537"/>
      <c r="P21" s="537"/>
      <c r="Q21" s="537"/>
      <c r="R21" s="537"/>
      <c r="S21" s="537"/>
    </row>
    <row r="22" spans="1:19">
      <c r="A22" s="1100"/>
      <c r="B22" s="1079"/>
      <c r="C22" s="1096"/>
      <c r="D22" s="540"/>
      <c r="E22" s="546"/>
      <c r="F22" s="1093">
        <v>0.92</v>
      </c>
      <c r="G22" s="1093"/>
      <c r="H22" s="546"/>
      <c r="I22" s="539"/>
      <c r="J22" s="537" t="s">
        <v>692</v>
      </c>
      <c r="K22" s="538">
        <v>4</v>
      </c>
      <c r="L22" s="538">
        <v>4</v>
      </c>
      <c r="M22" s="537">
        <f>+F22</f>
        <v>0.92</v>
      </c>
      <c r="N22" s="537">
        <f t="shared" ref="N22:S22" si="2">IF(+$J22=N$9,+$K22*$L22*$M22,0)</f>
        <v>0</v>
      </c>
      <c r="O22" s="537">
        <f t="shared" si="2"/>
        <v>14.72</v>
      </c>
      <c r="P22" s="537">
        <f t="shared" si="2"/>
        <v>0</v>
      </c>
      <c r="Q22" s="537">
        <f t="shared" si="2"/>
        <v>0</v>
      </c>
      <c r="R22" s="537">
        <f t="shared" si="2"/>
        <v>0</v>
      </c>
      <c r="S22" s="537">
        <f t="shared" si="2"/>
        <v>0</v>
      </c>
    </row>
    <row r="23" spans="1:19">
      <c r="A23" s="1100"/>
      <c r="B23" s="1079"/>
      <c r="C23" s="1096"/>
      <c r="D23" s="540"/>
      <c r="E23" s="539"/>
      <c r="F23" s="546"/>
      <c r="G23" s="546"/>
      <c r="H23" s="539"/>
      <c r="I23" s="539"/>
      <c r="J23" s="541"/>
      <c r="K23" s="538"/>
      <c r="L23" s="538"/>
      <c r="M23" s="537"/>
      <c r="N23" s="537"/>
      <c r="O23" s="537"/>
      <c r="P23" s="537"/>
      <c r="Q23" s="537"/>
      <c r="R23" s="537"/>
      <c r="S23" s="537"/>
    </row>
    <row r="24" spans="1:19">
      <c r="A24" s="1100"/>
      <c r="B24" s="1079"/>
      <c r="C24" s="1097"/>
      <c r="D24" s="551"/>
      <c r="E24" s="550"/>
      <c r="F24" s="569"/>
      <c r="G24" s="569"/>
      <c r="H24" s="550"/>
      <c r="I24" s="550"/>
      <c r="J24" s="549"/>
      <c r="K24" s="548"/>
      <c r="L24" s="548"/>
      <c r="M24" s="547"/>
      <c r="N24" s="547"/>
      <c r="O24" s="547"/>
      <c r="P24" s="547"/>
      <c r="Q24" s="547"/>
      <c r="R24" s="547"/>
      <c r="S24" s="547"/>
    </row>
    <row r="25" spans="1:19" ht="0.2" customHeight="1">
      <c r="A25" s="1100"/>
      <c r="B25" s="1079"/>
      <c r="C25" s="1095" t="s">
        <v>730</v>
      </c>
      <c r="D25" s="545"/>
      <c r="E25" s="544"/>
      <c r="F25" s="544"/>
      <c r="G25" s="544"/>
      <c r="H25" s="544"/>
      <c r="I25" s="544"/>
      <c r="J25" s="542"/>
      <c r="K25" s="542"/>
      <c r="L25" s="542"/>
      <c r="M25" s="542"/>
      <c r="N25" s="542"/>
      <c r="O25" s="542"/>
      <c r="P25" s="542"/>
      <c r="Q25" s="542"/>
      <c r="R25" s="542"/>
      <c r="S25" s="542"/>
    </row>
    <row r="26" spans="1:19" ht="0.2" customHeight="1">
      <c r="A26" s="1100"/>
      <c r="B26" s="1079"/>
      <c r="C26" s="1096"/>
      <c r="D26" s="540"/>
      <c r="E26" s="546"/>
      <c r="F26" s="539"/>
      <c r="G26" s="539"/>
      <c r="H26" s="546"/>
      <c r="I26" s="539"/>
      <c r="J26" s="537"/>
      <c r="K26" s="538"/>
      <c r="L26" s="538"/>
      <c r="M26" s="537"/>
      <c r="N26" s="537"/>
      <c r="O26" s="537"/>
      <c r="P26" s="537"/>
      <c r="Q26" s="537"/>
      <c r="R26" s="537"/>
      <c r="S26" s="537"/>
    </row>
    <row r="27" spans="1:19" ht="0.2" customHeight="1">
      <c r="A27" s="1100"/>
      <c r="B27" s="1079"/>
      <c r="C27" s="1096"/>
      <c r="D27" s="540"/>
      <c r="E27" s="546"/>
      <c r="F27" s="1093">
        <v>4.4400000000000004</v>
      </c>
      <c r="G27" s="1093"/>
      <c r="H27" s="546"/>
      <c r="I27" s="539"/>
      <c r="J27" s="537" t="s">
        <v>692</v>
      </c>
      <c r="K27" s="538">
        <v>0</v>
      </c>
      <c r="L27" s="538">
        <v>3</v>
      </c>
      <c r="M27" s="537">
        <f>+F27+H26+E26</f>
        <v>4.4400000000000004</v>
      </c>
      <c r="N27" s="537">
        <f t="shared" ref="N27:S27" si="3">IF(+$J27=N$9,+$K27*$L27*$M27,0)</f>
        <v>0</v>
      </c>
      <c r="O27" s="537">
        <f t="shared" si="3"/>
        <v>0</v>
      </c>
      <c r="P27" s="537">
        <f t="shared" si="3"/>
        <v>0</v>
      </c>
      <c r="Q27" s="537">
        <f t="shared" si="3"/>
        <v>0</v>
      </c>
      <c r="R27" s="537">
        <f t="shared" si="3"/>
        <v>0</v>
      </c>
      <c r="S27" s="537">
        <f t="shared" si="3"/>
        <v>0</v>
      </c>
    </row>
    <row r="28" spans="1:19" ht="0.2" customHeight="1">
      <c r="A28" s="1100"/>
      <c r="B28" s="1079"/>
      <c r="C28" s="1096"/>
      <c r="D28" s="540"/>
      <c r="E28" s="539"/>
      <c r="F28" s="546"/>
      <c r="G28" s="546"/>
      <c r="H28" s="539"/>
      <c r="I28" s="539"/>
      <c r="J28" s="541"/>
      <c r="K28" s="538"/>
      <c r="L28" s="538"/>
      <c r="M28" s="537"/>
      <c r="N28" s="537"/>
      <c r="O28" s="537"/>
      <c r="P28" s="537"/>
      <c r="Q28" s="537"/>
      <c r="R28" s="537"/>
      <c r="S28" s="537"/>
    </row>
    <row r="29" spans="1:19" ht="0.2" customHeight="1">
      <c r="A29" s="1100"/>
      <c r="B29" s="1079"/>
      <c r="C29" s="1097"/>
      <c r="D29" s="551"/>
      <c r="E29" s="550"/>
      <c r="F29" s="569"/>
      <c r="G29" s="569"/>
      <c r="H29" s="550"/>
      <c r="I29" s="550"/>
      <c r="J29" s="549"/>
      <c r="K29" s="548"/>
      <c r="L29" s="548"/>
      <c r="M29" s="547"/>
      <c r="N29" s="547"/>
      <c r="O29" s="547"/>
      <c r="P29" s="547"/>
      <c r="Q29" s="547"/>
      <c r="R29" s="547"/>
      <c r="S29" s="547"/>
    </row>
    <row r="30" spans="1:19" ht="0.2" customHeight="1">
      <c r="A30" s="1100"/>
      <c r="B30" s="1079"/>
      <c r="C30" s="1078" t="s">
        <v>727</v>
      </c>
      <c r="D30" s="545"/>
      <c r="E30" s="544"/>
      <c r="F30" s="544"/>
      <c r="G30" s="544"/>
      <c r="H30" s="544"/>
      <c r="I30" s="544"/>
      <c r="J30" s="542"/>
      <c r="K30" s="542"/>
      <c r="L30" s="542"/>
      <c r="M30" s="542"/>
      <c r="N30" s="542"/>
      <c r="O30" s="542"/>
      <c r="P30" s="542"/>
      <c r="Q30" s="542"/>
      <c r="R30" s="542"/>
      <c r="S30" s="542"/>
    </row>
    <row r="31" spans="1:19" ht="0.2" customHeight="1">
      <c r="A31" s="1100"/>
      <c r="B31" s="1079"/>
      <c r="C31" s="1079"/>
      <c r="D31" s="540"/>
      <c r="E31" s="546"/>
      <c r="F31" s="539"/>
      <c r="G31" s="539"/>
      <c r="H31" s="546"/>
      <c r="I31" s="539"/>
      <c r="J31" s="537"/>
      <c r="K31" s="538"/>
      <c r="L31" s="538"/>
      <c r="M31" s="537"/>
      <c r="N31" s="537"/>
      <c r="O31" s="537"/>
      <c r="P31" s="537"/>
      <c r="Q31" s="537"/>
      <c r="R31" s="537"/>
      <c r="S31" s="537"/>
    </row>
    <row r="32" spans="1:19" ht="0.2" customHeight="1">
      <c r="A32" s="1100"/>
      <c r="B32" s="1079"/>
      <c r="C32" s="1079"/>
      <c r="D32" s="540"/>
      <c r="E32" s="546"/>
      <c r="F32" s="1093">
        <v>2.98</v>
      </c>
      <c r="G32" s="1093"/>
      <c r="H32" s="546"/>
      <c r="I32" s="539"/>
      <c r="J32" s="537" t="s">
        <v>692</v>
      </c>
      <c r="K32" s="538">
        <v>0</v>
      </c>
      <c r="L32" s="538">
        <v>4</v>
      </c>
      <c r="M32" s="537">
        <f>+F32</f>
        <v>2.98</v>
      </c>
      <c r="N32" s="537">
        <f t="shared" ref="N32:S32" si="4">IF(+$J32=N$9,+$K32*$L32*$M32,0)</f>
        <v>0</v>
      </c>
      <c r="O32" s="537">
        <f t="shared" si="4"/>
        <v>0</v>
      </c>
      <c r="P32" s="537">
        <f t="shared" si="4"/>
        <v>0</v>
      </c>
      <c r="Q32" s="537">
        <f t="shared" si="4"/>
        <v>0</v>
      </c>
      <c r="R32" s="537">
        <f t="shared" si="4"/>
        <v>0</v>
      </c>
      <c r="S32" s="537">
        <f t="shared" si="4"/>
        <v>0</v>
      </c>
    </row>
    <row r="33" spans="1:19" ht="0.2" customHeight="1">
      <c r="A33" s="1100"/>
      <c r="B33" s="1079"/>
      <c r="C33" s="1079"/>
      <c r="D33" s="540"/>
      <c r="E33" s="539"/>
      <c r="F33" s="546"/>
      <c r="G33" s="546"/>
      <c r="H33" s="539"/>
      <c r="I33" s="539"/>
      <c r="J33" s="541"/>
      <c r="K33" s="538"/>
      <c r="L33" s="538"/>
      <c r="M33" s="537"/>
      <c r="N33" s="537"/>
      <c r="O33" s="537"/>
      <c r="P33" s="537"/>
      <c r="Q33" s="537"/>
      <c r="R33" s="537"/>
      <c r="S33" s="537"/>
    </row>
    <row r="34" spans="1:19" ht="0.2" customHeight="1">
      <c r="A34" s="1100"/>
      <c r="B34" s="1079"/>
      <c r="C34" s="1080"/>
      <c r="D34" s="551"/>
      <c r="E34" s="550"/>
      <c r="F34" s="569"/>
      <c r="G34" s="569"/>
      <c r="H34" s="550"/>
      <c r="I34" s="550"/>
      <c r="J34" s="549"/>
      <c r="K34" s="548"/>
      <c r="L34" s="548"/>
      <c r="M34" s="547"/>
      <c r="N34" s="547"/>
      <c r="O34" s="547"/>
      <c r="P34" s="547"/>
      <c r="Q34" s="547"/>
      <c r="R34" s="547"/>
      <c r="S34" s="547"/>
    </row>
    <row r="35" spans="1:19" ht="0.2" customHeight="1">
      <c r="A35" s="1100"/>
      <c r="B35" s="1079"/>
      <c r="C35" s="1078" t="s">
        <v>726</v>
      </c>
      <c r="D35" s="545"/>
      <c r="E35" s="544"/>
      <c r="F35" s="568"/>
      <c r="G35" s="568"/>
      <c r="H35" s="544"/>
      <c r="I35" s="544"/>
      <c r="J35" s="542"/>
      <c r="K35" s="542"/>
      <c r="L35" s="542"/>
      <c r="M35" s="542"/>
      <c r="N35" s="542"/>
      <c r="O35" s="542"/>
      <c r="P35" s="542"/>
      <c r="Q35" s="542"/>
      <c r="R35" s="542"/>
      <c r="S35" s="542"/>
    </row>
    <row r="36" spans="1:19" ht="0.2" customHeight="1">
      <c r="A36" s="1100"/>
      <c r="B36" s="1079"/>
      <c r="C36" s="1079"/>
      <c r="D36" s="540"/>
      <c r="E36" s="546"/>
      <c r="F36" s="567"/>
      <c r="G36" s="567"/>
      <c r="H36" s="546"/>
      <c r="I36" s="539"/>
      <c r="J36" s="537"/>
      <c r="K36" s="538"/>
      <c r="L36" s="538"/>
      <c r="M36" s="537"/>
      <c r="N36" s="537"/>
      <c r="O36" s="537"/>
      <c r="P36" s="537"/>
      <c r="Q36" s="537"/>
      <c r="R36" s="537"/>
      <c r="S36" s="537"/>
    </row>
    <row r="37" spans="1:19" ht="0.2" customHeight="1">
      <c r="A37" s="1100"/>
      <c r="B37" s="1079"/>
      <c r="C37" s="1079"/>
      <c r="D37" s="540"/>
      <c r="E37" s="546"/>
      <c r="F37" s="1093">
        <v>4.4400000000000004</v>
      </c>
      <c r="G37" s="1093"/>
      <c r="H37" s="546"/>
      <c r="I37" s="539"/>
      <c r="J37" s="537" t="s">
        <v>692</v>
      </c>
      <c r="K37" s="538">
        <v>0</v>
      </c>
      <c r="L37" s="538">
        <v>3</v>
      </c>
      <c r="M37" s="537">
        <f>+F37</f>
        <v>4.4400000000000004</v>
      </c>
      <c r="N37" s="537">
        <f t="shared" ref="N37:S37" si="5">IF(+$J37=N$9,+$K37*$L37*$M37,0)</f>
        <v>0</v>
      </c>
      <c r="O37" s="537">
        <f t="shared" si="5"/>
        <v>0</v>
      </c>
      <c r="P37" s="537">
        <f t="shared" si="5"/>
        <v>0</v>
      </c>
      <c r="Q37" s="537">
        <f t="shared" si="5"/>
        <v>0</v>
      </c>
      <c r="R37" s="537">
        <f t="shared" si="5"/>
        <v>0</v>
      </c>
      <c r="S37" s="537">
        <f t="shared" si="5"/>
        <v>0</v>
      </c>
    </row>
    <row r="38" spans="1:19" ht="0.2" customHeight="1">
      <c r="A38" s="1100"/>
      <c r="B38" s="1079"/>
      <c r="C38" s="1079"/>
      <c r="D38" s="540"/>
      <c r="E38" s="539"/>
      <c r="F38" s="546"/>
      <c r="G38" s="546"/>
      <c r="H38" s="539"/>
      <c r="I38" s="539"/>
      <c r="J38" s="537"/>
      <c r="K38" s="538"/>
      <c r="L38" s="538"/>
      <c r="M38" s="537"/>
      <c r="N38" s="537"/>
      <c r="O38" s="537"/>
      <c r="P38" s="537"/>
      <c r="Q38" s="537"/>
      <c r="R38" s="537"/>
      <c r="S38" s="537"/>
    </row>
    <row r="39" spans="1:19" ht="0.2" customHeight="1">
      <c r="A39" s="1100"/>
      <c r="B39" s="1080"/>
      <c r="C39" s="1080"/>
      <c r="D39" s="551"/>
      <c r="E39" s="550"/>
      <c r="F39" s="550"/>
      <c r="G39" s="550"/>
      <c r="H39" s="550"/>
      <c r="I39" s="550"/>
      <c r="J39" s="549"/>
      <c r="K39" s="548"/>
      <c r="L39" s="548"/>
      <c r="M39" s="547"/>
      <c r="N39" s="547"/>
      <c r="O39" s="547"/>
      <c r="P39" s="547"/>
      <c r="Q39" s="547"/>
      <c r="R39" s="547"/>
      <c r="S39" s="547"/>
    </row>
    <row r="40" spans="1:19" ht="0.2" customHeight="1">
      <c r="A40" s="1100"/>
      <c r="B40" s="1079" t="s">
        <v>729</v>
      </c>
      <c r="C40" s="1079" t="s">
        <v>728</v>
      </c>
      <c r="D40" s="540"/>
      <c r="E40" s="539"/>
      <c r="F40" s="539"/>
      <c r="G40" s="539"/>
      <c r="H40" s="539"/>
      <c r="I40" s="539"/>
      <c r="J40" s="541"/>
      <c r="K40" s="541"/>
      <c r="L40" s="541"/>
      <c r="M40" s="541"/>
      <c r="N40" s="541"/>
      <c r="O40" s="541"/>
      <c r="P40" s="541"/>
      <c r="Q40" s="541"/>
      <c r="R40" s="541"/>
      <c r="S40" s="541"/>
    </row>
    <row r="41" spans="1:19" ht="0.2" customHeight="1">
      <c r="A41" s="1100"/>
      <c r="B41" s="1079"/>
      <c r="C41" s="1079"/>
      <c r="D41" s="540"/>
      <c r="E41" s="539"/>
      <c r="F41" s="539"/>
      <c r="G41" s="539"/>
      <c r="H41" s="539"/>
      <c r="I41" s="539"/>
      <c r="J41" s="541"/>
      <c r="K41" s="537"/>
      <c r="L41" s="537"/>
      <c r="M41" s="537"/>
      <c r="N41" s="537"/>
      <c r="O41" s="537"/>
      <c r="P41" s="537"/>
      <c r="Q41" s="537"/>
      <c r="R41" s="537"/>
      <c r="S41" s="537"/>
    </row>
    <row r="42" spans="1:19" ht="0.2" customHeight="1">
      <c r="A42" s="1100"/>
      <c r="B42" s="1079"/>
      <c r="C42" s="1079"/>
      <c r="D42" s="540"/>
      <c r="E42" s="546"/>
      <c r="F42" s="539">
        <v>1.23</v>
      </c>
      <c r="G42" s="539"/>
      <c r="H42" s="539"/>
      <c r="I42" s="539"/>
      <c r="J42" s="537" t="s">
        <v>710</v>
      </c>
      <c r="K42" s="538">
        <v>0</v>
      </c>
      <c r="L42" s="538">
        <v>4</v>
      </c>
      <c r="M42" s="537">
        <f>+F42+G44</f>
        <v>1.33</v>
      </c>
      <c r="N42" s="537">
        <f t="shared" ref="N42:S42" si="6">IF(+$J42=N$9,+$K42*$L42*$M42,0)</f>
        <v>0</v>
      </c>
      <c r="O42" s="537">
        <f t="shared" si="6"/>
        <v>0</v>
      </c>
      <c r="P42" s="537">
        <f t="shared" si="6"/>
        <v>0</v>
      </c>
      <c r="Q42" s="537">
        <f t="shared" si="6"/>
        <v>0</v>
      </c>
      <c r="R42" s="537">
        <f t="shared" si="6"/>
        <v>0</v>
      </c>
      <c r="S42" s="537">
        <f t="shared" si="6"/>
        <v>0</v>
      </c>
    </row>
    <row r="43" spans="1:19" ht="0.2" customHeight="1">
      <c r="A43" s="1100"/>
      <c r="B43" s="1079"/>
      <c r="C43" s="1079"/>
      <c r="D43" s="540"/>
      <c r="E43" s="546"/>
      <c r="F43" s="539"/>
      <c r="G43" s="539"/>
      <c r="H43" s="539"/>
      <c r="I43" s="539"/>
      <c r="J43" s="537"/>
      <c r="K43" s="538"/>
      <c r="L43" s="538"/>
      <c r="M43" s="537"/>
      <c r="N43" s="537"/>
      <c r="O43" s="537"/>
      <c r="P43" s="537"/>
      <c r="Q43" s="537"/>
      <c r="R43" s="537"/>
      <c r="S43" s="537"/>
    </row>
    <row r="44" spans="1:19" ht="0.2" customHeight="1">
      <c r="A44" s="1100"/>
      <c r="B44" s="1079"/>
      <c r="C44" s="1079"/>
      <c r="D44" s="540"/>
      <c r="E44" s="539"/>
      <c r="F44" s="546"/>
      <c r="G44" s="539">
        <v>0.1</v>
      </c>
      <c r="H44" s="539"/>
      <c r="I44" s="539"/>
      <c r="J44" s="541"/>
      <c r="K44" s="538"/>
      <c r="L44" s="538"/>
      <c r="M44" s="537"/>
      <c r="N44" s="537"/>
      <c r="O44" s="537"/>
      <c r="P44" s="537"/>
      <c r="Q44" s="537"/>
      <c r="R44" s="537"/>
      <c r="S44" s="537"/>
    </row>
    <row r="45" spans="1:19" ht="0.2" customHeight="1">
      <c r="A45" s="1100"/>
      <c r="B45" s="1079"/>
      <c r="C45" s="1078" t="s">
        <v>725</v>
      </c>
      <c r="D45" s="545"/>
      <c r="E45" s="544"/>
      <c r="F45" s="544"/>
      <c r="G45" s="544"/>
      <c r="H45" s="544"/>
      <c r="I45" s="544"/>
      <c r="J45" s="542"/>
      <c r="K45" s="542"/>
      <c r="L45" s="542"/>
      <c r="M45" s="542"/>
      <c r="N45" s="542"/>
      <c r="O45" s="542"/>
      <c r="P45" s="542"/>
      <c r="Q45" s="542"/>
      <c r="R45" s="542"/>
      <c r="S45" s="542"/>
    </row>
    <row r="46" spans="1:19" ht="0.2" customHeight="1">
      <c r="A46" s="1100"/>
      <c r="B46" s="1079"/>
      <c r="C46" s="1079"/>
      <c r="D46" s="540"/>
      <c r="E46" s="539"/>
      <c r="F46" s="539"/>
      <c r="G46" s="539"/>
      <c r="H46" s="539"/>
      <c r="I46" s="539"/>
      <c r="J46" s="541"/>
      <c r="K46" s="541"/>
      <c r="L46" s="541"/>
      <c r="M46" s="541"/>
      <c r="N46" s="541"/>
      <c r="O46" s="541"/>
      <c r="P46" s="541"/>
      <c r="Q46" s="541"/>
      <c r="R46" s="541"/>
      <c r="S46" s="541"/>
    </row>
    <row r="47" spans="1:19" ht="0.2" customHeight="1">
      <c r="A47" s="1100"/>
      <c r="B47" s="1079"/>
      <c r="C47" s="1079"/>
      <c r="D47" s="540"/>
      <c r="E47" s="546"/>
      <c r="F47" s="539"/>
      <c r="G47" s="539"/>
      <c r="H47" s="546"/>
      <c r="I47" s="539"/>
      <c r="J47" s="537" t="s">
        <v>692</v>
      </c>
      <c r="K47" s="538">
        <v>0</v>
      </c>
      <c r="L47" s="538">
        <v>7</v>
      </c>
      <c r="M47" s="537">
        <f>+F48</f>
        <v>0.83899999999999997</v>
      </c>
      <c r="N47" s="537">
        <f t="shared" ref="N47:S47" si="7">IF(+$J47=N$9,+$K47*$L47*$M47,0)</f>
        <v>0</v>
      </c>
      <c r="O47" s="537">
        <f t="shared" si="7"/>
        <v>0</v>
      </c>
      <c r="P47" s="537">
        <f t="shared" si="7"/>
        <v>0</v>
      </c>
      <c r="Q47" s="537">
        <f t="shared" si="7"/>
        <v>0</v>
      </c>
      <c r="R47" s="537">
        <f t="shared" si="7"/>
        <v>0</v>
      </c>
      <c r="S47" s="537">
        <f t="shared" si="7"/>
        <v>0</v>
      </c>
    </row>
    <row r="48" spans="1:19" ht="0.2" customHeight="1">
      <c r="A48" s="1100"/>
      <c r="B48" s="1079"/>
      <c r="C48" s="1079"/>
      <c r="D48" s="540"/>
      <c r="E48" s="539"/>
      <c r="F48" s="1086">
        <v>0.83899999999999997</v>
      </c>
      <c r="G48" s="1086"/>
      <c r="H48" s="539"/>
      <c r="I48" s="539"/>
      <c r="J48" s="541"/>
      <c r="K48" s="538"/>
      <c r="L48" s="538"/>
      <c r="M48" s="537"/>
      <c r="N48" s="537"/>
      <c r="O48" s="537"/>
      <c r="P48" s="537"/>
      <c r="Q48" s="537"/>
      <c r="R48" s="537"/>
      <c r="S48" s="537"/>
    </row>
    <row r="49" spans="1:19" ht="0.2" customHeight="1">
      <c r="A49" s="1100"/>
      <c r="B49" s="1079"/>
      <c r="C49" s="1079"/>
      <c r="D49" s="540"/>
      <c r="E49" s="539"/>
      <c r="F49" s="539"/>
      <c r="G49" s="550"/>
      <c r="H49" s="539"/>
      <c r="I49" s="539"/>
      <c r="J49" s="541"/>
      <c r="K49" s="538"/>
      <c r="L49" s="538"/>
      <c r="M49" s="537"/>
      <c r="N49" s="537"/>
      <c r="O49" s="537"/>
      <c r="P49" s="537"/>
      <c r="Q49" s="537"/>
      <c r="R49" s="537"/>
      <c r="S49" s="537"/>
    </row>
    <row r="50" spans="1:19" ht="0.2" customHeight="1">
      <c r="A50" s="1100"/>
      <c r="B50" s="1079"/>
      <c r="C50" s="1078" t="s">
        <v>727</v>
      </c>
      <c r="D50" s="545"/>
      <c r="E50" s="544"/>
      <c r="F50" s="544"/>
      <c r="G50" s="544"/>
      <c r="H50" s="544"/>
      <c r="I50" s="544"/>
      <c r="J50" s="542"/>
      <c r="K50" s="542"/>
      <c r="L50" s="542"/>
      <c r="M50" s="542"/>
      <c r="N50" s="542"/>
      <c r="O50" s="542"/>
      <c r="P50" s="542"/>
      <c r="Q50" s="542"/>
      <c r="R50" s="542"/>
      <c r="S50" s="542"/>
    </row>
    <row r="51" spans="1:19" ht="0.2" customHeight="1">
      <c r="A51" s="1100"/>
      <c r="B51" s="1079"/>
      <c r="C51" s="1079"/>
      <c r="D51" s="540"/>
      <c r="E51" s="546"/>
      <c r="F51" s="539"/>
      <c r="G51" s="539"/>
      <c r="H51" s="546"/>
      <c r="I51" s="539"/>
      <c r="J51" s="537"/>
      <c r="K51" s="538"/>
      <c r="L51" s="538"/>
      <c r="M51" s="537"/>
      <c r="N51" s="537"/>
      <c r="O51" s="537"/>
      <c r="P51" s="537"/>
      <c r="Q51" s="537"/>
      <c r="R51" s="537"/>
      <c r="S51" s="537"/>
    </row>
    <row r="52" spans="1:19" ht="0.2" customHeight="1">
      <c r="A52" s="1100"/>
      <c r="B52" s="1079"/>
      <c r="C52" s="1079"/>
      <c r="D52" s="540"/>
      <c r="E52" s="546"/>
      <c r="F52" s="546"/>
      <c r="G52" s="546"/>
      <c r="H52" s="546"/>
      <c r="I52" s="539"/>
      <c r="J52" s="537" t="s">
        <v>710</v>
      </c>
      <c r="K52" s="538">
        <v>0</v>
      </c>
      <c r="L52" s="538">
        <v>6</v>
      </c>
      <c r="M52" s="537">
        <f>+F53</f>
        <v>0.83899999999999997</v>
      </c>
      <c r="N52" s="537">
        <f t="shared" ref="N52:S52" si="8">IF(+$J52=N$9,+$K52*$L52*$M52,0)</f>
        <v>0</v>
      </c>
      <c r="O52" s="537">
        <f t="shared" si="8"/>
        <v>0</v>
      </c>
      <c r="P52" s="537">
        <f t="shared" si="8"/>
        <v>0</v>
      </c>
      <c r="Q52" s="537">
        <f t="shared" si="8"/>
        <v>0</v>
      </c>
      <c r="R52" s="537">
        <f t="shared" si="8"/>
        <v>0</v>
      </c>
      <c r="S52" s="537">
        <f t="shared" si="8"/>
        <v>0</v>
      </c>
    </row>
    <row r="53" spans="1:19" ht="0.2" customHeight="1">
      <c r="A53" s="1100"/>
      <c r="B53" s="1079"/>
      <c r="C53" s="1079"/>
      <c r="D53" s="540"/>
      <c r="E53" s="539"/>
      <c r="F53" s="1093">
        <f>+F48</f>
        <v>0.83899999999999997</v>
      </c>
      <c r="G53" s="1093"/>
      <c r="H53" s="539"/>
      <c r="I53" s="539"/>
      <c r="J53" s="541"/>
      <c r="K53" s="538"/>
      <c r="L53" s="538"/>
      <c r="M53" s="537"/>
      <c r="N53" s="537"/>
      <c r="O53" s="537"/>
      <c r="P53" s="537"/>
      <c r="Q53" s="537"/>
      <c r="R53" s="537"/>
      <c r="S53" s="537"/>
    </row>
    <row r="54" spans="1:19" ht="0.2" customHeight="1">
      <c r="A54" s="1100"/>
      <c r="B54" s="1079"/>
      <c r="C54" s="1080"/>
      <c r="D54" s="551"/>
      <c r="E54" s="550"/>
      <c r="F54" s="569"/>
      <c r="G54" s="569"/>
      <c r="H54" s="550"/>
      <c r="I54" s="550"/>
      <c r="J54" s="549"/>
      <c r="K54" s="548"/>
      <c r="L54" s="548"/>
      <c r="M54" s="547"/>
      <c r="N54" s="547"/>
      <c r="O54" s="547"/>
      <c r="P54" s="547"/>
      <c r="Q54" s="547"/>
      <c r="R54" s="547"/>
      <c r="S54" s="547"/>
    </row>
    <row r="55" spans="1:19" ht="0.2" customHeight="1">
      <c r="A55" s="1100"/>
      <c r="B55" s="1079"/>
      <c r="C55" s="1078" t="s">
        <v>726</v>
      </c>
      <c r="D55" s="545"/>
      <c r="E55" s="544"/>
      <c r="F55" s="568"/>
      <c r="G55" s="568"/>
      <c r="H55" s="544"/>
      <c r="I55" s="544"/>
      <c r="J55" s="542"/>
      <c r="K55" s="542"/>
      <c r="L55" s="542"/>
      <c r="M55" s="542"/>
      <c r="N55" s="542"/>
      <c r="O55" s="542"/>
      <c r="P55" s="542"/>
      <c r="Q55" s="542"/>
      <c r="R55" s="542"/>
      <c r="S55" s="542"/>
    </row>
    <row r="56" spans="1:19" ht="0.2" customHeight="1">
      <c r="A56" s="1100"/>
      <c r="B56" s="1079"/>
      <c r="C56" s="1079"/>
      <c r="D56" s="540"/>
      <c r="E56" s="546"/>
      <c r="F56" s="567"/>
      <c r="G56" s="567"/>
      <c r="H56" s="546"/>
      <c r="I56" s="539"/>
      <c r="J56" s="537"/>
      <c r="K56" s="538"/>
      <c r="L56" s="538"/>
      <c r="M56" s="537"/>
      <c r="N56" s="537"/>
      <c r="O56" s="537"/>
      <c r="P56" s="537"/>
      <c r="Q56" s="537"/>
      <c r="R56" s="537"/>
      <c r="S56" s="537"/>
    </row>
    <row r="57" spans="1:19" ht="0.2" customHeight="1">
      <c r="A57" s="1100"/>
      <c r="B57" s="1079"/>
      <c r="C57" s="1079"/>
      <c r="D57" s="540"/>
      <c r="E57" s="546"/>
      <c r="F57" s="1093">
        <v>0.91</v>
      </c>
      <c r="G57" s="1093"/>
      <c r="H57" s="546"/>
      <c r="I57" s="539"/>
      <c r="J57" s="537" t="s">
        <v>710</v>
      </c>
      <c r="K57" s="538">
        <v>0</v>
      </c>
      <c r="L57" s="538">
        <f>+L42</f>
        <v>4</v>
      </c>
      <c r="M57" s="537">
        <f>+F57</f>
        <v>0.91</v>
      </c>
      <c r="N57" s="537">
        <f t="shared" ref="N57:S57" si="9">IF(+$J57=N$9,+$K57*$L57*$M57,0)</f>
        <v>0</v>
      </c>
      <c r="O57" s="537">
        <f t="shared" si="9"/>
        <v>0</v>
      </c>
      <c r="P57" s="537">
        <f t="shared" si="9"/>
        <v>0</v>
      </c>
      <c r="Q57" s="537">
        <f t="shared" si="9"/>
        <v>0</v>
      </c>
      <c r="R57" s="537">
        <f t="shared" si="9"/>
        <v>0</v>
      </c>
      <c r="S57" s="537">
        <f t="shared" si="9"/>
        <v>0</v>
      </c>
    </row>
    <row r="58" spans="1:19" ht="0.2" customHeight="1">
      <c r="A58" s="1100"/>
      <c r="B58" s="1079"/>
      <c r="C58" s="1079"/>
      <c r="D58" s="540"/>
      <c r="E58" s="539"/>
      <c r="F58" s="546"/>
      <c r="G58" s="546"/>
      <c r="H58" s="539"/>
      <c r="I58" s="539"/>
      <c r="J58" s="537"/>
      <c r="K58" s="538"/>
      <c r="L58" s="538"/>
      <c r="M58" s="537"/>
      <c r="N58" s="537"/>
      <c r="O58" s="537"/>
      <c r="P58" s="537"/>
      <c r="Q58" s="537"/>
      <c r="R58" s="537"/>
      <c r="S58" s="537"/>
    </row>
    <row r="59" spans="1:19" ht="0.2" customHeight="1" thickBot="1">
      <c r="A59" s="1101"/>
      <c r="B59" s="1081"/>
      <c r="C59" s="1081"/>
      <c r="D59" s="536"/>
      <c r="E59" s="535"/>
      <c r="F59" s="535"/>
      <c r="G59" s="535"/>
      <c r="H59" s="535"/>
      <c r="I59" s="535"/>
      <c r="J59" s="534"/>
      <c r="K59" s="533"/>
      <c r="L59" s="533"/>
      <c r="M59" s="532"/>
      <c r="N59" s="532"/>
      <c r="O59" s="532"/>
      <c r="P59" s="532"/>
      <c r="Q59" s="532"/>
      <c r="R59" s="532"/>
      <c r="S59" s="532"/>
    </row>
    <row r="60" spans="1:19" ht="0.2" customHeight="1" thickTop="1">
      <c r="A60" s="1083"/>
      <c r="B60" s="1079"/>
      <c r="C60" s="1092"/>
      <c r="D60" s="565"/>
      <c r="E60" s="564"/>
      <c r="F60" s="578"/>
      <c r="G60" s="564">
        <v>0.13700000000000001</v>
      </c>
      <c r="H60" s="564"/>
      <c r="I60" s="564"/>
      <c r="J60" s="563"/>
      <c r="K60" s="577"/>
      <c r="L60" s="577"/>
      <c r="M60" s="577"/>
      <c r="N60" s="577"/>
      <c r="O60" s="577"/>
      <c r="P60" s="577"/>
      <c r="Q60" s="577"/>
      <c r="R60" s="577"/>
      <c r="S60" s="577"/>
    </row>
    <row r="61" spans="1:19" ht="0.2" customHeight="1">
      <c r="A61" s="1083"/>
      <c r="B61" s="1079"/>
      <c r="C61" s="1079"/>
      <c r="D61" s="540"/>
      <c r="E61" s="539"/>
      <c r="F61" s="539"/>
      <c r="G61" s="539"/>
      <c r="H61" s="539"/>
      <c r="I61" s="539"/>
      <c r="J61" s="541"/>
      <c r="K61" s="537"/>
      <c r="L61" s="537"/>
      <c r="M61" s="537"/>
      <c r="N61" s="537"/>
      <c r="O61" s="537"/>
      <c r="P61" s="537"/>
      <c r="Q61" s="537"/>
      <c r="R61" s="537"/>
      <c r="S61" s="537"/>
    </row>
    <row r="62" spans="1:19" ht="0.2" customHeight="1">
      <c r="A62" s="1083"/>
      <c r="B62" s="1079"/>
      <c r="C62" s="1079"/>
      <c r="D62" s="540"/>
      <c r="E62" s="546"/>
      <c r="F62" s="539">
        <v>1.101</v>
      </c>
      <c r="G62" s="539"/>
      <c r="H62" s="539"/>
      <c r="I62" s="539"/>
      <c r="J62" s="537" t="s">
        <v>710</v>
      </c>
      <c r="K62" s="538">
        <v>0</v>
      </c>
      <c r="L62" s="538">
        <v>7</v>
      </c>
      <c r="M62" s="537">
        <f>+F62+F64+G60</f>
        <v>1.488</v>
      </c>
      <c r="N62" s="537">
        <f t="shared" ref="N62:S62" si="10">IF(+$J62=N$9,+$K62*$L62*$M62,0)</f>
        <v>0</v>
      </c>
      <c r="O62" s="537">
        <f t="shared" si="10"/>
        <v>0</v>
      </c>
      <c r="P62" s="537">
        <f t="shared" si="10"/>
        <v>0</v>
      </c>
      <c r="Q62" s="537">
        <f t="shared" si="10"/>
        <v>0</v>
      </c>
      <c r="R62" s="537">
        <f t="shared" si="10"/>
        <v>0</v>
      </c>
      <c r="S62" s="537">
        <f t="shared" si="10"/>
        <v>0</v>
      </c>
    </row>
    <row r="63" spans="1:19" ht="0.2" customHeight="1">
      <c r="A63" s="1083"/>
      <c r="B63" s="1079"/>
      <c r="C63" s="1079"/>
      <c r="D63" s="540"/>
      <c r="E63" s="546"/>
      <c r="F63" s="539"/>
      <c r="G63" s="539"/>
      <c r="H63" s="539"/>
      <c r="I63" s="539"/>
      <c r="J63" s="537"/>
      <c r="K63" s="538"/>
      <c r="L63" s="538"/>
      <c r="M63" s="537"/>
      <c r="N63" s="537"/>
      <c r="O63" s="537"/>
      <c r="P63" s="537"/>
      <c r="Q63" s="537"/>
      <c r="R63" s="537"/>
      <c r="S63" s="537"/>
    </row>
    <row r="64" spans="1:19" ht="0.2" customHeight="1">
      <c r="A64" s="1083"/>
      <c r="B64" s="1079"/>
      <c r="C64" s="1080"/>
      <c r="D64" s="551"/>
      <c r="E64" s="550"/>
      <c r="F64" s="550">
        <v>0.25</v>
      </c>
      <c r="G64" s="576"/>
      <c r="H64" s="550"/>
      <c r="I64" s="550"/>
      <c r="J64" s="549"/>
      <c r="K64" s="548"/>
      <c r="L64" s="548"/>
      <c r="M64" s="547"/>
      <c r="N64" s="547"/>
      <c r="O64" s="547"/>
      <c r="P64" s="547"/>
      <c r="Q64" s="547"/>
      <c r="R64" s="547"/>
      <c r="S64" s="547"/>
    </row>
    <row r="65" spans="1:19" ht="0.2" customHeight="1">
      <c r="A65" s="1083"/>
      <c r="B65" s="1098"/>
      <c r="C65" s="575"/>
      <c r="D65" s="540"/>
      <c r="E65" s="539"/>
      <c r="F65" s="539"/>
      <c r="G65" s="546"/>
      <c r="H65" s="539"/>
      <c r="I65" s="539"/>
      <c r="J65" s="574"/>
      <c r="K65" s="573"/>
      <c r="L65" s="573"/>
      <c r="M65" s="540"/>
      <c r="N65" s="540"/>
      <c r="O65" s="540"/>
      <c r="P65" s="540"/>
      <c r="Q65" s="540"/>
      <c r="R65" s="540"/>
      <c r="S65" s="537"/>
    </row>
    <row r="66" spans="1:19" ht="0.2" customHeight="1">
      <c r="A66" s="1083"/>
      <c r="B66" s="1079"/>
      <c r="C66" s="1079" t="s">
        <v>725</v>
      </c>
      <c r="D66" s="540"/>
      <c r="E66" s="539"/>
      <c r="F66" s="539"/>
      <c r="G66" s="539"/>
      <c r="H66" s="539"/>
      <c r="I66" s="539"/>
      <c r="J66" s="541"/>
      <c r="K66" s="541"/>
      <c r="L66" s="541"/>
      <c r="M66" s="541"/>
      <c r="N66" s="541"/>
      <c r="O66" s="541"/>
      <c r="P66" s="541"/>
      <c r="Q66" s="541"/>
      <c r="R66" s="541"/>
      <c r="S66" s="541"/>
    </row>
    <row r="67" spans="1:19" ht="0.2" customHeight="1">
      <c r="A67" s="1083"/>
      <c r="B67" s="1079"/>
      <c r="C67" s="1079"/>
      <c r="D67" s="540"/>
      <c r="E67" s="546"/>
      <c r="F67" s="1086">
        <v>1.26</v>
      </c>
      <c r="G67" s="1086"/>
      <c r="H67" s="546"/>
      <c r="I67" s="539"/>
      <c r="J67" s="537" t="s">
        <v>710</v>
      </c>
      <c r="K67" s="538">
        <v>0</v>
      </c>
      <c r="L67" s="538">
        <v>11</v>
      </c>
      <c r="M67" s="537">
        <f>+F67</f>
        <v>1.26</v>
      </c>
      <c r="N67" s="537">
        <f t="shared" ref="N67:S67" si="11">IF(+$J67=N$9,+$K67*$L67*$M67,0)</f>
        <v>0</v>
      </c>
      <c r="O67" s="537">
        <f t="shared" si="11"/>
        <v>0</v>
      </c>
      <c r="P67" s="537">
        <f t="shared" si="11"/>
        <v>0</v>
      </c>
      <c r="Q67" s="537">
        <f t="shared" si="11"/>
        <v>0</v>
      </c>
      <c r="R67" s="537">
        <f t="shared" si="11"/>
        <v>0</v>
      </c>
      <c r="S67" s="537">
        <f t="shared" si="11"/>
        <v>0</v>
      </c>
    </row>
    <row r="68" spans="1:19" ht="0.2" customHeight="1">
      <c r="A68" s="1083"/>
      <c r="B68" s="1079"/>
      <c r="C68" s="1079"/>
      <c r="D68" s="540"/>
      <c r="E68" s="539"/>
      <c r="F68" s="546"/>
      <c r="G68" s="546"/>
      <c r="H68" s="539"/>
      <c r="I68" s="539"/>
      <c r="J68" s="541"/>
      <c r="K68" s="538"/>
      <c r="L68" s="538"/>
      <c r="M68" s="537"/>
      <c r="N68" s="537"/>
      <c r="O68" s="537"/>
      <c r="P68" s="537"/>
      <c r="Q68" s="537"/>
      <c r="R68" s="537"/>
      <c r="S68" s="537"/>
    </row>
    <row r="69" spans="1:19" ht="0.2" customHeight="1">
      <c r="A69" s="1083"/>
      <c r="B69" s="1079"/>
      <c r="C69" s="1079"/>
      <c r="D69" s="540"/>
      <c r="E69" s="539"/>
      <c r="F69" s="539"/>
      <c r="G69" s="539"/>
      <c r="H69" s="539"/>
      <c r="I69" s="539"/>
      <c r="J69" s="541"/>
      <c r="K69" s="538"/>
      <c r="L69" s="538"/>
      <c r="M69" s="537"/>
      <c r="N69" s="537"/>
      <c r="O69" s="537"/>
      <c r="P69" s="537"/>
      <c r="Q69" s="537"/>
      <c r="R69" s="537"/>
      <c r="S69" s="537"/>
    </row>
    <row r="70" spans="1:19" ht="0.2" customHeight="1">
      <c r="A70" s="1083"/>
      <c r="B70" s="1079"/>
      <c r="C70" s="1078" t="s">
        <v>724</v>
      </c>
      <c r="D70" s="545"/>
      <c r="E70" s="544"/>
      <c r="F70" s="544"/>
      <c r="G70" s="572">
        <v>0.2</v>
      </c>
      <c r="H70" s="544"/>
      <c r="I70" s="544"/>
      <c r="J70" s="542"/>
      <c r="K70" s="542"/>
      <c r="L70" s="542"/>
      <c r="M70" s="542"/>
      <c r="N70" s="542"/>
      <c r="O70" s="542"/>
      <c r="P70" s="542"/>
      <c r="Q70" s="542"/>
      <c r="R70" s="542"/>
      <c r="S70" s="542"/>
    </row>
    <row r="71" spans="1:19" ht="0.2" customHeight="1">
      <c r="A71" s="1083"/>
      <c r="B71" s="1079"/>
      <c r="C71" s="1079"/>
      <c r="D71" s="540"/>
      <c r="E71" s="546"/>
      <c r="F71" s="539"/>
      <c r="G71" s="539"/>
      <c r="H71" s="546"/>
      <c r="I71" s="539"/>
      <c r="J71" s="537"/>
      <c r="K71" s="538"/>
      <c r="L71" s="538"/>
      <c r="M71" s="537"/>
      <c r="N71" s="537"/>
      <c r="O71" s="537"/>
      <c r="P71" s="537"/>
      <c r="Q71" s="537"/>
      <c r="R71" s="537"/>
      <c r="S71" s="537"/>
    </row>
    <row r="72" spans="1:19" ht="0.2" customHeight="1">
      <c r="A72" s="1083"/>
      <c r="B72" s="1079"/>
      <c r="C72" s="1079"/>
      <c r="D72" s="540"/>
      <c r="E72" s="546"/>
      <c r="F72" s="1093">
        <f>+F67</f>
        <v>1.26</v>
      </c>
      <c r="G72" s="1093"/>
      <c r="H72" s="546"/>
      <c r="I72" s="539"/>
      <c r="J72" s="537" t="s">
        <v>710</v>
      </c>
      <c r="K72" s="538">
        <v>0</v>
      </c>
      <c r="L72" s="538">
        <v>7</v>
      </c>
      <c r="M72" s="537">
        <f>+F72+G70+G74</f>
        <v>1.96</v>
      </c>
      <c r="N72" s="537">
        <f t="shared" ref="N72:S72" si="12">IF(+$J72=N$9,+$K72*$L72*$M72,0)</f>
        <v>0</v>
      </c>
      <c r="O72" s="537">
        <f t="shared" si="12"/>
        <v>0</v>
      </c>
      <c r="P72" s="537">
        <f t="shared" si="12"/>
        <v>0</v>
      </c>
      <c r="Q72" s="537">
        <f t="shared" si="12"/>
        <v>0</v>
      </c>
      <c r="R72" s="537">
        <f t="shared" si="12"/>
        <v>0</v>
      </c>
      <c r="S72" s="537">
        <f t="shared" si="12"/>
        <v>0</v>
      </c>
    </row>
    <row r="73" spans="1:19" ht="0.2" customHeight="1">
      <c r="A73" s="1083"/>
      <c r="B73" s="1079"/>
      <c r="C73" s="1079"/>
      <c r="D73" s="540"/>
      <c r="E73" s="539"/>
      <c r="F73" s="546"/>
      <c r="G73" s="546"/>
      <c r="H73" s="539"/>
      <c r="I73" s="539"/>
      <c r="J73" s="541"/>
      <c r="K73" s="538"/>
      <c r="L73" s="538"/>
      <c r="M73" s="537"/>
      <c r="N73" s="537"/>
      <c r="O73" s="537"/>
      <c r="P73" s="537"/>
      <c r="Q73" s="537"/>
      <c r="R73" s="537"/>
      <c r="S73" s="537"/>
    </row>
    <row r="74" spans="1:19" ht="0.2" customHeight="1">
      <c r="A74" s="1083"/>
      <c r="B74" s="1079"/>
      <c r="C74" s="1080"/>
      <c r="D74" s="551"/>
      <c r="E74" s="550"/>
      <c r="F74" s="569"/>
      <c r="G74" s="571">
        <v>0.5</v>
      </c>
      <c r="H74" s="550"/>
      <c r="I74" s="550"/>
      <c r="J74" s="549"/>
      <c r="K74" s="548"/>
      <c r="L74" s="548"/>
      <c r="M74" s="547"/>
      <c r="N74" s="547"/>
      <c r="O74" s="547"/>
      <c r="P74" s="547"/>
      <c r="Q74" s="547"/>
      <c r="R74" s="547"/>
      <c r="S74" s="547"/>
    </row>
    <row r="75" spans="1:19" ht="0.2" customHeight="1">
      <c r="A75" s="1083"/>
      <c r="B75" s="1079"/>
      <c r="C75" s="1078" t="s">
        <v>723</v>
      </c>
      <c r="D75" s="545"/>
      <c r="E75" s="544"/>
      <c r="F75" s="568"/>
      <c r="G75" s="568"/>
      <c r="H75" s="544"/>
      <c r="I75" s="544"/>
      <c r="J75" s="542"/>
      <c r="K75" s="542"/>
      <c r="L75" s="542"/>
      <c r="M75" s="542"/>
      <c r="N75" s="542"/>
      <c r="O75" s="542"/>
      <c r="P75" s="542"/>
      <c r="Q75" s="542"/>
      <c r="R75" s="542"/>
      <c r="S75" s="542"/>
    </row>
    <row r="76" spans="1:19" ht="0.2" customHeight="1">
      <c r="A76" s="1083"/>
      <c r="B76" s="1079"/>
      <c r="C76" s="1079"/>
      <c r="D76" s="540"/>
      <c r="E76" s="546"/>
      <c r="F76" s="567"/>
      <c r="G76" s="567"/>
      <c r="H76" s="546"/>
      <c r="I76" s="539"/>
      <c r="J76" s="537"/>
      <c r="K76" s="538"/>
      <c r="L76" s="538"/>
      <c r="M76" s="537"/>
      <c r="N76" s="537"/>
      <c r="O76" s="537"/>
      <c r="P76" s="537"/>
      <c r="Q76" s="537"/>
      <c r="R76" s="537"/>
      <c r="S76" s="537"/>
    </row>
    <row r="77" spans="1:19" ht="0.2" customHeight="1">
      <c r="A77" s="1083"/>
      <c r="B77" s="1079"/>
      <c r="C77" s="1079"/>
      <c r="D77" s="540"/>
      <c r="E77" s="546"/>
      <c r="F77" s="1093">
        <v>0.69499999999999995</v>
      </c>
      <c r="G77" s="1093"/>
      <c r="H77" s="546"/>
      <c r="I77" s="539"/>
      <c r="J77" s="537" t="s">
        <v>710</v>
      </c>
      <c r="K77" s="538">
        <v>0</v>
      </c>
      <c r="L77" s="538">
        <v>4</v>
      </c>
      <c r="M77" s="537">
        <f>+F77</f>
        <v>0.69499999999999995</v>
      </c>
      <c r="N77" s="537">
        <f t="shared" ref="N77:S77" si="13">IF(+$J77=N$9,+$K77*$L77*$M77,0)</f>
        <v>0</v>
      </c>
      <c r="O77" s="537">
        <f t="shared" si="13"/>
        <v>0</v>
      </c>
      <c r="P77" s="537">
        <f t="shared" si="13"/>
        <v>0</v>
      </c>
      <c r="Q77" s="537">
        <f t="shared" si="13"/>
        <v>0</v>
      </c>
      <c r="R77" s="537">
        <f t="shared" si="13"/>
        <v>0</v>
      </c>
      <c r="S77" s="537">
        <f t="shared" si="13"/>
        <v>0</v>
      </c>
    </row>
    <row r="78" spans="1:19" ht="0.2" customHeight="1">
      <c r="A78" s="1083"/>
      <c r="B78" s="1079"/>
      <c r="C78" s="1079"/>
      <c r="D78" s="540"/>
      <c r="E78" s="539"/>
      <c r="F78" s="546"/>
      <c r="G78" s="546"/>
      <c r="H78" s="539"/>
      <c r="I78" s="539"/>
      <c r="J78" s="537"/>
      <c r="K78" s="538"/>
      <c r="L78" s="538"/>
      <c r="M78" s="537"/>
      <c r="N78" s="537"/>
      <c r="O78" s="537"/>
      <c r="P78" s="537"/>
      <c r="Q78" s="537"/>
      <c r="R78" s="537"/>
      <c r="S78" s="537"/>
    </row>
    <row r="79" spans="1:19" ht="0.2" customHeight="1">
      <c r="A79" s="1083"/>
      <c r="B79" s="1080"/>
      <c r="C79" s="1080"/>
      <c r="D79" s="551"/>
      <c r="E79" s="550"/>
      <c r="F79" s="550"/>
      <c r="G79" s="550"/>
      <c r="H79" s="550"/>
      <c r="I79" s="550"/>
      <c r="J79" s="549"/>
      <c r="K79" s="548"/>
      <c r="L79" s="548"/>
      <c r="M79" s="547"/>
      <c r="N79" s="547"/>
      <c r="O79" s="547"/>
      <c r="P79" s="547"/>
      <c r="Q79" s="547"/>
      <c r="R79" s="547"/>
      <c r="S79" s="547"/>
    </row>
    <row r="80" spans="1:19" ht="0.2" customHeight="1">
      <c r="A80" s="1083"/>
      <c r="B80" s="570"/>
      <c r="C80" s="1078" t="s">
        <v>722</v>
      </c>
      <c r="D80" s="545"/>
      <c r="E80" s="544"/>
      <c r="F80" s="568"/>
      <c r="G80" s="568"/>
      <c r="H80" s="544"/>
      <c r="I80" s="544"/>
      <c r="J80" s="542"/>
      <c r="K80" s="542"/>
      <c r="L80" s="542"/>
      <c r="M80" s="542"/>
      <c r="N80" s="542"/>
      <c r="O80" s="542"/>
      <c r="P80" s="542"/>
      <c r="Q80" s="542"/>
      <c r="R80" s="542"/>
      <c r="S80" s="542"/>
    </row>
    <row r="81" spans="1:19" ht="0.2" customHeight="1">
      <c r="A81" s="1083"/>
      <c r="B81" s="570"/>
      <c r="C81" s="1079"/>
      <c r="D81" s="540"/>
      <c r="E81" s="546"/>
      <c r="F81" s="567"/>
      <c r="G81" s="567"/>
      <c r="H81" s="546"/>
      <c r="I81" s="539"/>
      <c r="J81" s="537"/>
      <c r="K81" s="538"/>
      <c r="L81" s="538"/>
      <c r="M81" s="537"/>
      <c r="N81" s="537"/>
      <c r="O81" s="537"/>
      <c r="P81" s="537"/>
      <c r="Q81" s="537"/>
      <c r="R81" s="537"/>
      <c r="S81" s="537"/>
    </row>
    <row r="82" spans="1:19" ht="0.2" customHeight="1">
      <c r="A82" s="1083"/>
      <c r="B82" s="570"/>
      <c r="C82" s="1079"/>
      <c r="D82" s="540"/>
      <c r="E82" s="546"/>
      <c r="F82" s="1093">
        <v>0.76</v>
      </c>
      <c r="G82" s="1093"/>
      <c r="H82" s="546"/>
      <c r="I82" s="539"/>
      <c r="J82" s="537" t="s">
        <v>710</v>
      </c>
      <c r="K82" s="538">
        <v>0</v>
      </c>
      <c r="L82" s="538">
        <v>5</v>
      </c>
      <c r="M82" s="537">
        <f>+F82</f>
        <v>0.76</v>
      </c>
      <c r="N82" s="537">
        <f t="shared" ref="N82:S82" si="14">IF(+$J82=N$9,+$K82*$L82*$M82,0)</f>
        <v>0</v>
      </c>
      <c r="O82" s="537">
        <f t="shared" si="14"/>
        <v>0</v>
      </c>
      <c r="P82" s="537">
        <f t="shared" si="14"/>
        <v>0</v>
      </c>
      <c r="Q82" s="537">
        <f t="shared" si="14"/>
        <v>0</v>
      </c>
      <c r="R82" s="537">
        <f t="shared" si="14"/>
        <v>0</v>
      </c>
      <c r="S82" s="537">
        <f t="shared" si="14"/>
        <v>0</v>
      </c>
    </row>
    <row r="83" spans="1:19" ht="0.2" customHeight="1">
      <c r="A83" s="1083"/>
      <c r="B83" s="570"/>
      <c r="C83" s="1079"/>
      <c r="D83" s="540"/>
      <c r="E83" s="539"/>
      <c r="F83" s="546"/>
      <c r="G83" s="546"/>
      <c r="H83" s="539"/>
      <c r="I83" s="539"/>
      <c r="J83" s="537"/>
      <c r="K83" s="538"/>
      <c r="L83" s="538"/>
      <c r="M83" s="537"/>
      <c r="N83" s="537"/>
      <c r="O83" s="537"/>
      <c r="P83" s="537"/>
      <c r="Q83" s="537"/>
      <c r="R83" s="537"/>
      <c r="S83" s="537"/>
    </row>
    <row r="84" spans="1:19" ht="0.2" customHeight="1">
      <c r="A84" s="1083"/>
      <c r="B84" s="570"/>
      <c r="C84" s="1080"/>
      <c r="D84" s="551"/>
      <c r="E84" s="550"/>
      <c r="F84" s="550"/>
      <c r="G84" s="550"/>
      <c r="H84" s="550"/>
      <c r="I84" s="550"/>
      <c r="J84" s="549"/>
      <c r="K84" s="548"/>
      <c r="L84" s="548"/>
      <c r="M84" s="547"/>
      <c r="N84" s="547"/>
      <c r="O84" s="547"/>
      <c r="P84" s="547"/>
      <c r="Q84" s="547"/>
      <c r="R84" s="547"/>
      <c r="S84" s="547"/>
    </row>
    <row r="85" spans="1:19" ht="0.2" customHeight="1">
      <c r="A85" s="1083"/>
      <c r="B85" s="1079"/>
      <c r="C85" s="1079"/>
      <c r="D85" s="540"/>
      <c r="E85" s="539"/>
      <c r="F85" s="546"/>
      <c r="G85" s="539">
        <v>0.2</v>
      </c>
      <c r="H85" s="539"/>
      <c r="I85" s="539"/>
      <c r="J85" s="541"/>
      <c r="K85" s="537"/>
      <c r="L85" s="537"/>
      <c r="M85" s="537"/>
      <c r="N85" s="537"/>
      <c r="O85" s="537"/>
      <c r="P85" s="537"/>
      <c r="Q85" s="537"/>
      <c r="R85" s="537"/>
      <c r="S85" s="537"/>
    </row>
    <row r="86" spans="1:19" ht="0.2" customHeight="1">
      <c r="A86" s="1083"/>
      <c r="B86" s="1079"/>
      <c r="C86" s="1079"/>
      <c r="D86" s="540"/>
      <c r="E86" s="539"/>
      <c r="F86" s="539"/>
      <c r="G86" s="539"/>
      <c r="H86" s="539"/>
      <c r="I86" s="539"/>
      <c r="J86" s="541"/>
      <c r="K86" s="537"/>
      <c r="L86" s="537"/>
      <c r="M86" s="537"/>
      <c r="N86" s="537"/>
      <c r="O86" s="537"/>
      <c r="P86" s="537"/>
      <c r="Q86" s="537"/>
      <c r="R86" s="537"/>
      <c r="S86" s="537"/>
    </row>
    <row r="87" spans="1:19" ht="0.2" customHeight="1">
      <c r="A87" s="1083"/>
      <c r="B87" s="1079"/>
      <c r="C87" s="1079"/>
      <c r="D87" s="540"/>
      <c r="E87" s="546"/>
      <c r="F87" s="539">
        <v>0.2</v>
      </c>
      <c r="G87" s="539"/>
      <c r="H87" s="539"/>
      <c r="I87" s="539"/>
      <c r="J87" s="537" t="s">
        <v>692</v>
      </c>
      <c r="K87" s="538">
        <v>0</v>
      </c>
      <c r="L87" s="538">
        <v>4</v>
      </c>
      <c r="M87" s="537">
        <f>+F87+G89+G85</f>
        <v>0.4</v>
      </c>
      <c r="N87" s="537">
        <f t="shared" ref="N87:S87" si="15">IF(+$J87=N$9,+$K87*$L87*$M87,0)</f>
        <v>0</v>
      </c>
      <c r="O87" s="537">
        <f t="shared" si="15"/>
        <v>0</v>
      </c>
      <c r="P87" s="537">
        <f t="shared" si="15"/>
        <v>0</v>
      </c>
      <c r="Q87" s="537">
        <f t="shared" si="15"/>
        <v>0</v>
      </c>
      <c r="R87" s="537">
        <f t="shared" si="15"/>
        <v>0</v>
      </c>
      <c r="S87" s="537">
        <f t="shared" si="15"/>
        <v>0</v>
      </c>
    </row>
    <row r="88" spans="1:19" ht="0.2" customHeight="1">
      <c r="A88" s="1083"/>
      <c r="B88" s="1079"/>
      <c r="C88" s="1079"/>
      <c r="D88" s="540"/>
      <c r="E88" s="546"/>
      <c r="F88" s="539"/>
      <c r="G88" s="539"/>
      <c r="H88" s="539"/>
      <c r="I88" s="539"/>
      <c r="J88" s="537"/>
      <c r="K88" s="538"/>
      <c r="L88" s="538"/>
      <c r="M88" s="537"/>
      <c r="N88" s="537"/>
      <c r="O88" s="537"/>
      <c r="P88" s="537"/>
      <c r="Q88" s="537"/>
      <c r="R88" s="537"/>
      <c r="S88" s="537"/>
    </row>
    <row r="89" spans="1:19" ht="0.2" customHeight="1">
      <c r="A89" s="1083"/>
      <c r="B89" s="1079"/>
      <c r="C89" s="1079"/>
      <c r="D89" s="540"/>
      <c r="E89" s="539"/>
      <c r="F89" s="539"/>
      <c r="G89" s="539"/>
      <c r="H89" s="539"/>
      <c r="I89" s="539"/>
      <c r="J89" s="541"/>
      <c r="K89" s="538"/>
      <c r="L89" s="538"/>
      <c r="M89" s="537"/>
      <c r="N89" s="537"/>
      <c r="O89" s="537"/>
      <c r="P89" s="537"/>
      <c r="Q89" s="537"/>
      <c r="R89" s="537"/>
      <c r="S89" s="537"/>
    </row>
    <row r="90" spans="1:19" ht="0.2" customHeight="1">
      <c r="A90" s="1083"/>
      <c r="B90" s="1079"/>
      <c r="C90" s="1078" t="s">
        <v>721</v>
      </c>
      <c r="D90" s="545"/>
      <c r="E90" s="544"/>
      <c r="F90" s="544"/>
      <c r="G90" s="544"/>
      <c r="H90" s="544"/>
      <c r="I90" s="544"/>
      <c r="J90" s="542"/>
      <c r="K90" s="542"/>
      <c r="L90" s="542"/>
      <c r="M90" s="542"/>
      <c r="N90" s="542"/>
      <c r="O90" s="542"/>
      <c r="P90" s="542"/>
      <c r="Q90" s="542"/>
      <c r="R90" s="542"/>
      <c r="S90" s="542"/>
    </row>
    <row r="91" spans="1:19" ht="0.2" customHeight="1">
      <c r="A91" s="1083"/>
      <c r="B91" s="1079"/>
      <c r="C91" s="1079"/>
      <c r="D91" s="540"/>
      <c r="E91" s="539"/>
      <c r="F91" s="539"/>
      <c r="G91" s="539"/>
      <c r="H91" s="539"/>
      <c r="I91" s="539"/>
      <c r="J91" s="541"/>
      <c r="K91" s="541"/>
      <c r="L91" s="541"/>
      <c r="M91" s="541"/>
      <c r="N91" s="541"/>
      <c r="O91" s="541"/>
      <c r="P91" s="541"/>
      <c r="Q91" s="541"/>
      <c r="R91" s="541"/>
      <c r="S91" s="541"/>
    </row>
    <row r="92" spans="1:19" ht="0.2" customHeight="1">
      <c r="A92" s="1083"/>
      <c r="B92" s="1079"/>
      <c r="C92" s="1079"/>
      <c r="D92" s="540"/>
      <c r="E92" s="546"/>
      <c r="F92" s="553">
        <v>0.1</v>
      </c>
      <c r="G92" s="553"/>
      <c r="H92" s="546"/>
      <c r="I92" s="539"/>
      <c r="J92" s="537" t="s">
        <v>692</v>
      </c>
      <c r="K92" s="538">
        <v>0</v>
      </c>
      <c r="L92" s="538">
        <v>2</v>
      </c>
      <c r="M92" s="537">
        <f>+F92</f>
        <v>0.1</v>
      </c>
      <c r="N92" s="537">
        <f t="shared" ref="N92:S92" si="16">IF(+$J92=N$9,+$K92*$L92*$M92,0)</f>
        <v>0</v>
      </c>
      <c r="O92" s="537">
        <f t="shared" si="16"/>
        <v>0</v>
      </c>
      <c r="P92" s="537">
        <f t="shared" si="16"/>
        <v>0</v>
      </c>
      <c r="Q92" s="537">
        <f t="shared" si="16"/>
        <v>0</v>
      </c>
      <c r="R92" s="537">
        <f t="shared" si="16"/>
        <v>0</v>
      </c>
      <c r="S92" s="537">
        <f t="shared" si="16"/>
        <v>0</v>
      </c>
    </row>
    <row r="93" spans="1:19" ht="0.2" customHeight="1">
      <c r="A93" s="1083"/>
      <c r="B93" s="1079"/>
      <c r="C93" s="1079"/>
      <c r="D93" s="540"/>
      <c r="E93" s="539"/>
      <c r="F93" s="546"/>
      <c r="G93" s="546"/>
      <c r="H93" s="539"/>
      <c r="I93" s="539"/>
      <c r="J93" s="541"/>
      <c r="K93" s="538"/>
      <c r="L93" s="538"/>
      <c r="M93" s="537"/>
      <c r="N93" s="537"/>
      <c r="O93" s="537"/>
      <c r="P93" s="537"/>
      <c r="Q93" s="537"/>
      <c r="R93" s="537"/>
      <c r="S93" s="537"/>
    </row>
    <row r="94" spans="1:19" ht="0.2" customHeight="1">
      <c r="A94" s="1083"/>
      <c r="B94" s="1079"/>
      <c r="C94" s="1079"/>
      <c r="D94" s="540"/>
      <c r="E94" s="539"/>
      <c r="F94" s="539"/>
      <c r="G94" s="539"/>
      <c r="H94" s="539"/>
      <c r="I94" s="539"/>
      <c r="J94" s="541"/>
      <c r="K94" s="538"/>
      <c r="L94" s="538"/>
      <c r="M94" s="537"/>
      <c r="N94" s="537"/>
      <c r="O94" s="537"/>
      <c r="P94" s="537"/>
      <c r="Q94" s="537"/>
      <c r="R94" s="537"/>
      <c r="S94" s="537"/>
    </row>
    <row r="95" spans="1:19" ht="0.2" customHeight="1">
      <c r="A95" s="1083"/>
      <c r="B95" s="1079"/>
      <c r="C95" s="1078" t="s">
        <v>719</v>
      </c>
      <c r="D95" s="545"/>
      <c r="E95" s="544"/>
      <c r="F95" s="544"/>
      <c r="G95" s="544"/>
      <c r="H95" s="544"/>
      <c r="I95" s="544"/>
      <c r="J95" s="542"/>
      <c r="K95" s="542"/>
      <c r="L95" s="542"/>
      <c r="M95" s="542"/>
      <c r="N95" s="542"/>
      <c r="O95" s="542"/>
      <c r="P95" s="542"/>
      <c r="Q95" s="542"/>
      <c r="R95" s="542"/>
      <c r="S95" s="542"/>
    </row>
    <row r="96" spans="1:19" ht="0.2" customHeight="1">
      <c r="A96" s="1083"/>
      <c r="B96" s="1079"/>
      <c r="C96" s="1079"/>
      <c r="D96" s="540"/>
      <c r="E96" s="546"/>
      <c r="F96" s="539"/>
      <c r="G96" s="539"/>
      <c r="H96" s="546"/>
      <c r="I96" s="539"/>
      <c r="J96" s="541"/>
      <c r="K96" s="538"/>
      <c r="L96" s="538"/>
      <c r="M96" s="537"/>
      <c r="N96" s="537"/>
      <c r="O96" s="537"/>
      <c r="P96" s="537"/>
      <c r="Q96" s="537"/>
      <c r="R96" s="537"/>
      <c r="S96" s="537"/>
    </row>
    <row r="97" spans="1:19" ht="0.2" customHeight="1">
      <c r="A97" s="1083"/>
      <c r="B97" s="1079"/>
      <c r="C97" s="1079"/>
      <c r="D97" s="540"/>
      <c r="E97" s="546"/>
      <c r="F97" s="546"/>
      <c r="G97" s="567">
        <v>0.43</v>
      </c>
      <c r="H97" s="546"/>
      <c r="I97" s="539"/>
      <c r="J97" s="537" t="s">
        <v>692</v>
      </c>
      <c r="K97" s="538">
        <v>0</v>
      </c>
      <c r="L97" s="538">
        <v>2</v>
      </c>
      <c r="M97" s="537">
        <f>+G97+F99</f>
        <v>0.53</v>
      </c>
      <c r="N97" s="537">
        <f t="shared" ref="N97:S97" si="17">IF(+$J97=N$9,+$K97*$L97*$M97,0)</f>
        <v>0</v>
      </c>
      <c r="O97" s="537">
        <f t="shared" si="17"/>
        <v>0</v>
      </c>
      <c r="P97" s="537">
        <f t="shared" si="17"/>
        <v>0</v>
      </c>
      <c r="Q97" s="537">
        <f t="shared" si="17"/>
        <v>0</v>
      </c>
      <c r="R97" s="537">
        <f t="shared" si="17"/>
        <v>0</v>
      </c>
      <c r="S97" s="537">
        <f t="shared" si="17"/>
        <v>0</v>
      </c>
    </row>
    <row r="98" spans="1:19" ht="0.2" customHeight="1">
      <c r="A98" s="1083"/>
      <c r="B98" s="1079"/>
      <c r="C98" s="1079"/>
      <c r="D98" s="540"/>
      <c r="E98" s="539"/>
      <c r="F98" s="546"/>
      <c r="G98" s="566"/>
      <c r="H98" s="539"/>
      <c r="I98" s="539"/>
      <c r="J98" s="541"/>
      <c r="K98" s="538"/>
      <c r="L98" s="538"/>
      <c r="M98" s="537"/>
      <c r="N98" s="537"/>
      <c r="O98" s="537"/>
      <c r="P98" s="537"/>
      <c r="Q98" s="537"/>
      <c r="R98" s="537"/>
      <c r="S98" s="537"/>
    </row>
    <row r="99" spans="1:19" ht="0.2" customHeight="1">
      <c r="A99" s="1083"/>
      <c r="B99" s="1079"/>
      <c r="C99" s="1080"/>
      <c r="D99" s="551"/>
      <c r="E99" s="550"/>
      <c r="F99" s="569">
        <v>0.1</v>
      </c>
      <c r="G99" s="569"/>
      <c r="H99" s="550"/>
      <c r="I99" s="550"/>
      <c r="J99" s="541"/>
      <c r="K99" s="548"/>
      <c r="L99" s="548"/>
      <c r="M99" s="547"/>
      <c r="N99" s="547"/>
      <c r="O99" s="547"/>
      <c r="P99" s="547"/>
      <c r="Q99" s="547"/>
      <c r="R99" s="547"/>
      <c r="S99" s="547"/>
    </row>
    <row r="100" spans="1:19" ht="0.2" customHeight="1">
      <c r="A100" s="1083"/>
      <c r="B100" s="1079"/>
      <c r="C100" s="1078" t="s">
        <v>720</v>
      </c>
      <c r="D100" s="545"/>
      <c r="E100" s="544"/>
      <c r="F100" s="544"/>
      <c r="G100" s="544"/>
      <c r="H100" s="544"/>
      <c r="I100" s="544"/>
      <c r="J100" s="542"/>
      <c r="K100" s="542"/>
      <c r="L100" s="542"/>
      <c r="M100" s="542"/>
      <c r="N100" s="542"/>
      <c r="O100" s="542"/>
      <c r="P100" s="542"/>
      <c r="Q100" s="542"/>
      <c r="R100" s="542"/>
      <c r="S100" s="542"/>
    </row>
    <row r="101" spans="1:19" ht="0.2" customHeight="1">
      <c r="A101" s="1083"/>
      <c r="B101" s="1079"/>
      <c r="C101" s="1079"/>
      <c r="D101" s="540"/>
      <c r="E101" s="546"/>
      <c r="F101" s="539"/>
      <c r="G101" s="539"/>
      <c r="H101" s="546"/>
      <c r="I101" s="539"/>
      <c r="J101" s="541"/>
      <c r="K101" s="538"/>
      <c r="L101" s="538"/>
      <c r="M101" s="537"/>
      <c r="N101" s="537"/>
      <c r="O101" s="537"/>
      <c r="P101" s="537"/>
      <c r="Q101" s="537"/>
      <c r="R101" s="537"/>
      <c r="S101" s="537"/>
    </row>
    <row r="102" spans="1:19" ht="0.2" customHeight="1">
      <c r="A102" s="1083"/>
      <c r="B102" s="1079"/>
      <c r="C102" s="1079"/>
      <c r="D102" s="540"/>
      <c r="E102" s="546"/>
      <c r="F102" s="546"/>
      <c r="G102" s="567">
        <v>0.28999999999999998</v>
      </c>
      <c r="H102" s="546"/>
      <c r="I102" s="539"/>
      <c r="J102" s="537" t="s">
        <v>692</v>
      </c>
      <c r="K102" s="538">
        <v>0</v>
      </c>
      <c r="L102" s="538">
        <v>2</v>
      </c>
      <c r="M102" s="537">
        <f>+G102+G104</f>
        <v>0.39</v>
      </c>
      <c r="N102" s="537">
        <f t="shared" ref="N102:S102" si="18">IF(+$J102=N$9,+$K102*$L102*$M102,0)</f>
        <v>0</v>
      </c>
      <c r="O102" s="537">
        <f t="shared" si="18"/>
        <v>0</v>
      </c>
      <c r="P102" s="537">
        <f t="shared" si="18"/>
        <v>0</v>
      </c>
      <c r="Q102" s="537">
        <f t="shared" si="18"/>
        <v>0</v>
      </c>
      <c r="R102" s="537">
        <f t="shared" si="18"/>
        <v>0</v>
      </c>
      <c r="S102" s="537">
        <f t="shared" si="18"/>
        <v>0</v>
      </c>
    </row>
    <row r="103" spans="1:19" ht="0.2" customHeight="1">
      <c r="A103" s="1083"/>
      <c r="B103" s="1079"/>
      <c r="C103" s="1079"/>
      <c r="D103" s="540"/>
      <c r="E103" s="539"/>
      <c r="F103" s="546"/>
      <c r="G103" s="566"/>
      <c r="H103" s="539"/>
      <c r="I103" s="539"/>
      <c r="J103" s="541"/>
      <c r="K103" s="538"/>
      <c r="L103" s="538"/>
      <c r="M103" s="537"/>
      <c r="N103" s="537"/>
      <c r="O103" s="537"/>
      <c r="P103" s="537"/>
      <c r="Q103" s="537"/>
      <c r="R103" s="537"/>
      <c r="S103" s="537"/>
    </row>
    <row r="104" spans="1:19" ht="0.2" customHeight="1">
      <c r="A104" s="1083"/>
      <c r="B104" s="1079"/>
      <c r="C104" s="1080"/>
      <c r="D104" s="551"/>
      <c r="E104" s="550"/>
      <c r="F104" s="546"/>
      <c r="G104" s="569">
        <v>0.1</v>
      </c>
      <c r="H104" s="550"/>
      <c r="I104" s="550"/>
      <c r="J104" s="541"/>
      <c r="K104" s="548"/>
      <c r="L104" s="548"/>
      <c r="M104" s="547"/>
      <c r="N104" s="547"/>
      <c r="O104" s="547"/>
      <c r="P104" s="547"/>
      <c r="Q104" s="547"/>
      <c r="R104" s="547"/>
      <c r="S104" s="547"/>
    </row>
    <row r="105" spans="1:19" ht="0.2" customHeight="1">
      <c r="A105" s="1083"/>
      <c r="B105" s="1079"/>
      <c r="C105" s="1078" t="s">
        <v>719</v>
      </c>
      <c r="D105" s="545"/>
      <c r="E105" s="544"/>
      <c r="F105" s="544"/>
      <c r="G105" s="544"/>
      <c r="H105" s="544"/>
      <c r="I105" s="544"/>
      <c r="J105" s="542"/>
      <c r="K105" s="542"/>
      <c r="L105" s="542"/>
      <c r="M105" s="542"/>
      <c r="N105" s="542"/>
      <c r="O105" s="542"/>
      <c r="P105" s="542"/>
      <c r="Q105" s="542"/>
      <c r="R105" s="542"/>
      <c r="S105" s="542"/>
    </row>
    <row r="106" spans="1:19" ht="0.2" customHeight="1">
      <c r="A106" s="1083"/>
      <c r="B106" s="1079"/>
      <c r="C106" s="1079"/>
      <c r="D106" s="540"/>
      <c r="E106" s="546"/>
      <c r="F106" s="539"/>
      <c r="G106" s="539"/>
      <c r="H106" s="546"/>
      <c r="I106" s="539"/>
      <c r="J106" s="541"/>
      <c r="K106" s="538"/>
      <c r="L106" s="538"/>
      <c r="M106" s="537"/>
      <c r="N106" s="537"/>
      <c r="O106" s="537"/>
      <c r="P106" s="537"/>
      <c r="Q106" s="537"/>
      <c r="R106" s="537"/>
      <c r="S106" s="537"/>
    </row>
    <row r="107" spans="1:19" ht="0.2" customHeight="1">
      <c r="A107" s="1083"/>
      <c r="B107" s="1079"/>
      <c r="C107" s="1079"/>
      <c r="D107" s="540"/>
      <c r="E107" s="546"/>
      <c r="F107" s="546"/>
      <c r="G107" s="567">
        <v>0.8</v>
      </c>
      <c r="H107" s="546"/>
      <c r="I107" s="539"/>
      <c r="J107" s="537" t="s">
        <v>692</v>
      </c>
      <c r="K107" s="538">
        <v>0</v>
      </c>
      <c r="L107" s="538">
        <v>2</v>
      </c>
      <c r="M107" s="537">
        <f>+G107+F109</f>
        <v>0.8</v>
      </c>
      <c r="N107" s="537">
        <f t="shared" ref="N107:S107" si="19">IF(+$J107=N$9,+$K107*$L107*$M107,0)</f>
        <v>0</v>
      </c>
      <c r="O107" s="537">
        <f t="shared" si="19"/>
        <v>0</v>
      </c>
      <c r="P107" s="537">
        <f t="shared" si="19"/>
        <v>0</v>
      </c>
      <c r="Q107" s="537">
        <f t="shared" si="19"/>
        <v>0</v>
      </c>
      <c r="R107" s="537">
        <f t="shared" si="19"/>
        <v>0</v>
      </c>
      <c r="S107" s="537">
        <f t="shared" si="19"/>
        <v>0</v>
      </c>
    </row>
    <row r="108" spans="1:19" ht="0.2" customHeight="1">
      <c r="A108" s="1083"/>
      <c r="B108" s="1079"/>
      <c r="C108" s="1079"/>
      <c r="D108" s="540"/>
      <c r="E108" s="539"/>
      <c r="F108" s="546"/>
      <c r="G108" s="566"/>
      <c r="H108" s="539"/>
      <c r="I108" s="539"/>
      <c r="J108" s="541"/>
      <c r="K108" s="538"/>
      <c r="L108" s="538"/>
      <c r="M108" s="537"/>
      <c r="N108" s="537"/>
      <c r="O108" s="537"/>
      <c r="P108" s="537"/>
      <c r="Q108" s="537"/>
      <c r="R108" s="537"/>
      <c r="S108" s="537"/>
    </row>
    <row r="109" spans="1:19" ht="0.2" customHeight="1">
      <c r="A109" s="1083"/>
      <c r="B109" s="1079"/>
      <c r="C109" s="1080"/>
      <c r="D109" s="551"/>
      <c r="E109" s="550"/>
      <c r="F109" s="569"/>
      <c r="G109" s="569"/>
      <c r="H109" s="550"/>
      <c r="I109" s="550"/>
      <c r="J109" s="541"/>
      <c r="K109" s="548"/>
      <c r="L109" s="548"/>
      <c r="M109" s="547"/>
      <c r="N109" s="547"/>
      <c r="O109" s="547"/>
      <c r="P109" s="547"/>
      <c r="Q109" s="547"/>
      <c r="R109" s="547"/>
      <c r="S109" s="547"/>
    </row>
    <row r="110" spans="1:19" ht="0.2" customHeight="1">
      <c r="A110" s="1083"/>
      <c r="B110" s="1079"/>
      <c r="C110" s="1078" t="s">
        <v>718</v>
      </c>
      <c r="D110" s="545"/>
      <c r="E110" s="544"/>
      <c r="F110" s="544">
        <v>0.223</v>
      </c>
      <c r="G110" s="544"/>
      <c r="H110" s="544"/>
      <c r="I110" s="544"/>
      <c r="J110" s="542"/>
      <c r="K110" s="542"/>
      <c r="L110" s="542"/>
      <c r="M110" s="542"/>
      <c r="N110" s="542"/>
      <c r="O110" s="542"/>
      <c r="P110" s="542"/>
      <c r="Q110" s="542"/>
      <c r="R110" s="542"/>
      <c r="S110" s="542"/>
    </row>
    <row r="111" spans="1:19" ht="0.2" customHeight="1">
      <c r="A111" s="1083"/>
      <c r="B111" s="1079"/>
      <c r="C111" s="1079"/>
      <c r="D111" s="540"/>
      <c r="E111" s="546"/>
      <c r="F111" s="539"/>
      <c r="G111" s="539"/>
      <c r="H111" s="546"/>
      <c r="I111" s="539"/>
      <c r="J111" s="541"/>
      <c r="K111" s="538"/>
      <c r="L111" s="538"/>
      <c r="M111" s="537"/>
      <c r="N111" s="537"/>
      <c r="O111" s="537"/>
      <c r="P111" s="537"/>
      <c r="Q111" s="537"/>
      <c r="R111" s="537"/>
      <c r="S111" s="537"/>
    </row>
    <row r="112" spans="1:19" ht="0.2" customHeight="1">
      <c r="A112" s="1083"/>
      <c r="B112" s="1079"/>
      <c r="C112" s="1079"/>
      <c r="D112" s="540"/>
      <c r="E112" s="546"/>
      <c r="F112" s="546"/>
      <c r="G112" s="567">
        <v>0.155</v>
      </c>
      <c r="H112" s="546"/>
      <c r="I112" s="539"/>
      <c r="J112" s="537" t="s">
        <v>692</v>
      </c>
      <c r="K112" s="538">
        <v>0</v>
      </c>
      <c r="L112" s="538">
        <v>11</v>
      </c>
      <c r="M112" s="537">
        <f>+G112+G114+F110</f>
        <v>0.73199999999999998</v>
      </c>
      <c r="N112" s="537">
        <f t="shared" ref="N112:S112" si="20">IF(+$J112=N$9,+$K112*$L112*$M112,0)</f>
        <v>0</v>
      </c>
      <c r="O112" s="537">
        <f t="shared" si="20"/>
        <v>0</v>
      </c>
      <c r="P112" s="537">
        <f t="shared" si="20"/>
        <v>0</v>
      </c>
      <c r="Q112" s="537">
        <f t="shared" si="20"/>
        <v>0</v>
      </c>
      <c r="R112" s="537">
        <f t="shared" si="20"/>
        <v>0</v>
      </c>
      <c r="S112" s="537">
        <f t="shared" si="20"/>
        <v>0</v>
      </c>
    </row>
    <row r="113" spans="1:19" ht="0.2" customHeight="1">
      <c r="A113" s="1083"/>
      <c r="B113" s="1079"/>
      <c r="C113" s="1079"/>
      <c r="D113" s="540"/>
      <c r="E113" s="539"/>
      <c r="F113" s="546"/>
      <c r="G113" s="566"/>
      <c r="H113" s="539"/>
      <c r="I113" s="539"/>
      <c r="J113" s="541"/>
      <c r="K113" s="538"/>
      <c r="L113" s="538"/>
      <c r="M113" s="537"/>
      <c r="N113" s="537"/>
      <c r="O113" s="537"/>
      <c r="P113" s="537"/>
      <c r="Q113" s="537"/>
      <c r="R113" s="537"/>
      <c r="S113" s="537"/>
    </row>
    <row r="114" spans="1:19" ht="0.2" customHeight="1">
      <c r="A114" s="1083"/>
      <c r="B114" s="1079"/>
      <c r="C114" s="1080"/>
      <c r="D114" s="551"/>
      <c r="E114" s="550"/>
      <c r="F114" s="546"/>
      <c r="G114" s="569">
        <v>0.35399999999999998</v>
      </c>
      <c r="H114" s="550"/>
      <c r="I114" s="550"/>
      <c r="J114" s="541"/>
      <c r="K114" s="548"/>
      <c r="L114" s="548"/>
      <c r="M114" s="547"/>
      <c r="N114" s="547"/>
      <c r="O114" s="547"/>
      <c r="P114" s="547"/>
      <c r="Q114" s="547"/>
      <c r="R114" s="547"/>
      <c r="S114" s="547"/>
    </row>
    <row r="115" spans="1:19" ht="0.2" customHeight="1">
      <c r="A115" s="1083"/>
      <c r="B115" s="1079"/>
      <c r="C115" s="1078" t="s">
        <v>717</v>
      </c>
      <c r="D115" s="545"/>
      <c r="E115" s="544"/>
      <c r="F115" s="544"/>
      <c r="G115" s="544"/>
      <c r="H115" s="544"/>
      <c r="I115" s="544"/>
      <c r="J115" s="542"/>
      <c r="K115" s="542"/>
      <c r="L115" s="542"/>
      <c r="M115" s="542"/>
      <c r="N115" s="542"/>
      <c r="O115" s="542"/>
      <c r="P115" s="542"/>
      <c r="Q115" s="542"/>
      <c r="R115" s="542"/>
      <c r="S115" s="542"/>
    </row>
    <row r="116" spans="1:19" ht="0.2" customHeight="1">
      <c r="A116" s="1083"/>
      <c r="B116" s="1079"/>
      <c r="C116" s="1079"/>
      <c r="D116" s="540"/>
      <c r="E116" s="546"/>
      <c r="F116" s="539"/>
      <c r="G116" s="539"/>
      <c r="H116" s="546"/>
      <c r="I116" s="539"/>
      <c r="J116" s="541"/>
      <c r="K116" s="538"/>
      <c r="L116" s="538"/>
      <c r="M116" s="537"/>
      <c r="N116" s="537"/>
      <c r="O116" s="537"/>
      <c r="P116" s="537"/>
      <c r="Q116" s="537"/>
      <c r="R116" s="537"/>
      <c r="S116" s="537"/>
    </row>
    <row r="117" spans="1:19" ht="0.2" customHeight="1">
      <c r="A117" s="1083"/>
      <c r="B117" s="1079"/>
      <c r="C117" s="1079"/>
      <c r="D117" s="540"/>
      <c r="E117" s="546"/>
      <c r="F117" s="546"/>
      <c r="G117" s="567">
        <v>2.2999999999999998</v>
      </c>
      <c r="H117" s="546"/>
      <c r="I117" s="539"/>
      <c r="J117" s="537" t="s">
        <v>692</v>
      </c>
      <c r="K117" s="538">
        <v>0</v>
      </c>
      <c r="L117" s="538">
        <v>2</v>
      </c>
      <c r="M117" s="537">
        <f>+G117+F119+F115</f>
        <v>2.2999999999999998</v>
      </c>
      <c r="N117" s="537">
        <f t="shared" ref="N117:S117" si="21">IF(+$J117=N$9,+$K117*$L117*$M117,0)</f>
        <v>0</v>
      </c>
      <c r="O117" s="537">
        <f t="shared" si="21"/>
        <v>0</v>
      </c>
      <c r="P117" s="537">
        <f t="shared" si="21"/>
        <v>0</v>
      </c>
      <c r="Q117" s="537">
        <f t="shared" si="21"/>
        <v>0</v>
      </c>
      <c r="R117" s="537">
        <f t="shared" si="21"/>
        <v>0</v>
      </c>
      <c r="S117" s="537">
        <f t="shared" si="21"/>
        <v>0</v>
      </c>
    </row>
    <row r="118" spans="1:19" ht="0.2" customHeight="1">
      <c r="A118" s="1083"/>
      <c r="B118" s="1079"/>
      <c r="C118" s="1079"/>
      <c r="D118" s="540"/>
      <c r="E118" s="539"/>
      <c r="F118" s="546"/>
      <c r="G118" s="566"/>
      <c r="H118" s="539"/>
      <c r="I118" s="539"/>
      <c r="J118" s="541"/>
      <c r="K118" s="538"/>
      <c r="L118" s="538"/>
      <c r="M118" s="537"/>
      <c r="N118" s="537"/>
      <c r="O118" s="537"/>
      <c r="P118" s="537"/>
      <c r="Q118" s="537"/>
      <c r="R118" s="537"/>
      <c r="S118" s="537"/>
    </row>
    <row r="119" spans="1:19" ht="0.2" customHeight="1">
      <c r="A119" s="1083"/>
      <c r="B119" s="1079"/>
      <c r="C119" s="1080"/>
      <c r="D119" s="551"/>
      <c r="E119" s="550"/>
      <c r="F119" s="569"/>
      <c r="G119" s="569"/>
      <c r="H119" s="550"/>
      <c r="I119" s="550"/>
      <c r="J119" s="541"/>
      <c r="K119" s="548"/>
      <c r="L119" s="548"/>
      <c r="M119" s="547"/>
      <c r="N119" s="547"/>
      <c r="O119" s="547"/>
      <c r="P119" s="547"/>
      <c r="Q119" s="547"/>
      <c r="R119" s="547"/>
      <c r="S119" s="547"/>
    </row>
    <row r="120" spans="1:19" ht="0.2" customHeight="1">
      <c r="A120" s="1083"/>
      <c r="B120" s="1079"/>
      <c r="C120" s="1078" t="s">
        <v>716</v>
      </c>
      <c r="D120" s="545"/>
      <c r="E120" s="544"/>
      <c r="F120" s="568"/>
      <c r="G120" s="568"/>
      <c r="H120" s="544"/>
      <c r="I120" s="544"/>
      <c r="J120" s="542"/>
      <c r="K120" s="542"/>
      <c r="L120" s="542"/>
      <c r="M120" s="542"/>
      <c r="N120" s="542"/>
      <c r="O120" s="542"/>
      <c r="P120" s="542"/>
      <c r="Q120" s="542"/>
      <c r="R120" s="542"/>
      <c r="S120" s="542"/>
    </row>
    <row r="121" spans="1:19" ht="0.2" customHeight="1">
      <c r="A121" s="1083"/>
      <c r="B121" s="1079"/>
      <c r="C121" s="1079"/>
      <c r="D121" s="540"/>
      <c r="E121" s="546"/>
      <c r="F121" s="567"/>
      <c r="G121" s="567"/>
      <c r="H121" s="546"/>
      <c r="I121" s="539"/>
      <c r="J121" s="537"/>
      <c r="K121" s="538"/>
      <c r="L121" s="538"/>
      <c r="M121" s="537"/>
      <c r="N121" s="537"/>
      <c r="O121" s="537"/>
      <c r="P121" s="537"/>
      <c r="Q121" s="537"/>
      <c r="R121" s="537"/>
      <c r="S121" s="537"/>
    </row>
    <row r="122" spans="1:19" ht="0.2" customHeight="1">
      <c r="A122" s="1083"/>
      <c r="B122" s="1079"/>
      <c r="C122" s="1079"/>
      <c r="D122" s="540"/>
      <c r="E122" s="546"/>
      <c r="F122" s="546"/>
      <c r="G122" s="566">
        <v>0.28499999999999998</v>
      </c>
      <c r="H122" s="546"/>
      <c r="I122" s="539"/>
      <c r="J122" s="537" t="s">
        <v>710</v>
      </c>
      <c r="K122" s="538">
        <v>0</v>
      </c>
      <c r="L122" s="538">
        <v>2</v>
      </c>
      <c r="M122" s="537">
        <f>+G122</f>
        <v>0.28499999999999998</v>
      </c>
      <c r="N122" s="537">
        <f t="shared" ref="N122:S122" si="22">IF(+$J122=N$9,+$K122*$L122*$M122,0)</f>
        <v>0</v>
      </c>
      <c r="O122" s="537">
        <f t="shared" si="22"/>
        <v>0</v>
      </c>
      <c r="P122" s="537">
        <f t="shared" si="22"/>
        <v>0</v>
      </c>
      <c r="Q122" s="537">
        <f t="shared" si="22"/>
        <v>0</v>
      </c>
      <c r="R122" s="537">
        <f t="shared" si="22"/>
        <v>0</v>
      </c>
      <c r="S122" s="537">
        <f t="shared" si="22"/>
        <v>0</v>
      </c>
    </row>
    <row r="123" spans="1:19" ht="0.2" customHeight="1">
      <c r="A123" s="1083"/>
      <c r="B123" s="1079"/>
      <c r="C123" s="1079"/>
      <c r="D123" s="540"/>
      <c r="E123" s="539"/>
      <c r="F123" s="546"/>
      <c r="G123" s="566"/>
      <c r="H123" s="539"/>
      <c r="I123" s="539"/>
      <c r="J123" s="537"/>
      <c r="K123" s="538"/>
      <c r="L123" s="538"/>
      <c r="M123" s="537"/>
      <c r="N123" s="537"/>
      <c r="O123" s="537"/>
      <c r="P123" s="537"/>
      <c r="Q123" s="537"/>
      <c r="R123" s="537"/>
      <c r="S123" s="537"/>
    </row>
    <row r="124" spans="1:19" ht="0.2" customHeight="1" thickBot="1">
      <c r="A124" s="1084"/>
      <c r="B124" s="1081"/>
      <c r="C124" s="1081"/>
      <c r="D124" s="536"/>
      <c r="E124" s="535"/>
      <c r="F124" s="535"/>
      <c r="G124" s="535">
        <v>0.1</v>
      </c>
      <c r="H124" s="535"/>
      <c r="I124" s="535"/>
      <c r="J124" s="534"/>
      <c r="K124" s="533"/>
      <c r="L124" s="533"/>
      <c r="M124" s="532"/>
      <c r="N124" s="532"/>
      <c r="O124" s="532"/>
      <c r="P124" s="532"/>
      <c r="Q124" s="532"/>
      <c r="R124" s="532"/>
      <c r="S124" s="532"/>
    </row>
    <row r="125" spans="1:19" ht="0.2" customHeight="1" thickTop="1">
      <c r="A125" s="1087" t="s">
        <v>715</v>
      </c>
      <c r="B125" s="1091" t="s">
        <v>481</v>
      </c>
      <c r="C125" s="1092" t="s">
        <v>714</v>
      </c>
      <c r="D125" s="565"/>
      <c r="E125" s="564"/>
      <c r="F125" s="564"/>
      <c r="G125" s="564"/>
      <c r="H125" s="564"/>
      <c r="I125" s="564"/>
      <c r="J125" s="563"/>
      <c r="K125" s="563"/>
      <c r="L125" s="563"/>
      <c r="M125" s="563"/>
      <c r="N125" s="563"/>
      <c r="O125" s="563"/>
      <c r="P125" s="563"/>
      <c r="Q125" s="563"/>
      <c r="R125" s="563"/>
      <c r="S125" s="563"/>
    </row>
    <row r="126" spans="1:19" ht="0.2" customHeight="1">
      <c r="A126" s="1088"/>
      <c r="B126" s="1083"/>
      <c r="C126" s="1079"/>
      <c r="D126" s="540"/>
      <c r="E126" s="546"/>
      <c r="F126" s="554">
        <v>4.266</v>
      </c>
      <c r="G126" s="554"/>
      <c r="H126" s="546"/>
      <c r="I126" s="539"/>
      <c r="J126" s="541"/>
      <c r="K126" s="541"/>
      <c r="L126" s="541"/>
      <c r="M126" s="541"/>
      <c r="N126" s="541"/>
      <c r="O126" s="541"/>
      <c r="P126" s="541"/>
      <c r="Q126" s="541"/>
      <c r="R126" s="541"/>
      <c r="S126" s="541"/>
    </row>
    <row r="127" spans="1:19" ht="0.2" customHeight="1">
      <c r="A127" s="1089"/>
      <c r="B127" s="1083"/>
      <c r="C127" s="1079"/>
      <c r="D127" s="540"/>
      <c r="E127" s="539">
        <v>0.5</v>
      </c>
      <c r="F127" s="546"/>
      <c r="G127" s="546"/>
      <c r="H127" s="539">
        <v>0.5</v>
      </c>
      <c r="I127" s="539"/>
      <c r="J127" s="537" t="s">
        <v>692</v>
      </c>
      <c r="K127" s="538">
        <v>0</v>
      </c>
      <c r="L127" s="538">
        <v>10</v>
      </c>
      <c r="M127" s="537">
        <f>F126+H127+E127</f>
        <v>5.266</v>
      </c>
      <c r="N127" s="537">
        <f t="shared" ref="N127:S127" si="23">IF(+$J127=N$9,+$K127*$L127*$M127,0)</f>
        <v>0</v>
      </c>
      <c r="O127" s="537">
        <f t="shared" si="23"/>
        <v>0</v>
      </c>
      <c r="P127" s="537">
        <f t="shared" si="23"/>
        <v>0</v>
      </c>
      <c r="Q127" s="537">
        <f t="shared" si="23"/>
        <v>0</v>
      </c>
      <c r="R127" s="537">
        <f t="shared" si="23"/>
        <v>0</v>
      </c>
      <c r="S127" s="537">
        <f t="shared" si="23"/>
        <v>0</v>
      </c>
    </row>
    <row r="128" spans="1:19" ht="0.2" customHeight="1">
      <c r="A128" s="1089"/>
      <c r="B128" s="1083"/>
      <c r="C128" s="1079"/>
      <c r="D128" s="540"/>
      <c r="E128" s="546"/>
      <c r="F128" s="546"/>
      <c r="G128" s="546"/>
      <c r="H128" s="546"/>
      <c r="I128" s="539"/>
      <c r="J128" s="541"/>
      <c r="K128" s="538"/>
      <c r="L128" s="538"/>
      <c r="M128" s="537"/>
      <c r="N128" s="537"/>
      <c r="O128" s="537"/>
      <c r="P128" s="537"/>
      <c r="Q128" s="537"/>
      <c r="R128" s="537"/>
      <c r="S128" s="537"/>
    </row>
    <row r="129" spans="1:19" ht="0.2" customHeight="1">
      <c r="A129" s="1089"/>
      <c r="B129" s="1083"/>
      <c r="C129" s="1080"/>
      <c r="D129" s="551"/>
      <c r="E129" s="550"/>
      <c r="F129" s="550"/>
      <c r="G129" s="550"/>
      <c r="H129" s="550"/>
      <c r="I129" s="550"/>
      <c r="J129" s="549"/>
      <c r="K129" s="548"/>
      <c r="L129" s="548"/>
      <c r="M129" s="547"/>
      <c r="N129" s="547"/>
      <c r="O129" s="547"/>
      <c r="P129" s="547"/>
      <c r="Q129" s="547"/>
      <c r="R129" s="547"/>
      <c r="S129" s="547"/>
    </row>
    <row r="130" spans="1:19" ht="0.2" customHeight="1">
      <c r="A130" s="1089"/>
      <c r="B130" s="1083"/>
      <c r="C130" s="1078" t="s">
        <v>712</v>
      </c>
      <c r="D130" s="545"/>
      <c r="E130" s="544"/>
      <c r="F130" s="544"/>
      <c r="G130" s="544">
        <v>0.25</v>
      </c>
      <c r="H130" s="544"/>
      <c r="I130" s="544"/>
      <c r="J130" s="542"/>
      <c r="K130" s="542"/>
      <c r="L130" s="542"/>
      <c r="M130" s="542"/>
      <c r="N130" s="542"/>
      <c r="O130" s="542"/>
      <c r="P130" s="542"/>
      <c r="Q130" s="542"/>
      <c r="R130" s="542"/>
      <c r="S130" s="542"/>
    </row>
    <row r="131" spans="1:19" ht="0.2" customHeight="1">
      <c r="A131" s="1089"/>
      <c r="B131" s="1083"/>
      <c r="C131" s="1079"/>
      <c r="D131" s="540"/>
      <c r="E131" s="539"/>
      <c r="F131" s="539"/>
      <c r="G131" s="539"/>
      <c r="H131" s="539"/>
      <c r="I131" s="539"/>
      <c r="J131" s="541"/>
      <c r="K131" s="541"/>
      <c r="L131" s="541"/>
      <c r="M131" s="541"/>
      <c r="N131" s="541"/>
      <c r="O131" s="541"/>
      <c r="P131" s="541"/>
      <c r="Q131" s="541"/>
      <c r="R131" s="541"/>
      <c r="S131" s="541"/>
    </row>
    <row r="132" spans="1:19" ht="0.2" customHeight="1">
      <c r="A132" s="1089"/>
      <c r="B132" s="1083"/>
      <c r="C132" s="1079"/>
      <c r="D132" s="540"/>
      <c r="E132" s="546"/>
      <c r="F132" s="539"/>
      <c r="G132" s="539"/>
      <c r="H132" s="546"/>
      <c r="I132" s="539"/>
      <c r="J132" s="537" t="s">
        <v>692</v>
      </c>
      <c r="K132" s="538">
        <v>0</v>
      </c>
      <c r="L132" s="538">
        <v>22</v>
      </c>
      <c r="M132" s="537">
        <f>F133+G130+G134</f>
        <v>2.9089999999999998</v>
      </c>
      <c r="N132" s="537">
        <f t="shared" ref="N132:S132" si="24">IF(+$J132=N$9,+$K132*$L132*$M132,0)</f>
        <v>0</v>
      </c>
      <c r="O132" s="537">
        <f t="shared" si="24"/>
        <v>0</v>
      </c>
      <c r="P132" s="537">
        <f t="shared" si="24"/>
        <v>0</v>
      </c>
      <c r="Q132" s="537">
        <f t="shared" si="24"/>
        <v>0</v>
      </c>
      <c r="R132" s="537">
        <f t="shared" si="24"/>
        <v>0</v>
      </c>
      <c r="S132" s="537">
        <f t="shared" si="24"/>
        <v>0</v>
      </c>
    </row>
    <row r="133" spans="1:19" ht="0.2" customHeight="1">
      <c r="A133" s="1089"/>
      <c r="B133" s="1083"/>
      <c r="C133" s="1079"/>
      <c r="D133" s="540"/>
      <c r="E133" s="539"/>
      <c r="F133" s="1086">
        <v>2.4089999999999998</v>
      </c>
      <c r="G133" s="1086"/>
      <c r="H133" s="539"/>
      <c r="I133" s="539"/>
      <c r="J133" s="541"/>
      <c r="K133" s="538"/>
      <c r="L133" s="538"/>
      <c r="M133" s="537"/>
      <c r="N133" s="537"/>
      <c r="O133" s="537"/>
      <c r="P133" s="537"/>
      <c r="Q133" s="537"/>
      <c r="R133" s="537"/>
      <c r="S133" s="537"/>
    </row>
    <row r="134" spans="1:19" ht="0.2" customHeight="1">
      <c r="A134" s="1089"/>
      <c r="B134" s="1088"/>
      <c r="C134" s="1080"/>
      <c r="D134" s="551"/>
      <c r="E134" s="550"/>
      <c r="F134" s="550"/>
      <c r="G134" s="550">
        <v>0.25</v>
      </c>
      <c r="H134" s="550"/>
      <c r="I134" s="550"/>
      <c r="J134" s="549"/>
      <c r="K134" s="548"/>
      <c r="L134" s="548"/>
      <c r="M134" s="547"/>
      <c r="N134" s="547"/>
      <c r="O134" s="547"/>
      <c r="P134" s="547"/>
      <c r="Q134" s="547"/>
      <c r="R134" s="547"/>
      <c r="S134" s="547"/>
    </row>
    <row r="135" spans="1:19" ht="0.2" customHeight="1">
      <c r="A135" s="1089"/>
      <c r="B135" s="1082" t="s">
        <v>713</v>
      </c>
      <c r="C135" s="1079" t="s">
        <v>712</v>
      </c>
      <c r="D135" s="540"/>
      <c r="E135" s="539"/>
      <c r="F135" s="539"/>
      <c r="G135" s="539"/>
      <c r="H135" s="539"/>
      <c r="I135" s="539"/>
      <c r="J135" s="541"/>
      <c r="K135" s="541"/>
      <c r="L135" s="541"/>
      <c r="M135" s="541"/>
      <c r="N135" s="541"/>
      <c r="O135" s="541"/>
      <c r="P135" s="541"/>
      <c r="Q135" s="541"/>
      <c r="R135" s="541"/>
      <c r="S135" s="541"/>
    </row>
    <row r="136" spans="1:19" ht="0.2" customHeight="1">
      <c r="A136" s="1089"/>
      <c r="B136" s="1083"/>
      <c r="C136" s="1079"/>
      <c r="D136" s="540"/>
      <c r="E136" s="546"/>
      <c r="F136" s="1086"/>
      <c r="G136" s="1086"/>
      <c r="H136" s="546"/>
      <c r="I136" s="539"/>
      <c r="J136" s="537"/>
      <c r="K136" s="538"/>
      <c r="L136" s="538"/>
      <c r="M136" s="537"/>
      <c r="N136" s="537"/>
      <c r="O136" s="537"/>
      <c r="P136" s="537"/>
      <c r="Q136" s="537"/>
      <c r="R136" s="537"/>
      <c r="S136" s="537"/>
    </row>
    <row r="137" spans="1:19" ht="0.2" customHeight="1">
      <c r="A137" s="1089"/>
      <c r="B137" s="1083"/>
      <c r="C137" s="1079"/>
      <c r="D137" s="540"/>
      <c r="E137" s="546"/>
      <c r="F137" s="546"/>
      <c r="G137" s="539">
        <v>0.47499999999999998</v>
      </c>
      <c r="H137" s="546"/>
      <c r="I137" s="539"/>
      <c r="J137" s="537" t="s">
        <v>710</v>
      </c>
      <c r="K137" s="538">
        <v>0</v>
      </c>
      <c r="L137" s="538">
        <v>10</v>
      </c>
      <c r="M137" s="537">
        <f>G137</f>
        <v>0.47499999999999998</v>
      </c>
      <c r="N137" s="537">
        <f t="shared" ref="N137:S137" si="25">IF(+$J137=N$9,+$K137*$L137*$M137,0)</f>
        <v>0</v>
      </c>
      <c r="O137" s="537">
        <f t="shared" si="25"/>
        <v>0</v>
      </c>
      <c r="P137" s="537">
        <f t="shared" si="25"/>
        <v>0</v>
      </c>
      <c r="Q137" s="537">
        <f t="shared" si="25"/>
        <v>0</v>
      </c>
      <c r="R137" s="537">
        <f t="shared" si="25"/>
        <v>0</v>
      </c>
      <c r="S137" s="537">
        <f t="shared" si="25"/>
        <v>0</v>
      </c>
    </row>
    <row r="138" spans="1:19" ht="0.2" customHeight="1">
      <c r="A138" s="1089"/>
      <c r="B138" s="1083"/>
      <c r="C138" s="1079"/>
      <c r="D138" s="540"/>
      <c r="E138" s="546"/>
      <c r="F138" s="546"/>
      <c r="G138" s="539"/>
      <c r="H138" s="546"/>
      <c r="I138" s="539"/>
      <c r="J138" s="537"/>
      <c r="K138" s="538"/>
      <c r="L138" s="538"/>
      <c r="M138" s="537"/>
      <c r="N138" s="537"/>
      <c r="O138" s="537"/>
      <c r="P138" s="537"/>
      <c r="Q138" s="537"/>
      <c r="R138" s="537"/>
      <c r="S138" s="537"/>
    </row>
    <row r="139" spans="1:19" ht="0.2" customHeight="1">
      <c r="A139" s="1089"/>
      <c r="B139" s="1083"/>
      <c r="C139" s="1080"/>
      <c r="D139" s="551"/>
      <c r="E139" s="550"/>
      <c r="F139" s="550"/>
      <c r="G139" s="550"/>
      <c r="H139" s="550"/>
      <c r="I139" s="550"/>
      <c r="J139" s="549"/>
      <c r="K139" s="548"/>
      <c r="L139" s="548"/>
      <c r="M139" s="547"/>
      <c r="N139" s="547"/>
      <c r="O139" s="547"/>
      <c r="P139" s="547"/>
      <c r="Q139" s="547"/>
      <c r="R139" s="547"/>
      <c r="S139" s="547"/>
    </row>
    <row r="140" spans="1:19" ht="0.2" customHeight="1">
      <c r="A140" s="1089"/>
      <c r="B140" s="1083"/>
      <c r="C140" s="1078" t="s">
        <v>711</v>
      </c>
      <c r="D140" s="545"/>
      <c r="E140" s="544"/>
      <c r="F140" s="544"/>
      <c r="G140" s="544"/>
      <c r="H140" s="544"/>
      <c r="I140" s="544"/>
      <c r="J140" s="542"/>
      <c r="K140" s="542"/>
      <c r="L140" s="542"/>
      <c r="M140" s="542"/>
      <c r="N140" s="542"/>
      <c r="O140" s="542"/>
      <c r="P140" s="542"/>
      <c r="Q140" s="542"/>
      <c r="R140" s="542"/>
      <c r="S140" s="542"/>
    </row>
    <row r="141" spans="1:19" ht="0.2" customHeight="1">
      <c r="A141" s="1089"/>
      <c r="B141" s="1083"/>
      <c r="C141" s="1079"/>
      <c r="D141" s="540"/>
      <c r="E141" s="546"/>
      <c r="F141" s="539"/>
      <c r="G141" s="539"/>
      <c r="H141" s="546"/>
      <c r="I141" s="539"/>
      <c r="J141" s="537"/>
      <c r="K141" s="538"/>
      <c r="L141" s="538"/>
      <c r="M141" s="537"/>
      <c r="N141" s="537"/>
      <c r="O141" s="537"/>
      <c r="P141" s="537"/>
      <c r="Q141" s="537"/>
      <c r="R141" s="537"/>
      <c r="S141" s="537"/>
    </row>
    <row r="142" spans="1:19" ht="0.2" customHeight="1">
      <c r="A142" s="1089"/>
      <c r="B142" s="1083"/>
      <c r="C142" s="1079"/>
      <c r="D142" s="540"/>
      <c r="E142" s="539"/>
      <c r="F142" s="1086">
        <v>2.34</v>
      </c>
      <c r="G142" s="1086"/>
      <c r="H142" s="539"/>
      <c r="I142" s="539"/>
      <c r="J142" s="537" t="s">
        <v>710</v>
      </c>
      <c r="K142" s="538">
        <v>0</v>
      </c>
      <c r="L142" s="538">
        <v>3</v>
      </c>
      <c r="M142" s="537">
        <f>F142</f>
        <v>2.34</v>
      </c>
      <c r="N142" s="537">
        <f t="shared" ref="N142:S142" si="26">IF(+$J142=N$9,+$K142*$L142*$M142,0)</f>
        <v>0</v>
      </c>
      <c r="O142" s="537">
        <f t="shared" si="26"/>
        <v>0</v>
      </c>
      <c r="P142" s="537">
        <f t="shared" si="26"/>
        <v>0</v>
      </c>
      <c r="Q142" s="537">
        <f t="shared" si="26"/>
        <v>0</v>
      </c>
      <c r="R142" s="537">
        <f t="shared" si="26"/>
        <v>0</v>
      </c>
      <c r="S142" s="537">
        <f t="shared" si="26"/>
        <v>0</v>
      </c>
    </row>
    <row r="143" spans="1:19" ht="0.2" customHeight="1">
      <c r="A143" s="1082"/>
      <c r="B143" s="1083"/>
      <c r="C143" s="1079"/>
      <c r="D143" s="540"/>
      <c r="E143" s="539"/>
      <c r="F143" s="539"/>
      <c r="G143" s="539"/>
      <c r="H143" s="539"/>
      <c r="I143" s="539"/>
      <c r="J143" s="537"/>
      <c r="K143" s="538"/>
      <c r="L143" s="538"/>
      <c r="M143" s="537"/>
      <c r="N143" s="537"/>
      <c r="O143" s="537"/>
      <c r="P143" s="537"/>
      <c r="Q143" s="537"/>
      <c r="R143" s="537"/>
      <c r="S143" s="537"/>
    </row>
    <row r="144" spans="1:19" ht="0.2" customHeight="1" thickBot="1">
      <c r="A144" s="1090"/>
      <c r="B144" s="1084"/>
      <c r="C144" s="1081"/>
      <c r="D144" s="536"/>
      <c r="E144" s="535"/>
      <c r="F144" s="535"/>
      <c r="G144" s="535"/>
      <c r="H144" s="535"/>
      <c r="I144" s="535"/>
      <c r="J144" s="534"/>
      <c r="K144" s="533"/>
      <c r="L144" s="533"/>
      <c r="M144" s="532"/>
      <c r="N144" s="532"/>
      <c r="O144" s="532"/>
      <c r="P144" s="532"/>
      <c r="Q144" s="532"/>
      <c r="R144" s="532"/>
      <c r="S144" s="532"/>
    </row>
    <row r="145" spans="1:19" ht="0.2" customHeight="1">
      <c r="A145" s="1083" t="s">
        <v>709</v>
      </c>
      <c r="B145" s="1079" t="s">
        <v>466</v>
      </c>
      <c r="C145" s="1079" t="s">
        <v>708</v>
      </c>
      <c r="D145" s="540"/>
      <c r="E145" s="539"/>
      <c r="F145" s="539"/>
      <c r="G145" s="539"/>
      <c r="H145" s="539"/>
      <c r="I145" s="539"/>
      <c r="J145" s="541"/>
      <c r="K145" s="541"/>
      <c r="L145" s="541"/>
      <c r="M145" s="541"/>
      <c r="N145" s="541"/>
      <c r="O145" s="541"/>
      <c r="P145" s="541"/>
      <c r="Q145" s="541"/>
      <c r="R145" s="541"/>
      <c r="S145" s="541"/>
    </row>
    <row r="146" spans="1:19" ht="0.2" customHeight="1">
      <c r="A146" s="1083"/>
      <c r="B146" s="1079"/>
      <c r="C146" s="1079"/>
      <c r="D146" s="540"/>
      <c r="E146" s="546"/>
      <c r="F146" s="539"/>
      <c r="G146" s="546"/>
      <c r="H146" s="539">
        <f>+E148</f>
        <v>8.5000000000000006E-2</v>
      </c>
      <c r="I146" s="539"/>
      <c r="J146" s="541"/>
      <c r="K146" s="537"/>
      <c r="L146" s="537"/>
      <c r="M146" s="537"/>
      <c r="N146" s="537"/>
      <c r="O146" s="537"/>
      <c r="P146" s="537"/>
      <c r="Q146" s="537"/>
      <c r="R146" s="537"/>
      <c r="S146" s="537"/>
    </row>
    <row r="147" spans="1:19" ht="0.2" customHeight="1">
      <c r="A147" s="1083"/>
      <c r="B147" s="1079"/>
      <c r="C147" s="1079"/>
      <c r="D147" s="540"/>
      <c r="E147" s="546"/>
      <c r="F147" s="539"/>
      <c r="G147" s="539"/>
      <c r="H147" s="546"/>
      <c r="I147" s="539"/>
      <c r="J147" s="537" t="s">
        <v>692</v>
      </c>
      <c r="K147" s="538">
        <v>0</v>
      </c>
      <c r="L147" s="538">
        <v>9</v>
      </c>
      <c r="M147" s="537">
        <f>+E148+F148+H146</f>
        <v>1.3199999999999998</v>
      </c>
      <c r="N147" s="537">
        <f t="shared" ref="N147:S147" si="27">IF(+$J147=N$9,+$K147*$L147*$M147,0)</f>
        <v>0</v>
      </c>
      <c r="O147" s="537">
        <f t="shared" si="27"/>
        <v>0</v>
      </c>
      <c r="P147" s="537">
        <f t="shared" si="27"/>
        <v>0</v>
      </c>
      <c r="Q147" s="537">
        <f t="shared" si="27"/>
        <v>0</v>
      </c>
      <c r="R147" s="537">
        <f t="shared" si="27"/>
        <v>0</v>
      </c>
      <c r="S147" s="537">
        <f t="shared" si="27"/>
        <v>0</v>
      </c>
    </row>
    <row r="148" spans="1:19" ht="0.2" customHeight="1">
      <c r="A148" s="1083"/>
      <c r="B148" s="1079"/>
      <c r="C148" s="1079"/>
      <c r="D148" s="540"/>
      <c r="E148" s="554">
        <v>8.5000000000000006E-2</v>
      </c>
      <c r="F148" s="1086">
        <v>1.1499999999999999</v>
      </c>
      <c r="G148" s="1086"/>
      <c r="H148" s="539"/>
      <c r="I148" s="539"/>
      <c r="J148" s="541"/>
      <c r="K148" s="538"/>
      <c r="L148" s="538"/>
      <c r="M148" s="537"/>
      <c r="N148" s="537"/>
      <c r="O148" s="537"/>
      <c r="P148" s="537"/>
      <c r="Q148" s="537"/>
      <c r="R148" s="537"/>
      <c r="S148" s="537"/>
    </row>
    <row r="149" spans="1:19" ht="0.2" customHeight="1">
      <c r="A149" s="1083"/>
      <c r="B149" s="1079"/>
      <c r="C149" s="1080"/>
      <c r="D149" s="551"/>
      <c r="E149" s="550"/>
      <c r="F149" s="550"/>
      <c r="G149" s="550"/>
      <c r="H149" s="550"/>
      <c r="I149" s="550"/>
      <c r="J149" s="549"/>
      <c r="K149" s="548"/>
      <c r="L149" s="548"/>
      <c r="M149" s="547"/>
      <c r="N149" s="547"/>
      <c r="O149" s="547"/>
      <c r="P149" s="547"/>
      <c r="Q149" s="547"/>
      <c r="R149" s="547"/>
      <c r="S149" s="547"/>
    </row>
    <row r="150" spans="1:19" ht="0.2" customHeight="1">
      <c r="A150" s="1083"/>
      <c r="B150" s="1079"/>
      <c r="C150" s="1078" t="s">
        <v>707</v>
      </c>
      <c r="D150" s="545"/>
      <c r="E150" s="544"/>
      <c r="F150" s="544"/>
      <c r="G150" s="554">
        <v>0.1</v>
      </c>
      <c r="H150" s="544"/>
      <c r="I150" s="544"/>
      <c r="J150" s="542"/>
      <c r="K150" s="542"/>
      <c r="L150" s="542"/>
      <c r="M150" s="542"/>
      <c r="N150" s="542"/>
      <c r="O150" s="542"/>
      <c r="P150" s="542"/>
      <c r="Q150" s="542"/>
      <c r="R150" s="542"/>
      <c r="S150" s="542"/>
    </row>
    <row r="151" spans="1:19" ht="0.2" customHeight="1">
      <c r="A151" s="1083"/>
      <c r="B151" s="1079"/>
      <c r="C151" s="1079"/>
      <c r="D151" s="540"/>
      <c r="E151" s="546"/>
      <c r="F151" s="539"/>
      <c r="G151" s="546"/>
      <c r="H151" s="539"/>
      <c r="I151" s="539"/>
      <c r="J151" s="541"/>
      <c r="K151" s="537"/>
      <c r="L151" s="537"/>
      <c r="M151" s="537"/>
      <c r="N151" s="537"/>
      <c r="O151" s="537"/>
      <c r="P151" s="537"/>
      <c r="Q151" s="537"/>
      <c r="R151" s="537"/>
      <c r="S151" s="537"/>
    </row>
    <row r="152" spans="1:19" ht="0.2" customHeight="1">
      <c r="A152" s="1083"/>
      <c r="B152" s="1079"/>
      <c r="C152" s="1079"/>
      <c r="D152" s="540"/>
      <c r="E152" s="546"/>
      <c r="F152" s="539"/>
      <c r="G152" s="554">
        <v>1.64</v>
      </c>
      <c r="H152" s="546"/>
      <c r="I152" s="539"/>
      <c r="J152" s="537" t="s">
        <v>692</v>
      </c>
      <c r="K152" s="538">
        <v>0</v>
      </c>
      <c r="L152" s="538">
        <v>6</v>
      </c>
      <c r="M152" s="537">
        <f>+G150+F154+G152</f>
        <v>1.8399999999999999</v>
      </c>
      <c r="N152" s="537">
        <f t="shared" ref="N152:S152" si="28">IF(+$J152=N$9,+$K152*$L152*$M152,0)</f>
        <v>0</v>
      </c>
      <c r="O152" s="537">
        <f t="shared" si="28"/>
        <v>0</v>
      </c>
      <c r="P152" s="537">
        <f t="shared" si="28"/>
        <v>0</v>
      </c>
      <c r="Q152" s="537">
        <f t="shared" si="28"/>
        <v>0</v>
      </c>
      <c r="R152" s="537">
        <f t="shared" si="28"/>
        <v>0</v>
      </c>
      <c r="S152" s="537">
        <f t="shared" si="28"/>
        <v>0</v>
      </c>
    </row>
    <row r="153" spans="1:19" ht="0.2" customHeight="1">
      <c r="A153" s="1083"/>
      <c r="B153" s="1079"/>
      <c r="C153" s="1079"/>
      <c r="D153" s="540"/>
      <c r="E153" s="539"/>
      <c r="F153" s="546"/>
      <c r="G153" s="553"/>
      <c r="H153" s="539"/>
      <c r="I153" s="539"/>
      <c r="J153" s="541"/>
      <c r="K153" s="538"/>
      <c r="L153" s="538"/>
      <c r="M153" s="537"/>
      <c r="N153" s="537"/>
      <c r="O153" s="537"/>
      <c r="P153" s="537"/>
      <c r="Q153" s="537"/>
      <c r="R153" s="537"/>
      <c r="S153" s="537"/>
    </row>
    <row r="154" spans="1:19" ht="0.2" customHeight="1">
      <c r="A154" s="1083"/>
      <c r="B154" s="1079"/>
      <c r="C154" s="1080"/>
      <c r="D154" s="551"/>
      <c r="E154" s="550"/>
      <c r="F154" s="553">
        <v>0.1</v>
      </c>
      <c r="G154" s="550"/>
      <c r="H154" s="550"/>
      <c r="I154" s="550"/>
      <c r="J154" s="549"/>
      <c r="K154" s="548"/>
      <c r="L154" s="548"/>
      <c r="M154" s="547"/>
      <c r="N154" s="547"/>
      <c r="O154" s="547"/>
      <c r="P154" s="547"/>
      <c r="Q154" s="547"/>
      <c r="R154" s="547"/>
      <c r="S154" s="547"/>
    </row>
    <row r="155" spans="1:19" ht="0.2" customHeight="1">
      <c r="A155" s="1083"/>
      <c r="B155" s="1079"/>
      <c r="C155" s="1078" t="s">
        <v>706</v>
      </c>
      <c r="D155" s="545"/>
      <c r="E155" s="544"/>
      <c r="F155" s="544"/>
      <c r="G155" s="544"/>
      <c r="H155" s="544"/>
      <c r="I155" s="544"/>
      <c r="J155" s="542"/>
      <c r="K155" s="543"/>
      <c r="L155" s="543"/>
      <c r="M155" s="562"/>
      <c r="N155" s="562"/>
      <c r="O155" s="562"/>
      <c r="P155" s="562"/>
      <c r="Q155" s="562"/>
      <c r="R155" s="562"/>
      <c r="S155" s="562"/>
    </row>
    <row r="156" spans="1:19" ht="0.2" customHeight="1">
      <c r="A156" s="1083"/>
      <c r="B156" s="1079"/>
      <c r="C156" s="1079"/>
      <c r="D156" s="540"/>
      <c r="E156" s="554">
        <v>0.1</v>
      </c>
      <c r="F156" s="539"/>
      <c r="G156" s="546"/>
      <c r="H156" s="539">
        <f>+E156</f>
        <v>0.1</v>
      </c>
      <c r="I156" s="539"/>
      <c r="J156" s="541"/>
      <c r="K156" s="537"/>
      <c r="L156" s="537"/>
      <c r="M156" s="537"/>
      <c r="N156" s="537"/>
      <c r="O156" s="537"/>
      <c r="P156" s="537"/>
      <c r="Q156" s="537"/>
      <c r="R156" s="537"/>
      <c r="S156" s="537"/>
    </row>
    <row r="157" spans="1:19" ht="0.2" customHeight="1">
      <c r="A157" s="1083"/>
      <c r="B157" s="1079"/>
      <c r="C157" s="1079"/>
      <c r="D157" s="540"/>
      <c r="E157" s="546"/>
      <c r="F157" s="539"/>
      <c r="G157" s="539"/>
      <c r="H157" s="546"/>
      <c r="I157" s="539"/>
      <c r="J157" s="537" t="s">
        <v>692</v>
      </c>
      <c r="K157" s="538">
        <v>0</v>
      </c>
      <c r="L157" s="538">
        <v>9</v>
      </c>
      <c r="M157" s="537">
        <f>+E156+F158+H156</f>
        <v>1.7200000000000002</v>
      </c>
      <c r="N157" s="541"/>
      <c r="O157" s="541"/>
      <c r="P157" s="541"/>
      <c r="Q157" s="541"/>
      <c r="R157" s="541"/>
      <c r="S157" s="541"/>
    </row>
    <row r="158" spans="1:19" ht="0.2" customHeight="1">
      <c r="A158" s="1083"/>
      <c r="B158" s="1079"/>
      <c r="C158" s="1079"/>
      <c r="D158" s="540"/>
      <c r="E158" s="539"/>
      <c r="F158" s="1086">
        <v>1.52</v>
      </c>
      <c r="G158" s="1086"/>
      <c r="H158" s="539"/>
      <c r="I158" s="539"/>
      <c r="J158" s="541"/>
      <c r="K158" s="538"/>
      <c r="L158" s="538"/>
      <c r="M158" s="537"/>
      <c r="N158" s="537">
        <f t="shared" ref="N158:S158" si="29">IF(+$J158=N$9,+$K158*$L158*$M158,0)</f>
        <v>0</v>
      </c>
      <c r="O158" s="537">
        <f t="shared" si="29"/>
        <v>0</v>
      </c>
      <c r="P158" s="537">
        <f t="shared" si="29"/>
        <v>0</v>
      </c>
      <c r="Q158" s="537">
        <f t="shared" si="29"/>
        <v>0</v>
      </c>
      <c r="R158" s="537">
        <f t="shared" si="29"/>
        <v>0</v>
      </c>
      <c r="S158" s="537">
        <f t="shared" si="29"/>
        <v>0</v>
      </c>
    </row>
    <row r="159" spans="1:19" ht="0.2" customHeight="1">
      <c r="A159" s="1083"/>
      <c r="B159" s="1079"/>
      <c r="C159" s="1080"/>
      <c r="D159" s="551"/>
      <c r="E159" s="550"/>
      <c r="F159" s="550"/>
      <c r="G159" s="550"/>
      <c r="H159" s="550"/>
      <c r="I159" s="550"/>
      <c r="J159" s="549"/>
      <c r="K159" s="548"/>
      <c r="L159" s="548"/>
      <c r="M159" s="547"/>
      <c r="N159" s="547"/>
      <c r="O159" s="547"/>
      <c r="P159" s="547"/>
      <c r="Q159" s="547"/>
      <c r="R159" s="547"/>
      <c r="S159" s="547"/>
    </row>
    <row r="160" spans="1:19" ht="0.2" customHeight="1">
      <c r="A160" s="1083"/>
      <c r="B160" s="1079"/>
      <c r="C160" s="1078" t="s">
        <v>705</v>
      </c>
      <c r="D160" s="545"/>
      <c r="E160" s="544"/>
      <c r="F160" s="544"/>
      <c r="G160" s="555">
        <f>F164</f>
        <v>0.1</v>
      </c>
      <c r="H160" s="544"/>
      <c r="I160" s="544"/>
      <c r="J160" s="542"/>
      <c r="K160" s="543"/>
      <c r="L160" s="543"/>
      <c r="M160" s="562"/>
      <c r="N160" s="562"/>
      <c r="O160" s="562"/>
      <c r="P160" s="562"/>
      <c r="Q160" s="562"/>
      <c r="R160" s="562"/>
      <c r="S160" s="562"/>
    </row>
    <row r="161" spans="1:19" ht="0.2" customHeight="1">
      <c r="A161" s="1083"/>
      <c r="B161" s="1079"/>
      <c r="C161" s="1079"/>
      <c r="D161" s="540"/>
      <c r="E161" s="539"/>
      <c r="F161" s="539"/>
      <c r="G161" s="539"/>
      <c r="H161" s="539"/>
      <c r="I161" s="539"/>
      <c r="J161" s="541"/>
      <c r="K161" s="538"/>
      <c r="L161" s="538"/>
      <c r="M161" s="537"/>
      <c r="N161" s="537"/>
      <c r="O161" s="537"/>
      <c r="P161" s="537"/>
      <c r="Q161" s="537"/>
      <c r="R161" s="537"/>
      <c r="S161" s="537"/>
    </row>
    <row r="162" spans="1:19" ht="0.2" customHeight="1">
      <c r="A162" s="1083"/>
      <c r="B162" s="1079"/>
      <c r="C162" s="1079"/>
      <c r="D162" s="540"/>
      <c r="E162" s="546"/>
      <c r="F162" s="546"/>
      <c r="G162" s="561">
        <v>1.64</v>
      </c>
      <c r="H162" s="546"/>
      <c r="I162" s="539"/>
      <c r="J162" s="537" t="s">
        <v>692</v>
      </c>
      <c r="K162" s="538">
        <v>0</v>
      </c>
      <c r="L162" s="538">
        <v>6</v>
      </c>
      <c r="M162" s="537">
        <f>+G162+F164+G160</f>
        <v>1.84</v>
      </c>
      <c r="N162" s="537">
        <f t="shared" ref="N162:S162" si="30">IF(+$J162=N$9,+$K162*$L162*$M162,0)</f>
        <v>0</v>
      </c>
      <c r="O162" s="537">
        <f t="shared" si="30"/>
        <v>0</v>
      </c>
      <c r="P162" s="537">
        <f t="shared" si="30"/>
        <v>0</v>
      </c>
      <c r="Q162" s="537">
        <f t="shared" si="30"/>
        <v>0</v>
      </c>
      <c r="R162" s="537">
        <f t="shared" si="30"/>
        <v>0</v>
      </c>
      <c r="S162" s="537">
        <f t="shared" si="30"/>
        <v>0</v>
      </c>
    </row>
    <row r="163" spans="1:19" ht="0.2" customHeight="1">
      <c r="A163" s="1083"/>
      <c r="B163" s="1079"/>
      <c r="C163" s="1079"/>
      <c r="D163" s="540"/>
      <c r="E163" s="539"/>
      <c r="F163" s="546"/>
      <c r="G163" s="546"/>
      <c r="H163" s="539"/>
      <c r="I163" s="539"/>
      <c r="J163" s="537"/>
      <c r="K163" s="538"/>
      <c r="L163" s="538"/>
      <c r="M163" s="537"/>
      <c r="N163" s="537"/>
      <c r="O163" s="537"/>
      <c r="P163" s="537"/>
      <c r="Q163" s="537"/>
      <c r="R163" s="537"/>
      <c r="S163" s="537"/>
    </row>
    <row r="164" spans="1:19" ht="0.2" customHeight="1">
      <c r="A164" s="1083"/>
      <c r="B164" s="1080"/>
      <c r="C164" s="1080"/>
      <c r="D164" s="551"/>
      <c r="E164" s="550"/>
      <c r="F164" s="550">
        <v>0.1</v>
      </c>
      <c r="G164" s="550"/>
      <c r="H164" s="550"/>
      <c r="I164" s="550"/>
      <c r="J164" s="549"/>
      <c r="K164" s="548"/>
      <c r="L164" s="548"/>
      <c r="M164" s="547"/>
      <c r="N164" s="547"/>
      <c r="O164" s="547"/>
      <c r="P164" s="547"/>
      <c r="Q164" s="547"/>
      <c r="R164" s="547"/>
      <c r="S164" s="547"/>
    </row>
    <row r="165" spans="1:19" ht="0.2" customHeight="1">
      <c r="A165" s="1083"/>
      <c r="B165" s="1078" t="s">
        <v>586</v>
      </c>
      <c r="C165" s="1079" t="s">
        <v>704</v>
      </c>
      <c r="D165" s="540"/>
      <c r="E165" s="539"/>
      <c r="F165" s="539"/>
      <c r="G165" s="539"/>
      <c r="H165" s="539"/>
      <c r="I165" s="539"/>
      <c r="J165" s="541"/>
      <c r="K165" s="541"/>
      <c r="L165" s="541"/>
      <c r="M165" s="541"/>
      <c r="N165" s="541"/>
      <c r="O165" s="541"/>
      <c r="P165" s="541"/>
      <c r="Q165" s="541"/>
      <c r="R165" s="541"/>
      <c r="S165" s="541"/>
    </row>
    <row r="166" spans="1:19" ht="0.2" customHeight="1">
      <c r="A166" s="1083"/>
      <c r="B166" s="1079"/>
      <c r="C166" s="1079"/>
      <c r="D166" s="540"/>
      <c r="E166" s="546"/>
      <c r="F166" s="546"/>
      <c r="G166" s="539"/>
      <c r="H166" s="539"/>
      <c r="I166" s="539"/>
      <c r="J166" s="541"/>
      <c r="K166" s="537"/>
      <c r="L166" s="537"/>
      <c r="M166" s="537"/>
      <c r="N166" s="537"/>
      <c r="O166" s="537"/>
      <c r="P166" s="537"/>
      <c r="Q166" s="537"/>
      <c r="R166" s="537"/>
      <c r="S166" s="537"/>
    </row>
    <row r="167" spans="1:19" ht="0.2" customHeight="1">
      <c r="A167" s="1083"/>
      <c r="B167" s="1079"/>
      <c r="C167" s="1079"/>
      <c r="D167" s="540"/>
      <c r="E167" s="539">
        <v>0.1</v>
      </c>
      <c r="F167" s="546"/>
      <c r="G167" s="546"/>
      <c r="H167" s="552">
        <v>0.1</v>
      </c>
      <c r="I167" s="539"/>
      <c r="J167" s="537" t="s">
        <v>692</v>
      </c>
      <c r="K167" s="538">
        <v>0</v>
      </c>
      <c r="L167" s="538">
        <v>2</v>
      </c>
      <c r="M167" s="537">
        <f>+E167+F168</f>
        <v>1.2000000000000002</v>
      </c>
      <c r="N167" s="537">
        <f t="shared" ref="N167:S167" si="31">IF(+$J167=N$9,+$K167*$L167*$M167,0)</f>
        <v>0</v>
      </c>
      <c r="O167" s="537">
        <f t="shared" si="31"/>
        <v>0</v>
      </c>
      <c r="P167" s="537">
        <f t="shared" si="31"/>
        <v>0</v>
      </c>
      <c r="Q167" s="537">
        <f t="shared" si="31"/>
        <v>0</v>
      </c>
      <c r="R167" s="537">
        <f t="shared" si="31"/>
        <v>0</v>
      </c>
      <c r="S167" s="537">
        <f t="shared" si="31"/>
        <v>0</v>
      </c>
    </row>
    <row r="168" spans="1:19" ht="0.2" customHeight="1">
      <c r="A168" s="1083"/>
      <c r="B168" s="1079"/>
      <c r="C168" s="1079"/>
      <c r="D168" s="540"/>
      <c r="E168" s="539"/>
      <c r="F168" s="559">
        <v>1.1000000000000001</v>
      </c>
      <c r="G168" s="560"/>
      <c r="H168" s="539"/>
      <c r="I168" s="539"/>
      <c r="J168" s="541"/>
      <c r="K168" s="538"/>
      <c r="L168" s="538"/>
      <c r="M168" s="537"/>
      <c r="N168" s="537"/>
      <c r="O168" s="537"/>
      <c r="P168" s="537"/>
      <c r="Q168" s="537"/>
      <c r="R168" s="537"/>
      <c r="S168" s="537"/>
    </row>
    <row r="169" spans="1:19" ht="0.2" customHeight="1">
      <c r="A169" s="1083"/>
      <c r="B169" s="1079"/>
      <c r="C169" s="1079"/>
      <c r="D169" s="540"/>
      <c r="E169" s="539"/>
      <c r="F169" s="539"/>
      <c r="G169" s="539"/>
      <c r="H169" s="539"/>
      <c r="I169" s="539"/>
      <c r="J169" s="541"/>
      <c r="K169" s="538"/>
      <c r="L169" s="538"/>
      <c r="M169" s="537"/>
      <c r="N169" s="537"/>
      <c r="O169" s="537"/>
      <c r="P169" s="537"/>
      <c r="Q169" s="537"/>
      <c r="R169" s="537"/>
      <c r="S169" s="537"/>
    </row>
    <row r="170" spans="1:19" ht="0.2" customHeight="1">
      <c r="A170" s="1083"/>
      <c r="B170" s="1079"/>
      <c r="C170" s="1078" t="s">
        <v>703</v>
      </c>
      <c r="D170" s="545"/>
      <c r="E170" s="544"/>
      <c r="F170" s="544"/>
      <c r="G170" s="544"/>
      <c r="H170" s="544"/>
      <c r="I170" s="544"/>
      <c r="J170" s="542"/>
      <c r="K170" s="542"/>
      <c r="L170" s="542"/>
      <c r="M170" s="542"/>
      <c r="N170" s="542"/>
      <c r="O170" s="542"/>
      <c r="P170" s="542"/>
      <c r="Q170" s="542"/>
      <c r="R170" s="542"/>
      <c r="S170" s="542"/>
    </row>
    <row r="171" spans="1:19" ht="0.2" customHeight="1">
      <c r="A171" s="1083"/>
      <c r="B171" s="1079"/>
      <c r="C171" s="1079"/>
      <c r="D171" s="540"/>
      <c r="E171" s="539"/>
      <c r="F171" s="539"/>
      <c r="G171" s="539"/>
      <c r="H171" s="539"/>
      <c r="I171" s="539"/>
      <c r="J171" s="541"/>
      <c r="K171" s="537"/>
      <c r="L171" s="537"/>
      <c r="M171" s="537"/>
      <c r="N171" s="537"/>
      <c r="O171" s="537"/>
      <c r="P171" s="537"/>
      <c r="Q171" s="537"/>
      <c r="R171" s="537"/>
      <c r="S171" s="537"/>
    </row>
    <row r="172" spans="1:19" ht="0.2" customHeight="1">
      <c r="A172" s="1083"/>
      <c r="B172" s="1079"/>
      <c r="C172" s="1079"/>
      <c r="D172" s="540"/>
      <c r="E172" s="546"/>
      <c r="F172" s="546"/>
      <c r="G172" s="539">
        <v>0.66</v>
      </c>
      <c r="H172" s="546"/>
      <c r="I172" s="539"/>
      <c r="J172" s="537" t="s">
        <v>692</v>
      </c>
      <c r="K172" s="538">
        <v>0</v>
      </c>
      <c r="L172" s="538">
        <v>6</v>
      </c>
      <c r="M172" s="537">
        <f>+F174+G172</f>
        <v>0.91</v>
      </c>
      <c r="N172" s="537">
        <f t="shared" ref="N172:S172" si="32">IF(+$J172=N$9,+$K172*$L172*$M172,0)</f>
        <v>0</v>
      </c>
      <c r="O172" s="537">
        <f t="shared" si="32"/>
        <v>0</v>
      </c>
      <c r="P172" s="537">
        <f t="shared" si="32"/>
        <v>0</v>
      </c>
      <c r="Q172" s="537">
        <f t="shared" si="32"/>
        <v>0</v>
      </c>
      <c r="R172" s="537">
        <f t="shared" si="32"/>
        <v>0</v>
      </c>
      <c r="S172" s="537">
        <f t="shared" si="32"/>
        <v>0</v>
      </c>
    </row>
    <row r="173" spans="1:19" ht="0.2" customHeight="1">
      <c r="A173" s="1083"/>
      <c r="B173" s="1079"/>
      <c r="C173" s="1079"/>
      <c r="D173" s="540"/>
      <c r="E173" s="546"/>
      <c r="F173" s="546"/>
      <c r="G173" s="539"/>
      <c r="H173" s="546"/>
      <c r="I173" s="539"/>
      <c r="J173" s="537"/>
      <c r="K173" s="538"/>
      <c r="L173" s="538"/>
      <c r="M173" s="537"/>
      <c r="N173" s="537"/>
      <c r="O173" s="537"/>
      <c r="P173" s="537"/>
      <c r="Q173" s="537"/>
      <c r="R173" s="537"/>
      <c r="S173" s="537"/>
    </row>
    <row r="174" spans="1:19" ht="0.2" customHeight="1">
      <c r="A174" s="1083"/>
      <c r="B174" s="1079"/>
      <c r="C174" s="1080"/>
      <c r="D174" s="551"/>
      <c r="E174" s="550"/>
      <c r="F174" s="559">
        <v>0.25</v>
      </c>
      <c r="G174" s="558"/>
      <c r="H174" s="550"/>
      <c r="I174" s="550"/>
      <c r="J174" s="549"/>
      <c r="K174" s="548"/>
      <c r="L174" s="548"/>
      <c r="M174" s="547"/>
      <c r="N174" s="547"/>
      <c r="O174" s="547"/>
      <c r="P174" s="547"/>
      <c r="Q174" s="547"/>
      <c r="R174" s="547"/>
      <c r="S174" s="547"/>
    </row>
    <row r="175" spans="1:19" ht="0.2" customHeight="1">
      <c r="A175" s="1083"/>
      <c r="B175" s="1079"/>
      <c r="C175" s="1078" t="s">
        <v>702</v>
      </c>
      <c r="D175" s="545"/>
      <c r="E175" s="544"/>
      <c r="F175" s="544"/>
      <c r="G175" s="544"/>
      <c r="H175" s="544"/>
      <c r="I175" s="544"/>
      <c r="J175" s="542"/>
      <c r="K175" s="542"/>
      <c r="L175" s="542"/>
      <c r="M175" s="542"/>
      <c r="N175" s="542"/>
      <c r="O175" s="542"/>
      <c r="P175" s="542"/>
      <c r="Q175" s="542"/>
      <c r="R175" s="542"/>
      <c r="S175" s="542"/>
    </row>
    <row r="176" spans="1:19" ht="0.2" customHeight="1">
      <c r="A176" s="1083"/>
      <c r="B176" s="1079"/>
      <c r="C176" s="1079"/>
      <c r="D176" s="540"/>
      <c r="E176" s="539"/>
      <c r="F176" s="539"/>
      <c r="G176" s="539"/>
      <c r="H176" s="539"/>
      <c r="I176" s="539"/>
      <c r="J176" s="541"/>
      <c r="K176" s="537"/>
      <c r="L176" s="537"/>
      <c r="M176" s="537"/>
      <c r="N176" s="537"/>
      <c r="O176" s="537"/>
      <c r="P176" s="537"/>
      <c r="Q176" s="537"/>
      <c r="R176" s="537"/>
      <c r="S176" s="537"/>
    </row>
    <row r="177" spans="1:19" ht="0.2" customHeight="1">
      <c r="A177" s="1083"/>
      <c r="B177" s="1079"/>
      <c r="C177" s="1079"/>
      <c r="D177" s="540"/>
      <c r="E177" s="554">
        <v>1.1499999999999999</v>
      </c>
      <c r="F177" s="539"/>
      <c r="G177" s="546"/>
      <c r="H177" s="539"/>
      <c r="I177" s="539"/>
      <c r="J177" s="537" t="s">
        <v>692</v>
      </c>
      <c r="K177" s="538">
        <v>0</v>
      </c>
      <c r="L177" s="538">
        <v>8</v>
      </c>
      <c r="M177" s="537">
        <f>+E177+F179+F175</f>
        <v>1.4</v>
      </c>
      <c r="N177" s="537">
        <f t="shared" ref="N177:S177" si="33">IF(+$J177=N$9,+$K177*$L177*$M177,0)</f>
        <v>0</v>
      </c>
      <c r="O177" s="537">
        <f t="shared" si="33"/>
        <v>0</v>
      </c>
      <c r="P177" s="537">
        <f t="shared" si="33"/>
        <v>0</v>
      </c>
      <c r="Q177" s="537">
        <f t="shared" si="33"/>
        <v>0</v>
      </c>
      <c r="R177" s="537">
        <f t="shared" si="33"/>
        <v>0</v>
      </c>
      <c r="S177" s="537">
        <f t="shared" si="33"/>
        <v>0</v>
      </c>
    </row>
    <row r="178" spans="1:19" ht="0.2" customHeight="1">
      <c r="A178" s="1083"/>
      <c r="B178" s="1079"/>
      <c r="C178" s="1079"/>
      <c r="D178" s="540"/>
      <c r="E178" s="546"/>
      <c r="F178" s="539"/>
      <c r="G178" s="539"/>
      <c r="H178" s="546"/>
      <c r="I178" s="539"/>
      <c r="J178" s="537"/>
      <c r="K178" s="538"/>
      <c r="L178" s="538"/>
      <c r="M178" s="537"/>
      <c r="N178" s="537"/>
      <c r="O178" s="537"/>
      <c r="P178" s="537"/>
      <c r="Q178" s="537"/>
      <c r="R178" s="537"/>
      <c r="S178" s="537"/>
    </row>
    <row r="179" spans="1:19" ht="0.2" customHeight="1">
      <c r="A179" s="1083"/>
      <c r="B179" s="1079"/>
      <c r="C179" s="1080"/>
      <c r="D179" s="551"/>
      <c r="E179" s="550"/>
      <c r="F179" s="556">
        <v>0.25</v>
      </c>
      <c r="G179" s="550"/>
      <c r="H179" s="550"/>
      <c r="I179" s="550"/>
      <c r="J179" s="549"/>
      <c r="K179" s="548"/>
      <c r="L179" s="548"/>
      <c r="M179" s="547"/>
      <c r="N179" s="547"/>
      <c r="O179" s="547"/>
      <c r="P179" s="547"/>
      <c r="Q179" s="547"/>
      <c r="R179" s="547"/>
      <c r="S179" s="547"/>
    </row>
    <row r="180" spans="1:19" ht="0.2" customHeight="1">
      <c r="A180" s="1083"/>
      <c r="B180" s="1079"/>
      <c r="C180" s="1078" t="s">
        <v>701</v>
      </c>
      <c r="D180" s="545"/>
      <c r="E180" s="539"/>
      <c r="F180" s="554">
        <f>F184</f>
        <v>0.25</v>
      </c>
      <c r="G180" s="539"/>
      <c r="H180" s="544"/>
      <c r="I180" s="544"/>
      <c r="J180" s="542"/>
      <c r="K180" s="542"/>
      <c r="L180" s="542"/>
      <c r="M180" s="542"/>
      <c r="N180" s="542"/>
      <c r="O180" s="542"/>
      <c r="P180" s="542"/>
      <c r="Q180" s="542"/>
      <c r="R180" s="542"/>
      <c r="S180" s="542"/>
    </row>
    <row r="181" spans="1:19" ht="0.2" customHeight="1">
      <c r="A181" s="1083"/>
      <c r="B181" s="1079"/>
      <c r="C181" s="1079"/>
      <c r="D181" s="540"/>
      <c r="E181" s="546"/>
      <c r="F181" s="546"/>
      <c r="G181" s="539"/>
      <c r="H181" s="539"/>
      <c r="I181" s="539"/>
      <c r="J181" s="541"/>
      <c r="K181" s="537"/>
      <c r="L181" s="537"/>
      <c r="M181" s="537"/>
      <c r="N181" s="537"/>
      <c r="O181" s="537"/>
      <c r="P181" s="537"/>
      <c r="Q181" s="537"/>
      <c r="R181" s="537"/>
      <c r="S181" s="537"/>
    </row>
    <row r="182" spans="1:19" ht="0.2" customHeight="1">
      <c r="A182" s="1083"/>
      <c r="B182" s="1079"/>
      <c r="C182" s="1079"/>
      <c r="D182" s="540"/>
      <c r="E182" s="546"/>
      <c r="F182" s="546"/>
      <c r="G182" s="546"/>
      <c r="H182" s="546"/>
      <c r="I182" s="539"/>
      <c r="J182" s="537" t="s">
        <v>692</v>
      </c>
      <c r="K182" s="538">
        <v>0</v>
      </c>
      <c r="L182" s="538">
        <v>6</v>
      </c>
      <c r="M182" s="537">
        <f>+G183+F184+F180</f>
        <v>2.0469999999999997</v>
      </c>
      <c r="N182" s="537">
        <f t="shared" ref="N182:S182" si="34">IF(+$J182=N$9,+$K182*$L182*$M182,0)</f>
        <v>0</v>
      </c>
      <c r="O182" s="537">
        <f t="shared" si="34"/>
        <v>0</v>
      </c>
      <c r="P182" s="537">
        <f t="shared" si="34"/>
        <v>0</v>
      </c>
      <c r="Q182" s="537">
        <f t="shared" si="34"/>
        <v>0</v>
      </c>
      <c r="R182" s="537">
        <f t="shared" si="34"/>
        <v>0</v>
      </c>
      <c r="S182" s="537">
        <f t="shared" si="34"/>
        <v>0</v>
      </c>
    </row>
    <row r="183" spans="1:19" ht="0.2" customHeight="1">
      <c r="A183" s="1083"/>
      <c r="B183" s="1079"/>
      <c r="C183" s="1079"/>
      <c r="D183" s="540"/>
      <c r="E183" s="539"/>
      <c r="F183" s="546"/>
      <c r="G183" s="554">
        <v>1.5469999999999999</v>
      </c>
      <c r="H183" s="546"/>
      <c r="I183" s="539"/>
      <c r="J183" s="537"/>
      <c r="K183" s="538"/>
      <c r="L183" s="538"/>
      <c r="M183" s="537"/>
      <c r="N183" s="537"/>
      <c r="O183" s="537"/>
      <c r="P183" s="537"/>
      <c r="Q183" s="537"/>
      <c r="R183" s="537"/>
      <c r="S183" s="537"/>
    </row>
    <row r="184" spans="1:19" ht="0.2" customHeight="1">
      <c r="A184" s="1083"/>
      <c r="B184" s="1079"/>
      <c r="C184" s="1080"/>
      <c r="D184" s="551"/>
      <c r="E184" s="550"/>
      <c r="F184" s="557">
        <v>0.25</v>
      </c>
      <c r="G184" s="550"/>
      <c r="H184" s="550"/>
      <c r="I184" s="550"/>
      <c r="J184" s="549"/>
      <c r="K184" s="548"/>
      <c r="L184" s="548"/>
      <c r="M184" s="547"/>
      <c r="N184" s="547"/>
      <c r="O184" s="547"/>
      <c r="P184" s="547"/>
      <c r="Q184" s="547"/>
      <c r="R184" s="547"/>
      <c r="S184" s="547"/>
    </row>
    <row r="185" spans="1:19" ht="0.2" customHeight="1">
      <c r="A185" s="1083"/>
      <c r="B185" s="1079"/>
      <c r="C185" s="1078" t="s">
        <v>700</v>
      </c>
      <c r="D185" s="545"/>
      <c r="E185" s="544"/>
      <c r="F185" s="544"/>
      <c r="G185" s="544"/>
      <c r="H185" s="544"/>
      <c r="I185" s="544"/>
      <c r="J185" s="542"/>
      <c r="K185" s="542"/>
      <c r="L185" s="542"/>
      <c r="M185" s="542"/>
      <c r="N185" s="542"/>
      <c r="O185" s="542"/>
      <c r="P185" s="542"/>
      <c r="Q185" s="542"/>
      <c r="R185" s="542"/>
      <c r="S185" s="542"/>
    </row>
    <row r="186" spans="1:19" ht="0.2" customHeight="1">
      <c r="A186" s="1083"/>
      <c r="B186" s="1079"/>
      <c r="C186" s="1079"/>
      <c r="D186" s="540"/>
      <c r="E186" s="539"/>
      <c r="F186" s="539"/>
      <c r="G186" s="539"/>
      <c r="H186" s="539"/>
      <c r="I186" s="539"/>
      <c r="J186" s="541"/>
      <c r="K186" s="537"/>
      <c r="L186" s="537"/>
      <c r="M186" s="537"/>
      <c r="N186" s="537"/>
      <c r="O186" s="537"/>
      <c r="P186" s="537"/>
      <c r="Q186" s="537"/>
      <c r="R186" s="537"/>
      <c r="S186" s="537"/>
    </row>
    <row r="187" spans="1:19" ht="0.2" customHeight="1">
      <c r="A187" s="1083"/>
      <c r="B187" s="1079"/>
      <c r="C187" s="1079"/>
      <c r="D187" s="540"/>
      <c r="E187" s="554">
        <v>1.1499999999999999</v>
      </c>
      <c r="F187" s="539"/>
      <c r="G187" s="546"/>
      <c r="H187" s="539"/>
      <c r="I187" s="539"/>
      <c r="J187" s="537" t="s">
        <v>692</v>
      </c>
      <c r="K187" s="538">
        <v>0</v>
      </c>
      <c r="L187" s="538">
        <v>8</v>
      </c>
      <c r="M187" s="537">
        <f>+E187+F189+F185</f>
        <v>1.4</v>
      </c>
      <c r="N187" s="537">
        <f t="shared" ref="N187:S187" si="35">IF(+$J187=N$9,+$K187*$L187*$M187,0)</f>
        <v>0</v>
      </c>
      <c r="O187" s="537">
        <f t="shared" si="35"/>
        <v>0</v>
      </c>
      <c r="P187" s="537">
        <f t="shared" si="35"/>
        <v>0</v>
      </c>
      <c r="Q187" s="537">
        <f t="shared" si="35"/>
        <v>0</v>
      </c>
      <c r="R187" s="537">
        <f t="shared" si="35"/>
        <v>0</v>
      </c>
      <c r="S187" s="537">
        <f t="shared" si="35"/>
        <v>0</v>
      </c>
    </row>
    <row r="188" spans="1:19" ht="0.2" customHeight="1">
      <c r="A188" s="1083"/>
      <c r="B188" s="1079"/>
      <c r="C188" s="1079"/>
      <c r="D188" s="540"/>
      <c r="E188" s="546"/>
      <c r="F188" s="539"/>
      <c r="G188" s="539"/>
      <c r="H188" s="546"/>
      <c r="I188" s="539"/>
      <c r="J188" s="537"/>
      <c r="K188" s="538"/>
      <c r="L188" s="538"/>
      <c r="M188" s="537"/>
      <c r="N188" s="537"/>
      <c r="O188" s="537"/>
      <c r="P188" s="537"/>
      <c r="Q188" s="537"/>
      <c r="R188" s="537"/>
      <c r="S188" s="537"/>
    </row>
    <row r="189" spans="1:19" ht="0.2" customHeight="1">
      <c r="A189" s="1083"/>
      <c r="B189" s="1079"/>
      <c r="C189" s="1080"/>
      <c r="D189" s="551"/>
      <c r="E189" s="550"/>
      <c r="F189" s="556">
        <v>0.25</v>
      </c>
      <c r="G189" s="550"/>
      <c r="H189" s="550"/>
      <c r="I189" s="550"/>
      <c r="J189" s="549"/>
      <c r="K189" s="548"/>
      <c r="L189" s="548"/>
      <c r="M189" s="547"/>
      <c r="N189" s="547"/>
      <c r="O189" s="547"/>
      <c r="P189" s="547"/>
      <c r="Q189" s="547"/>
      <c r="R189" s="547"/>
      <c r="S189" s="547"/>
    </row>
    <row r="190" spans="1:19" ht="0.2" customHeight="1">
      <c r="A190" s="1083"/>
      <c r="B190" s="1079"/>
      <c r="C190" s="1078" t="s">
        <v>699</v>
      </c>
      <c r="D190" s="545"/>
      <c r="E190" s="539"/>
      <c r="F190" s="539"/>
      <c r="G190" s="539"/>
      <c r="H190" s="544"/>
      <c r="I190" s="544"/>
      <c r="J190" s="542"/>
      <c r="K190" s="542"/>
      <c r="L190" s="542"/>
      <c r="M190" s="542"/>
      <c r="N190" s="542"/>
      <c r="O190" s="542"/>
      <c r="P190" s="542"/>
      <c r="Q190" s="542"/>
      <c r="R190" s="542"/>
      <c r="S190" s="542"/>
    </row>
    <row r="191" spans="1:19" ht="0.2" customHeight="1">
      <c r="A191" s="1083"/>
      <c r="B191" s="1079"/>
      <c r="C191" s="1079"/>
      <c r="D191" s="540"/>
      <c r="E191" s="546"/>
      <c r="F191" s="546"/>
      <c r="G191" s="539"/>
      <c r="H191" s="539"/>
      <c r="I191" s="539"/>
      <c r="J191" s="541"/>
      <c r="K191" s="537"/>
      <c r="L191" s="537"/>
      <c r="M191" s="537"/>
      <c r="N191" s="537"/>
      <c r="O191" s="537"/>
      <c r="P191" s="537"/>
      <c r="Q191" s="537"/>
      <c r="R191" s="537"/>
      <c r="S191" s="537"/>
    </row>
    <row r="192" spans="1:19" ht="0.2" customHeight="1">
      <c r="A192" s="1083"/>
      <c r="B192" s="1079"/>
      <c r="C192" s="1079"/>
      <c r="D192" s="540"/>
      <c r="E192" s="539">
        <v>0.25</v>
      </c>
      <c r="F192" s="546"/>
      <c r="G192" s="546"/>
      <c r="H192" s="555">
        <f>E192</f>
        <v>0.25</v>
      </c>
      <c r="I192" s="539"/>
      <c r="J192" s="537" t="s">
        <v>692</v>
      </c>
      <c r="K192" s="538">
        <v>0</v>
      </c>
      <c r="L192" s="538">
        <v>6</v>
      </c>
      <c r="M192" s="537">
        <f>+E192+F193+H192</f>
        <v>1.5489999999999999</v>
      </c>
      <c r="N192" s="537">
        <f t="shared" ref="N192:S192" si="36">IF(+$J192=N$9,+$K192*$L192*$M192,0)</f>
        <v>0</v>
      </c>
      <c r="O192" s="537">
        <f t="shared" si="36"/>
        <v>0</v>
      </c>
      <c r="P192" s="537">
        <f t="shared" si="36"/>
        <v>0</v>
      </c>
      <c r="Q192" s="537">
        <f t="shared" si="36"/>
        <v>0</v>
      </c>
      <c r="R192" s="537">
        <f t="shared" si="36"/>
        <v>0</v>
      </c>
      <c r="S192" s="537">
        <f t="shared" si="36"/>
        <v>0</v>
      </c>
    </row>
    <row r="193" spans="1:19" ht="0.2" customHeight="1">
      <c r="A193" s="1083"/>
      <c r="B193" s="1079"/>
      <c r="C193" s="1079"/>
      <c r="D193" s="540"/>
      <c r="E193" s="539"/>
      <c r="F193" s="1085">
        <v>1.0489999999999999</v>
      </c>
      <c r="G193" s="1085"/>
      <c r="H193" s="539"/>
      <c r="I193" s="539"/>
      <c r="J193" s="541"/>
      <c r="K193" s="538"/>
      <c r="L193" s="538"/>
      <c r="M193" s="537"/>
      <c r="N193" s="537"/>
      <c r="O193" s="537"/>
      <c r="P193" s="537"/>
      <c r="Q193" s="537"/>
      <c r="R193" s="537"/>
      <c r="S193" s="537"/>
    </row>
    <row r="194" spans="1:19" ht="0.2" customHeight="1">
      <c r="A194" s="1083"/>
      <c r="B194" s="1079"/>
      <c r="C194" s="1080"/>
      <c r="D194" s="551"/>
      <c r="E194" s="550"/>
      <c r="F194" s="550"/>
      <c r="G194" s="550"/>
      <c r="H194" s="550"/>
      <c r="I194" s="550"/>
      <c r="J194" s="549"/>
      <c r="K194" s="548"/>
      <c r="L194" s="548"/>
      <c r="M194" s="547"/>
      <c r="N194" s="547"/>
      <c r="O194" s="547"/>
      <c r="P194" s="547"/>
      <c r="Q194" s="547"/>
      <c r="R194" s="547"/>
      <c r="S194" s="547"/>
    </row>
    <row r="195" spans="1:19" ht="0.2" customHeight="1">
      <c r="A195" s="1083"/>
      <c r="B195" s="1079"/>
      <c r="C195" s="1078" t="s">
        <v>698</v>
      </c>
      <c r="D195" s="545"/>
      <c r="E195" s="544"/>
      <c r="F195" s="544">
        <v>0.25</v>
      </c>
      <c r="G195" s="544"/>
      <c r="H195" s="544"/>
      <c r="I195" s="544"/>
      <c r="J195" s="542"/>
      <c r="K195" s="542"/>
      <c r="L195" s="542"/>
      <c r="M195" s="542"/>
      <c r="N195" s="542"/>
      <c r="O195" s="542"/>
      <c r="P195" s="542"/>
      <c r="Q195" s="542"/>
      <c r="R195" s="542"/>
      <c r="S195" s="542"/>
    </row>
    <row r="196" spans="1:19" ht="0.2" customHeight="1">
      <c r="A196" s="1083"/>
      <c r="B196" s="1079"/>
      <c r="C196" s="1079"/>
      <c r="D196" s="540"/>
      <c r="E196" s="554">
        <v>1.3029999999999999</v>
      </c>
      <c r="F196" s="539"/>
      <c r="G196" s="546"/>
      <c r="H196" s="539"/>
      <c r="I196" s="539"/>
      <c r="J196" s="541"/>
      <c r="K196" s="537"/>
      <c r="L196" s="537"/>
      <c r="M196" s="537"/>
      <c r="N196" s="537"/>
      <c r="O196" s="537"/>
      <c r="P196" s="537"/>
      <c r="Q196" s="537"/>
      <c r="R196" s="537"/>
      <c r="S196" s="537"/>
    </row>
    <row r="197" spans="1:19" ht="0.2" customHeight="1">
      <c r="A197" s="1083"/>
      <c r="B197" s="1079"/>
      <c r="C197" s="1079"/>
      <c r="D197" s="540"/>
      <c r="E197" s="546"/>
      <c r="F197" s="539"/>
      <c r="G197" s="539"/>
      <c r="H197" s="546"/>
      <c r="I197" s="539"/>
      <c r="J197" s="537" t="s">
        <v>692</v>
      </c>
      <c r="K197" s="538">
        <v>0</v>
      </c>
      <c r="L197" s="538">
        <v>8</v>
      </c>
      <c r="M197" s="537">
        <f>+E196+F198</f>
        <v>1.5529999999999999</v>
      </c>
      <c r="N197" s="537">
        <f t="shared" ref="N197:S197" si="37">IF(+$J197=N$9,+$K197*$L197*$M197,0)</f>
        <v>0</v>
      </c>
      <c r="O197" s="537">
        <f t="shared" si="37"/>
        <v>0</v>
      </c>
      <c r="P197" s="537">
        <f t="shared" si="37"/>
        <v>0</v>
      </c>
      <c r="Q197" s="537">
        <f t="shared" si="37"/>
        <v>0</v>
      </c>
      <c r="R197" s="537">
        <f t="shared" si="37"/>
        <v>0</v>
      </c>
      <c r="S197" s="537">
        <f t="shared" si="37"/>
        <v>0</v>
      </c>
    </row>
    <row r="198" spans="1:19" ht="0.2" customHeight="1">
      <c r="A198" s="1083"/>
      <c r="B198" s="1079"/>
      <c r="C198" s="1079"/>
      <c r="D198" s="540"/>
      <c r="E198" s="539"/>
      <c r="F198" s="553">
        <v>0.25</v>
      </c>
      <c r="G198" s="553"/>
      <c r="H198" s="539"/>
      <c r="I198" s="539"/>
      <c r="J198" s="541"/>
      <c r="K198" s="538"/>
      <c r="L198" s="538"/>
      <c r="M198" s="537"/>
      <c r="N198" s="537"/>
      <c r="O198" s="537"/>
      <c r="P198" s="537"/>
      <c r="Q198" s="537"/>
      <c r="R198" s="537"/>
      <c r="S198" s="537"/>
    </row>
    <row r="199" spans="1:19" ht="0.2" customHeight="1">
      <c r="A199" s="1083"/>
      <c r="B199" s="1079"/>
      <c r="C199" s="1080"/>
      <c r="D199" s="551"/>
      <c r="E199" s="550"/>
      <c r="F199" s="550"/>
      <c r="G199" s="550"/>
      <c r="H199" s="550"/>
      <c r="I199" s="550"/>
      <c r="J199" s="549"/>
      <c r="K199" s="548"/>
      <c r="L199" s="548"/>
      <c r="M199" s="547"/>
      <c r="N199" s="547"/>
      <c r="O199" s="547"/>
      <c r="P199" s="547"/>
      <c r="Q199" s="547"/>
      <c r="R199" s="547"/>
      <c r="S199" s="547"/>
    </row>
    <row r="200" spans="1:19" ht="0.2" customHeight="1">
      <c r="A200" s="1083"/>
      <c r="B200" s="1079"/>
      <c r="C200" s="1078" t="s">
        <v>697</v>
      </c>
      <c r="D200" s="545"/>
      <c r="E200" s="1069">
        <v>0.25</v>
      </c>
      <c r="F200" s="1069"/>
      <c r="G200" s="1070">
        <v>0.25</v>
      </c>
      <c r="H200" s="1070"/>
      <c r="I200" s="544"/>
      <c r="J200" s="542"/>
      <c r="K200" s="542"/>
      <c r="L200" s="542"/>
      <c r="M200" s="542"/>
      <c r="N200" s="542"/>
      <c r="O200" s="542"/>
      <c r="P200" s="542"/>
      <c r="Q200" s="542"/>
      <c r="R200" s="542"/>
      <c r="S200" s="542"/>
    </row>
    <row r="201" spans="1:19" ht="0.2" customHeight="1">
      <c r="A201" s="1083"/>
      <c r="B201" s="1079"/>
      <c r="C201" s="1079"/>
      <c r="D201" s="540"/>
      <c r="E201" s="539">
        <f>H201</f>
        <v>1.546</v>
      </c>
      <c r="F201" s="546"/>
      <c r="G201" s="539"/>
      <c r="H201" s="552">
        <v>1.546</v>
      </c>
      <c r="I201" s="539"/>
      <c r="J201" s="541"/>
      <c r="K201" s="537"/>
      <c r="L201" s="537"/>
      <c r="M201" s="537"/>
      <c r="N201" s="537"/>
      <c r="O201" s="537"/>
      <c r="P201" s="537"/>
      <c r="Q201" s="537"/>
      <c r="R201" s="537"/>
      <c r="S201" s="537"/>
    </row>
    <row r="202" spans="1:19" ht="0.2" customHeight="1">
      <c r="A202" s="1083"/>
      <c r="B202" s="1079"/>
      <c r="C202" s="1079"/>
      <c r="D202" s="540"/>
      <c r="E202" s="546"/>
      <c r="F202" s="546"/>
      <c r="G202" s="546"/>
      <c r="H202" s="546"/>
      <c r="I202" s="539"/>
      <c r="J202" s="537" t="s">
        <v>692</v>
      </c>
      <c r="K202" s="538">
        <v>0</v>
      </c>
      <c r="L202" s="538">
        <v>6</v>
      </c>
      <c r="M202" s="537">
        <f>+E200+G200+H201+E201+F203</f>
        <v>4.8920000000000003</v>
      </c>
      <c r="N202" s="537">
        <f t="shared" ref="N202:S202" si="38">IF(+$J202=N$9,+$K202*$L202*$M202,0)</f>
        <v>0</v>
      </c>
      <c r="O202" s="537">
        <f t="shared" si="38"/>
        <v>0</v>
      </c>
      <c r="P202" s="537">
        <f t="shared" si="38"/>
        <v>0</v>
      </c>
      <c r="Q202" s="537">
        <f t="shared" si="38"/>
        <v>0</v>
      </c>
      <c r="R202" s="537">
        <f t="shared" si="38"/>
        <v>0</v>
      </c>
      <c r="S202" s="537">
        <f t="shared" si="38"/>
        <v>0</v>
      </c>
    </row>
    <row r="203" spans="1:19" ht="0.2" customHeight="1">
      <c r="A203" s="1083"/>
      <c r="B203" s="1079"/>
      <c r="C203" s="1079"/>
      <c r="D203" s="540"/>
      <c r="E203" s="539"/>
      <c r="F203" s="1071">
        <v>1.3</v>
      </c>
      <c r="G203" s="1071"/>
      <c r="H203" s="539"/>
      <c r="I203" s="539"/>
      <c r="J203" s="541"/>
      <c r="K203" s="538"/>
      <c r="L203" s="538"/>
      <c r="M203" s="537"/>
      <c r="N203" s="537"/>
      <c r="O203" s="537"/>
      <c r="P203" s="537"/>
      <c r="Q203" s="537"/>
      <c r="R203" s="537"/>
      <c r="S203" s="537"/>
    </row>
    <row r="204" spans="1:19" ht="0.2" customHeight="1">
      <c r="A204" s="1083"/>
      <c r="B204" s="1080"/>
      <c r="C204" s="1080"/>
      <c r="D204" s="551"/>
      <c r="E204" s="550"/>
      <c r="F204" s="550"/>
      <c r="G204" s="550"/>
      <c r="H204" s="550"/>
      <c r="I204" s="550"/>
      <c r="J204" s="549"/>
      <c r="K204" s="548"/>
      <c r="L204" s="548"/>
      <c r="M204" s="547"/>
      <c r="N204" s="547"/>
      <c r="O204" s="547"/>
      <c r="P204" s="547"/>
      <c r="Q204" s="547"/>
      <c r="R204" s="547"/>
      <c r="S204" s="547"/>
    </row>
    <row r="205" spans="1:19" ht="0.2" customHeight="1">
      <c r="A205" s="1083"/>
      <c r="B205" s="1078" t="s">
        <v>696</v>
      </c>
      <c r="C205" s="1082" t="s">
        <v>695</v>
      </c>
      <c r="D205" s="545"/>
      <c r="E205" s="544"/>
      <c r="F205" s="544"/>
      <c r="G205" s="544"/>
      <c r="H205" s="544"/>
      <c r="I205" s="544"/>
      <c r="J205" s="542"/>
      <c r="K205" s="543"/>
      <c r="L205" s="543"/>
      <c r="M205" s="542"/>
      <c r="N205" s="542"/>
      <c r="O205" s="542"/>
      <c r="P205" s="542"/>
      <c r="Q205" s="542"/>
      <c r="R205" s="542"/>
      <c r="S205" s="542"/>
    </row>
    <row r="206" spans="1:19" ht="0.2" customHeight="1">
      <c r="A206" s="1083"/>
      <c r="B206" s="1079"/>
      <c r="C206" s="1083"/>
      <c r="D206" s="540"/>
      <c r="E206" s="539"/>
      <c r="F206" s="539">
        <v>2.46</v>
      </c>
      <c r="G206" s="539"/>
      <c r="H206" s="539"/>
      <c r="I206" s="539"/>
      <c r="J206" s="541"/>
      <c r="K206" s="538"/>
      <c r="L206" s="538"/>
      <c r="M206" s="537"/>
      <c r="N206" s="537"/>
      <c r="O206" s="537"/>
      <c r="P206" s="537"/>
      <c r="Q206" s="537"/>
      <c r="R206" s="537"/>
      <c r="S206" s="537"/>
    </row>
    <row r="207" spans="1:19" ht="0.2" customHeight="1">
      <c r="A207" s="1083"/>
      <c r="B207" s="1079"/>
      <c r="C207" s="1083"/>
      <c r="D207" s="540"/>
      <c r="E207" s="539"/>
      <c r="F207" s="546"/>
      <c r="G207" s="539"/>
      <c r="H207" s="539"/>
      <c r="I207" s="539"/>
      <c r="J207" s="537" t="s">
        <v>692</v>
      </c>
      <c r="K207" s="538">
        <v>0</v>
      </c>
      <c r="L207" s="538">
        <v>8</v>
      </c>
      <c r="M207" s="537">
        <f>+F206</f>
        <v>2.46</v>
      </c>
      <c r="N207" s="537">
        <f t="shared" ref="N207:S207" si="39">IF(+$J207=N$9,+$K207*$L207*$M207,0)</f>
        <v>0</v>
      </c>
      <c r="O207" s="537">
        <f t="shared" si="39"/>
        <v>0</v>
      </c>
      <c r="P207" s="537">
        <f t="shared" si="39"/>
        <v>0</v>
      </c>
      <c r="Q207" s="537">
        <f t="shared" si="39"/>
        <v>0</v>
      </c>
      <c r="R207" s="537">
        <f t="shared" si="39"/>
        <v>0</v>
      </c>
      <c r="S207" s="537">
        <f t="shared" si="39"/>
        <v>0</v>
      </c>
    </row>
    <row r="208" spans="1:19" ht="0.2" customHeight="1">
      <c r="A208" s="1083"/>
      <c r="B208" s="1079"/>
      <c r="C208" s="1083"/>
      <c r="D208" s="540"/>
      <c r="E208" s="539"/>
      <c r="F208" s="546"/>
      <c r="G208" s="539"/>
      <c r="H208" s="539"/>
      <c r="I208" s="539"/>
      <c r="J208" s="537"/>
      <c r="K208" s="538"/>
      <c r="L208" s="538"/>
      <c r="M208" s="537"/>
      <c r="N208" s="537"/>
      <c r="O208" s="537"/>
      <c r="P208" s="537"/>
      <c r="Q208" s="537"/>
      <c r="R208" s="537"/>
      <c r="S208" s="537"/>
    </row>
    <row r="209" spans="1:19" ht="0.2" customHeight="1">
      <c r="A209" s="1083"/>
      <c r="B209" s="1079"/>
      <c r="C209" s="1083"/>
      <c r="D209" s="540"/>
      <c r="E209" s="539"/>
      <c r="F209" s="539"/>
      <c r="G209" s="539"/>
      <c r="H209" s="539"/>
      <c r="I209" s="539"/>
      <c r="J209" s="541"/>
      <c r="K209" s="537"/>
      <c r="L209" s="538"/>
      <c r="M209" s="537"/>
      <c r="N209" s="537"/>
      <c r="O209" s="537"/>
      <c r="P209" s="537"/>
      <c r="Q209" s="537"/>
      <c r="R209" s="537"/>
      <c r="S209" s="537"/>
    </row>
    <row r="210" spans="1:19" ht="0.2" customHeight="1">
      <c r="A210" s="1083"/>
      <c r="B210" s="1079"/>
      <c r="C210" s="1082" t="s">
        <v>695</v>
      </c>
      <c r="D210" s="545"/>
      <c r="E210" s="544"/>
      <c r="F210" s="544"/>
      <c r="G210" s="544"/>
      <c r="H210" s="544"/>
      <c r="I210" s="544"/>
      <c r="J210" s="542"/>
      <c r="K210" s="543"/>
      <c r="L210" s="543"/>
      <c r="M210" s="542"/>
      <c r="N210" s="542"/>
      <c r="O210" s="542"/>
      <c r="P210" s="542"/>
      <c r="Q210" s="542"/>
      <c r="R210" s="542"/>
      <c r="S210" s="542"/>
    </row>
    <row r="211" spans="1:19" ht="0.2" customHeight="1">
      <c r="A211" s="1083"/>
      <c r="B211" s="1079"/>
      <c r="C211" s="1083"/>
      <c r="D211" s="540"/>
      <c r="E211" s="539"/>
      <c r="F211" s="539">
        <v>1.528</v>
      </c>
      <c r="G211" s="539"/>
      <c r="H211" s="539"/>
      <c r="I211" s="539"/>
      <c r="J211" s="541"/>
      <c r="K211" s="538"/>
      <c r="L211" s="538"/>
      <c r="M211" s="537"/>
      <c r="N211" s="537"/>
      <c r="O211" s="537"/>
      <c r="P211" s="537"/>
      <c r="Q211" s="537"/>
      <c r="R211" s="537"/>
      <c r="S211" s="537"/>
    </row>
    <row r="212" spans="1:19" ht="0.2" customHeight="1">
      <c r="A212" s="1083"/>
      <c r="B212" s="1079"/>
      <c r="C212" s="1083"/>
      <c r="D212" s="540"/>
      <c r="E212" s="539"/>
      <c r="F212" s="546"/>
      <c r="G212" s="539"/>
      <c r="H212" s="539"/>
      <c r="I212" s="539"/>
      <c r="J212" s="537" t="s">
        <v>692</v>
      </c>
      <c r="K212" s="538">
        <v>0</v>
      </c>
      <c r="L212" s="538">
        <v>13</v>
      </c>
      <c r="M212" s="537">
        <f>+F211</f>
        <v>1.528</v>
      </c>
      <c r="N212" s="537">
        <f t="shared" ref="N212:S212" si="40">IF(+$J212=N$9,+$K212*$L212*$M212,0)</f>
        <v>0</v>
      </c>
      <c r="O212" s="537">
        <f t="shared" si="40"/>
        <v>0</v>
      </c>
      <c r="P212" s="537">
        <f t="shared" si="40"/>
        <v>0</v>
      </c>
      <c r="Q212" s="537">
        <f t="shared" si="40"/>
        <v>0</v>
      </c>
      <c r="R212" s="537">
        <f t="shared" si="40"/>
        <v>0</v>
      </c>
      <c r="S212" s="537">
        <f t="shared" si="40"/>
        <v>0</v>
      </c>
    </row>
    <row r="213" spans="1:19" ht="0.2" customHeight="1">
      <c r="A213" s="1083"/>
      <c r="B213" s="1079"/>
      <c r="C213" s="1083"/>
      <c r="D213" s="540"/>
      <c r="E213" s="539"/>
      <c r="F213" s="546"/>
      <c r="G213" s="539"/>
      <c r="H213" s="539"/>
      <c r="I213" s="539"/>
      <c r="J213" s="537"/>
      <c r="K213" s="538"/>
      <c r="L213" s="538"/>
      <c r="M213" s="537"/>
      <c r="N213" s="537"/>
      <c r="O213" s="537"/>
      <c r="P213" s="537"/>
      <c r="Q213" s="537"/>
      <c r="R213" s="537"/>
      <c r="S213" s="537"/>
    </row>
    <row r="214" spans="1:19" ht="0.2" customHeight="1">
      <c r="A214" s="1083"/>
      <c r="B214" s="1079"/>
      <c r="C214" s="1083"/>
      <c r="D214" s="540"/>
      <c r="E214" s="539"/>
      <c r="F214" s="539"/>
      <c r="G214" s="539"/>
      <c r="H214" s="539"/>
      <c r="I214" s="539"/>
      <c r="J214" s="541"/>
      <c r="K214" s="537"/>
      <c r="L214" s="538"/>
      <c r="M214" s="537"/>
      <c r="N214" s="537"/>
      <c r="O214" s="537"/>
      <c r="P214" s="537"/>
      <c r="Q214" s="537"/>
      <c r="R214" s="537"/>
      <c r="S214" s="537"/>
    </row>
    <row r="215" spans="1:19" ht="0.2" customHeight="1">
      <c r="A215" s="1083"/>
      <c r="B215" s="1079"/>
      <c r="C215" s="1078" t="s">
        <v>694</v>
      </c>
      <c r="D215" s="545"/>
      <c r="E215" s="544"/>
      <c r="F215" s="544"/>
      <c r="G215" s="544"/>
      <c r="H215" s="544"/>
      <c r="I215" s="544"/>
      <c r="J215" s="542"/>
      <c r="K215" s="543"/>
      <c r="L215" s="543"/>
      <c r="M215" s="542"/>
      <c r="N215" s="542"/>
      <c r="O215" s="542"/>
      <c r="P215" s="542"/>
      <c r="Q215" s="542"/>
      <c r="R215" s="542"/>
      <c r="S215" s="542"/>
    </row>
    <row r="216" spans="1:19" ht="0.2" customHeight="1">
      <c r="A216" s="1083"/>
      <c r="B216" s="1079"/>
      <c r="C216" s="1079"/>
      <c r="D216" s="540"/>
      <c r="E216" s="539"/>
      <c r="F216" s="539">
        <v>0.6</v>
      </c>
      <c r="G216" s="539"/>
      <c r="H216" s="539"/>
      <c r="I216" s="539"/>
      <c r="J216" s="541"/>
      <c r="K216" s="538"/>
      <c r="L216" s="538"/>
      <c r="M216" s="537"/>
      <c r="N216" s="537"/>
      <c r="O216" s="537"/>
      <c r="P216" s="537"/>
      <c r="Q216" s="537"/>
      <c r="R216" s="537"/>
      <c r="S216" s="537"/>
    </row>
    <row r="217" spans="1:19" ht="0.2" customHeight="1">
      <c r="A217" s="1083"/>
      <c r="B217" s="1079"/>
      <c r="C217" s="1079"/>
      <c r="D217" s="540"/>
      <c r="E217" s="539"/>
      <c r="F217" s="546"/>
      <c r="G217" s="539"/>
      <c r="H217" s="539"/>
      <c r="I217" s="539"/>
      <c r="J217" s="537" t="s">
        <v>692</v>
      </c>
      <c r="K217" s="538">
        <v>0</v>
      </c>
      <c r="L217" s="538">
        <v>8</v>
      </c>
      <c r="M217" s="537">
        <f>+F216</f>
        <v>0.6</v>
      </c>
      <c r="N217" s="537">
        <f t="shared" ref="N217:S217" si="41">IF(+$J217=N$9,+$K217*$L217*$M217,0)</f>
        <v>0</v>
      </c>
      <c r="O217" s="537">
        <f t="shared" si="41"/>
        <v>0</v>
      </c>
      <c r="P217" s="537">
        <f t="shared" si="41"/>
        <v>0</v>
      </c>
      <c r="Q217" s="537">
        <f t="shared" si="41"/>
        <v>0</v>
      </c>
      <c r="R217" s="537">
        <f t="shared" si="41"/>
        <v>0</v>
      </c>
      <c r="S217" s="537">
        <f t="shared" si="41"/>
        <v>0</v>
      </c>
    </row>
    <row r="218" spans="1:19" ht="0.2" customHeight="1">
      <c r="A218" s="1083"/>
      <c r="B218" s="1079"/>
      <c r="C218" s="1079"/>
      <c r="D218" s="540"/>
      <c r="E218" s="539"/>
      <c r="F218" s="546"/>
      <c r="G218" s="539"/>
      <c r="H218" s="539"/>
      <c r="I218" s="539"/>
      <c r="J218" s="537"/>
      <c r="K218" s="538"/>
      <c r="L218" s="538"/>
      <c r="M218" s="537"/>
      <c r="N218" s="537"/>
      <c r="O218" s="537"/>
      <c r="P218" s="537"/>
      <c r="Q218" s="537"/>
      <c r="R218" s="537"/>
      <c r="S218" s="537"/>
    </row>
    <row r="219" spans="1:19" ht="0.2" customHeight="1">
      <c r="A219" s="1083"/>
      <c r="B219" s="1079"/>
      <c r="C219" s="1079"/>
      <c r="D219" s="540"/>
      <c r="E219" s="539"/>
      <c r="F219" s="539"/>
      <c r="G219" s="539"/>
      <c r="H219" s="539"/>
      <c r="I219" s="539"/>
      <c r="J219" s="541"/>
      <c r="K219" s="537"/>
      <c r="L219" s="538"/>
      <c r="M219" s="537"/>
      <c r="N219" s="537"/>
      <c r="O219" s="537"/>
      <c r="P219" s="537"/>
      <c r="Q219" s="537"/>
      <c r="R219" s="537"/>
      <c r="S219" s="537"/>
    </row>
    <row r="220" spans="1:19" ht="0.2" customHeight="1">
      <c r="A220" s="1083"/>
      <c r="B220" s="1079"/>
      <c r="C220" s="1082" t="s">
        <v>693</v>
      </c>
      <c r="D220" s="545"/>
      <c r="E220" s="544"/>
      <c r="F220" s="544"/>
      <c r="G220" s="544"/>
      <c r="H220" s="544"/>
      <c r="I220" s="544"/>
      <c r="J220" s="542"/>
      <c r="K220" s="543"/>
      <c r="L220" s="543"/>
      <c r="M220" s="542"/>
      <c r="N220" s="542"/>
      <c r="O220" s="542"/>
      <c r="P220" s="542"/>
      <c r="Q220" s="542"/>
      <c r="R220" s="542"/>
      <c r="S220" s="542"/>
    </row>
    <row r="221" spans="1:19" ht="0.2" customHeight="1">
      <c r="A221" s="1083"/>
      <c r="B221" s="1079"/>
      <c r="C221" s="1083"/>
      <c r="D221" s="540"/>
      <c r="E221" s="539"/>
      <c r="F221" s="539"/>
      <c r="G221" s="539"/>
      <c r="H221" s="539"/>
      <c r="I221" s="539"/>
      <c r="J221" s="541"/>
      <c r="K221" s="538"/>
      <c r="L221" s="538"/>
      <c r="M221" s="537"/>
      <c r="N221" s="537"/>
      <c r="O221" s="537"/>
      <c r="P221" s="537"/>
      <c r="Q221" s="537"/>
      <c r="R221" s="537"/>
      <c r="S221" s="537"/>
    </row>
    <row r="222" spans="1:19" ht="0.2" customHeight="1">
      <c r="A222" s="1083"/>
      <c r="B222" s="1079"/>
      <c r="C222" s="1083"/>
      <c r="D222" s="540"/>
      <c r="E222" s="539"/>
      <c r="F222" s="539">
        <v>0.6</v>
      </c>
      <c r="G222" s="539"/>
      <c r="H222" s="539"/>
      <c r="I222" s="539"/>
      <c r="J222" s="537" t="s">
        <v>692</v>
      </c>
      <c r="K222" s="538">
        <v>0</v>
      </c>
      <c r="L222" s="538">
        <v>13</v>
      </c>
      <c r="M222" s="537">
        <f>+F222</f>
        <v>0.6</v>
      </c>
      <c r="N222" s="537">
        <f t="shared" ref="N222:S222" si="42">IF(+$J222=N$9,+$K222*$L222*$M222,0)</f>
        <v>0</v>
      </c>
      <c r="O222" s="537">
        <f t="shared" si="42"/>
        <v>0</v>
      </c>
      <c r="P222" s="537">
        <f t="shared" si="42"/>
        <v>0</v>
      </c>
      <c r="Q222" s="537">
        <f t="shared" si="42"/>
        <v>0</v>
      </c>
      <c r="R222" s="537">
        <f t="shared" si="42"/>
        <v>0</v>
      </c>
      <c r="S222" s="537">
        <f t="shared" si="42"/>
        <v>0</v>
      </c>
    </row>
    <row r="223" spans="1:19" ht="0.2" customHeight="1">
      <c r="A223" s="1083"/>
      <c r="B223" s="1079"/>
      <c r="C223" s="1083"/>
      <c r="D223" s="540"/>
      <c r="E223" s="539"/>
      <c r="F223" s="539"/>
      <c r="G223" s="539"/>
      <c r="H223" s="539"/>
      <c r="I223" s="539"/>
      <c r="J223" s="537"/>
      <c r="K223" s="538"/>
      <c r="L223" s="538"/>
      <c r="M223" s="537"/>
      <c r="N223" s="537"/>
      <c r="O223" s="537"/>
      <c r="P223" s="537"/>
      <c r="Q223" s="537"/>
      <c r="R223" s="537"/>
      <c r="S223" s="537"/>
    </row>
    <row r="224" spans="1:19" ht="0.2" customHeight="1" thickBot="1">
      <c r="A224" s="1084"/>
      <c r="B224" s="1081"/>
      <c r="C224" s="1084"/>
      <c r="D224" s="536"/>
      <c r="E224" s="535"/>
      <c r="F224" s="535"/>
      <c r="G224" s="535"/>
      <c r="H224" s="535"/>
      <c r="I224" s="535"/>
      <c r="J224" s="534"/>
      <c r="K224" s="532"/>
      <c r="L224" s="533"/>
      <c r="M224" s="532"/>
      <c r="N224" s="532"/>
      <c r="O224" s="532"/>
      <c r="P224" s="532"/>
      <c r="Q224" s="532"/>
      <c r="R224" s="532"/>
      <c r="S224" s="532"/>
    </row>
    <row r="225" spans="1:19">
      <c r="A225" s="527"/>
      <c r="B225" s="527"/>
      <c r="C225" s="527"/>
      <c r="D225" s="526"/>
      <c r="E225" s="529"/>
      <c r="F225" s="529"/>
      <c r="G225" s="529"/>
      <c r="H225" s="529"/>
      <c r="I225" s="529"/>
      <c r="J225" s="1072" t="s">
        <v>691</v>
      </c>
      <c r="K225" s="1073"/>
      <c r="L225" s="1073"/>
      <c r="M225" s="1074"/>
      <c r="N225" s="531">
        <f t="shared" ref="N225:S225" si="43">SUM(N11:N224)</f>
        <v>0</v>
      </c>
      <c r="O225" s="531">
        <f t="shared" si="43"/>
        <v>45.92</v>
      </c>
      <c r="P225" s="531">
        <f t="shared" si="43"/>
        <v>0</v>
      </c>
      <c r="Q225" s="531">
        <f t="shared" si="43"/>
        <v>0</v>
      </c>
      <c r="R225" s="531">
        <f t="shared" si="43"/>
        <v>0</v>
      </c>
      <c r="S225" s="531">
        <f t="shared" si="43"/>
        <v>0</v>
      </c>
    </row>
    <row r="226" spans="1:19">
      <c r="A226" s="527"/>
      <c r="B226" s="527"/>
      <c r="C226" s="527"/>
      <c r="D226" s="526"/>
      <c r="E226" s="529"/>
      <c r="F226" s="529"/>
      <c r="G226" s="529"/>
      <c r="H226" s="529"/>
      <c r="I226" s="529"/>
      <c r="J226" s="1075" t="s">
        <v>690</v>
      </c>
      <c r="K226" s="1076"/>
      <c r="L226" s="1076"/>
      <c r="M226" s="1077"/>
      <c r="N226" s="530">
        <v>0.222</v>
      </c>
      <c r="O226" s="530">
        <v>0.56000000000000005</v>
      </c>
      <c r="P226" s="530">
        <v>0.99399999999999999</v>
      </c>
      <c r="Q226" s="530">
        <v>1.552</v>
      </c>
      <c r="R226" s="530">
        <v>2.2349999999999999</v>
      </c>
      <c r="S226" s="530">
        <v>3.9729999999999999</v>
      </c>
    </row>
    <row r="227" spans="1:19">
      <c r="A227" s="527"/>
      <c r="B227" s="527"/>
      <c r="C227" s="527"/>
      <c r="D227" s="526"/>
      <c r="E227" s="529"/>
      <c r="F227" s="529"/>
      <c r="G227" s="529"/>
      <c r="H227" s="529"/>
      <c r="I227" s="529"/>
      <c r="J227" s="1075" t="s">
        <v>689</v>
      </c>
      <c r="K227" s="1076"/>
      <c r="L227" s="1076"/>
      <c r="M227" s="1077"/>
      <c r="N227" s="528">
        <f>+N225*N226</f>
        <v>0</v>
      </c>
      <c r="O227" s="528">
        <f>+O225*O226</f>
        <v>25.715200000000003</v>
      </c>
      <c r="P227" s="528">
        <f>+P225*P226</f>
        <v>0</v>
      </c>
      <c r="Q227" s="528">
        <f>+Q225*Q226</f>
        <v>0</v>
      </c>
      <c r="R227" s="528">
        <f>+R226*R225</f>
        <v>0</v>
      </c>
      <c r="S227" s="528">
        <f>+S226*S225</f>
        <v>0</v>
      </c>
    </row>
    <row r="228" spans="1:19" ht="16.5">
      <c r="A228" s="527"/>
      <c r="B228" s="527"/>
      <c r="C228" s="527"/>
      <c r="D228" s="526"/>
      <c r="E228" s="526"/>
      <c r="F228" s="526"/>
      <c r="G228" s="526"/>
      <c r="H228" s="526"/>
      <c r="I228" s="526"/>
      <c r="J228" s="1067" t="s">
        <v>688</v>
      </c>
      <c r="K228" s="1067"/>
      <c r="L228" s="1067"/>
      <c r="M228" s="1067"/>
      <c r="N228" s="1068">
        <f>SUM(N227:S227)</f>
        <v>25.715200000000003</v>
      </c>
      <c r="O228" s="1068"/>
      <c r="P228" s="1068"/>
      <c r="Q228" s="1068"/>
      <c r="R228" s="1068"/>
      <c r="S228" s="1068"/>
    </row>
  </sheetData>
  <mergeCells count="93">
    <mergeCell ref="A10:A59"/>
    <mergeCell ref="F22:G22"/>
    <mergeCell ref="C25:C29"/>
    <mergeCell ref="F27:G27"/>
    <mergeCell ref="A2:S2"/>
    <mergeCell ref="A3:S3"/>
    <mergeCell ref="A4:S4"/>
    <mergeCell ref="A8:C9"/>
    <mergeCell ref="D8:I9"/>
    <mergeCell ref="J8:J9"/>
    <mergeCell ref="K8:K9"/>
    <mergeCell ref="L8:L9"/>
    <mergeCell ref="M8:M9"/>
    <mergeCell ref="N8:S8"/>
    <mergeCell ref="C80:C84"/>
    <mergeCell ref="F82:G82"/>
    <mergeCell ref="C55:C59"/>
    <mergeCell ref="F57:G57"/>
    <mergeCell ref="A60:A124"/>
    <mergeCell ref="B60:B79"/>
    <mergeCell ref="C60:C64"/>
    <mergeCell ref="C66:C69"/>
    <mergeCell ref="F67:G67"/>
    <mergeCell ref="C70:C74"/>
    <mergeCell ref="F72:G72"/>
    <mergeCell ref="C75:C79"/>
    <mergeCell ref="B40:B59"/>
    <mergeCell ref="C40:C44"/>
    <mergeCell ref="C45:C49"/>
    <mergeCell ref="F48:G48"/>
    <mergeCell ref="F77:G77"/>
    <mergeCell ref="B10:B39"/>
    <mergeCell ref="C10:C14"/>
    <mergeCell ref="C15:C19"/>
    <mergeCell ref="F16:G16"/>
    <mergeCell ref="F19:G19"/>
    <mergeCell ref="C20:C24"/>
    <mergeCell ref="C30:C34"/>
    <mergeCell ref="F32:G32"/>
    <mergeCell ref="C35:C39"/>
    <mergeCell ref="F37:G37"/>
    <mergeCell ref="C50:C54"/>
    <mergeCell ref="F53:G53"/>
    <mergeCell ref="B85:B124"/>
    <mergeCell ref="C85:C89"/>
    <mergeCell ref="C90:C94"/>
    <mergeCell ref="C95:C99"/>
    <mergeCell ref="C100:C104"/>
    <mergeCell ref="C105:C109"/>
    <mergeCell ref="C110:C114"/>
    <mergeCell ref="C115:C119"/>
    <mergeCell ref="C120:C124"/>
    <mergeCell ref="A125:A144"/>
    <mergeCell ref="B125:B134"/>
    <mergeCell ref="C125:C129"/>
    <mergeCell ref="C130:C134"/>
    <mergeCell ref="F133:G133"/>
    <mergeCell ref="B135:B144"/>
    <mergeCell ref="C135:C139"/>
    <mergeCell ref="F136:G136"/>
    <mergeCell ref="C140:C144"/>
    <mergeCell ref="F142:G142"/>
    <mergeCell ref="F193:G193"/>
    <mergeCell ref="A145:A224"/>
    <mergeCell ref="B145:B164"/>
    <mergeCell ref="C145:C149"/>
    <mergeCell ref="F148:G148"/>
    <mergeCell ref="C150:C154"/>
    <mergeCell ref="C155:C159"/>
    <mergeCell ref="F158:G158"/>
    <mergeCell ref="C160:C164"/>
    <mergeCell ref="B165:B204"/>
    <mergeCell ref="C195:C199"/>
    <mergeCell ref="C200:C204"/>
    <mergeCell ref="C165:C169"/>
    <mergeCell ref="C170:C174"/>
    <mergeCell ref="C175:C179"/>
    <mergeCell ref="C180:C184"/>
    <mergeCell ref="C185:C189"/>
    <mergeCell ref="C190:C194"/>
    <mergeCell ref="B205:B224"/>
    <mergeCell ref="C205:C209"/>
    <mergeCell ref="C210:C214"/>
    <mergeCell ref="C215:C219"/>
    <mergeCell ref="C220:C224"/>
    <mergeCell ref="J228:M228"/>
    <mergeCell ref="N228:S228"/>
    <mergeCell ref="E200:F200"/>
    <mergeCell ref="G200:H200"/>
    <mergeCell ref="F203:G203"/>
    <mergeCell ref="J225:M225"/>
    <mergeCell ref="J226:M226"/>
    <mergeCell ref="J227:M227"/>
  </mergeCells>
  <dataValidations count="1">
    <dataValidation type="list" allowBlank="1" showInputMessage="1" showErrorMessage="1" sqref="J12 J212:J213 J217:J218 J82 J112 J117 J107 J97 J32 J27 J207:J208 J197 J202 J187 J192 J172:J173 J177 J152 J157 J147 J142:J143 J137:J138 J72 J77 J67 J62 J102 J122 J92 J87 J52 J57 J47 J42 J132 J127 J22 J37 J182 J167 J222:J223 J162 J17" xr:uid="{00000000-0002-0000-0100-000000000000}">
      <formula1>$N$9:$S$9</formula1>
    </dataValidation>
  </dataValidations>
  <pageMargins left="1.2598425196850394" right="0.55118110236220474" top="0.74803149606299213" bottom="0.74803149606299213" header="0.31496062992125984" footer="0.31496062992125984"/>
  <pageSetup paperSize="9" scale="53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9C48E-E7A4-4834-A92F-E612987A516B}">
  <sheetPr codeName="Hoja12">
    <tabColor theme="7" tint="0.39997558519241921"/>
    <pageSetUpPr fitToPage="1"/>
  </sheetPr>
  <dimension ref="A1:O120"/>
  <sheetViews>
    <sheetView showGridLines="0" view="pageBreakPreview" topLeftCell="B100" zoomScale="70" zoomScaleNormal="70" zoomScaleSheetLayoutView="70" zoomScalePageLayoutView="40" workbookViewId="0">
      <selection activeCell="B3" sqref="B3:J3"/>
    </sheetView>
  </sheetViews>
  <sheetFormatPr baseColWidth="10" defaultColWidth="13.33203125" defaultRowHeight="11.25"/>
  <cols>
    <col min="1" max="1" width="3.33203125" style="170" hidden="1" customWidth="1"/>
    <col min="2" max="2" width="18.1640625" style="510" customWidth="1"/>
    <col min="3" max="3" width="107.33203125" style="170" customWidth="1"/>
    <col min="4" max="4" width="9.1640625" style="170" customWidth="1"/>
    <col min="5" max="8" width="10.83203125" style="170" customWidth="1"/>
    <col min="9" max="9" width="12.33203125" style="170" customWidth="1"/>
    <col min="10" max="10" width="10.83203125" style="170" customWidth="1"/>
    <col min="11" max="11" width="3.33203125" style="170" customWidth="1"/>
    <col min="12" max="12" width="19.83203125" style="170" customWidth="1"/>
    <col min="13" max="13" width="31.5" style="170" customWidth="1"/>
    <col min="14" max="14" width="10.83203125" style="434" customWidth="1"/>
    <col min="15" max="15" width="12.6640625" style="170" bestFit="1" customWidth="1"/>
    <col min="16" max="16" width="10.83203125" style="170" bestFit="1" customWidth="1"/>
    <col min="17" max="16384" width="13.33203125" style="170"/>
  </cols>
  <sheetData>
    <row r="1" spans="2:14" s="168" customFormat="1" ht="18" customHeight="1">
      <c r="B1" s="1016" t="s">
        <v>761</v>
      </c>
      <c r="C1" s="1017"/>
      <c r="D1" s="1017"/>
      <c r="E1" s="1017"/>
      <c r="F1" s="1017"/>
      <c r="G1" s="1017"/>
      <c r="H1" s="1017"/>
      <c r="I1" s="1017"/>
      <c r="J1" s="1018"/>
      <c r="K1" s="509"/>
      <c r="L1" s="508"/>
      <c r="N1" s="500"/>
    </row>
    <row r="2" spans="2:14" s="168" customFormat="1" ht="48" customHeight="1">
      <c r="B2" s="1049" t="s">
        <v>1087</v>
      </c>
      <c r="C2" s="1023"/>
      <c r="D2" s="1023"/>
      <c r="E2" s="1023"/>
      <c r="F2" s="1023"/>
      <c r="G2" s="1023"/>
      <c r="H2" s="1023"/>
      <c r="I2" s="1023"/>
      <c r="J2" s="1024"/>
      <c r="K2" s="507"/>
      <c r="L2" s="430"/>
      <c r="N2" s="500"/>
    </row>
    <row r="3" spans="2:14" s="168" customFormat="1" ht="19.5" customHeight="1" thickBot="1">
      <c r="B3" s="1019" t="s">
        <v>760</v>
      </c>
      <c r="C3" s="1020"/>
      <c r="D3" s="1020"/>
      <c r="E3" s="1020"/>
      <c r="F3" s="1020"/>
      <c r="G3" s="1020"/>
      <c r="H3" s="1020"/>
      <c r="I3" s="1020"/>
      <c r="J3" s="1021"/>
      <c r="K3" s="506"/>
      <c r="L3" s="430"/>
      <c r="N3" s="500"/>
    </row>
    <row r="4" spans="2:14" s="168" customFormat="1" ht="15" customHeight="1">
      <c r="B4" s="223"/>
      <c r="C4" s="431"/>
      <c r="D4" s="431"/>
      <c r="E4" s="222"/>
      <c r="F4" s="222"/>
      <c r="G4" s="222"/>
      <c r="H4" s="222"/>
      <c r="I4" s="221"/>
      <c r="J4" s="220"/>
      <c r="K4" s="222"/>
      <c r="L4" s="505" t="s">
        <v>652</v>
      </c>
      <c r="M4" s="505" t="s">
        <v>381</v>
      </c>
      <c r="N4" s="505" t="s">
        <v>325</v>
      </c>
    </row>
    <row r="5" spans="2:14" s="168" customFormat="1" ht="15" customHeight="1">
      <c r="B5" s="223"/>
      <c r="C5" s="1050"/>
      <c r="D5" s="1051"/>
      <c r="E5" s="1051"/>
      <c r="F5" s="1051"/>
      <c r="G5" s="1051"/>
      <c r="H5" s="1052"/>
      <c r="I5" s="221"/>
      <c r="J5" s="220"/>
      <c r="K5" s="222"/>
      <c r="L5" s="504">
        <v>1</v>
      </c>
      <c r="M5" s="503" t="s">
        <v>648</v>
      </c>
      <c r="N5" s="502">
        <v>1</v>
      </c>
    </row>
    <row r="6" spans="2:14" s="168" customFormat="1" ht="15" customHeight="1">
      <c r="B6" s="223"/>
      <c r="C6" s="1053"/>
      <c r="D6" s="1054"/>
      <c r="E6" s="1054"/>
      <c r="F6" s="1054"/>
      <c r="G6" s="1054"/>
      <c r="H6" s="1055"/>
      <c r="I6" s="221"/>
      <c r="J6" s="220"/>
      <c r="K6" s="222"/>
      <c r="L6" s="504">
        <v>2</v>
      </c>
      <c r="M6" s="503" t="s">
        <v>685</v>
      </c>
      <c r="N6" s="502">
        <v>2</v>
      </c>
    </row>
    <row r="7" spans="2:14" s="168" customFormat="1" ht="15" customHeight="1">
      <c r="B7" s="223"/>
      <c r="C7" s="1053"/>
      <c r="D7" s="1054"/>
      <c r="E7" s="1054"/>
      <c r="F7" s="1054"/>
      <c r="G7" s="1054"/>
      <c r="H7" s="1055"/>
      <c r="I7" s="221"/>
      <c r="J7" s="220"/>
      <c r="K7" s="222"/>
      <c r="L7" s="504">
        <v>3</v>
      </c>
      <c r="M7" s="503" t="s">
        <v>649</v>
      </c>
      <c r="N7" s="502">
        <v>2</v>
      </c>
    </row>
    <row r="8" spans="2:14" s="168" customFormat="1" ht="15" customHeight="1">
      <c r="B8" s="223"/>
      <c r="C8" s="1053"/>
      <c r="D8" s="1054"/>
      <c r="E8" s="1054"/>
      <c r="F8" s="1054"/>
      <c r="G8" s="1054"/>
      <c r="H8" s="1055"/>
      <c r="I8" s="221"/>
      <c r="J8" s="220"/>
      <c r="K8" s="222"/>
      <c r="L8" s="504">
        <v>4</v>
      </c>
      <c r="M8" s="503" t="s">
        <v>684</v>
      </c>
      <c r="N8" s="502">
        <v>2</v>
      </c>
    </row>
    <row r="9" spans="2:14" s="168" customFormat="1" ht="15" customHeight="1">
      <c r="B9" s="223"/>
      <c r="C9" s="1053"/>
      <c r="D9" s="1054"/>
      <c r="E9" s="1054"/>
      <c r="F9" s="1054"/>
      <c r="G9" s="1054"/>
      <c r="H9" s="1055"/>
      <c r="I9" s="221"/>
      <c r="J9" s="220"/>
      <c r="K9" s="222"/>
      <c r="L9" s="504">
        <v>5</v>
      </c>
      <c r="M9" s="503" t="s">
        <v>683</v>
      </c>
      <c r="N9" s="502">
        <v>3</v>
      </c>
    </row>
    <row r="10" spans="2:14" s="168" customFormat="1" ht="15" customHeight="1">
      <c r="B10" s="223"/>
      <c r="C10" s="1053"/>
      <c r="D10" s="1054"/>
      <c r="E10" s="1054"/>
      <c r="F10" s="1054"/>
      <c r="G10" s="1054"/>
      <c r="H10" s="1055"/>
      <c r="I10" s="221"/>
      <c r="J10" s="220"/>
      <c r="K10" s="222"/>
      <c r="L10" s="504">
        <v>6</v>
      </c>
      <c r="M10" s="503" t="s">
        <v>682</v>
      </c>
      <c r="N10" s="502">
        <v>4</v>
      </c>
    </row>
    <row r="11" spans="2:14" s="168" customFormat="1" ht="15" customHeight="1">
      <c r="B11" s="223"/>
      <c r="C11" s="1053"/>
      <c r="D11" s="1054"/>
      <c r="E11" s="1054"/>
      <c r="F11" s="1054"/>
      <c r="G11" s="1054"/>
      <c r="H11" s="1055"/>
      <c r="I11" s="221"/>
      <c r="J11" s="220"/>
      <c r="K11" s="222"/>
      <c r="L11" s="504">
        <v>7</v>
      </c>
      <c r="M11" s="503" t="s">
        <v>681</v>
      </c>
      <c r="N11" s="502">
        <v>1</v>
      </c>
    </row>
    <row r="12" spans="2:14" s="168" customFormat="1" ht="15" customHeight="1">
      <c r="B12" s="223"/>
      <c r="C12" s="1053"/>
      <c r="D12" s="1054"/>
      <c r="E12" s="1054"/>
      <c r="F12" s="1054"/>
      <c r="G12" s="1054"/>
      <c r="H12" s="1055"/>
      <c r="I12" s="221"/>
      <c r="J12" s="220"/>
      <c r="K12" s="222"/>
      <c r="L12" s="504">
        <v>8</v>
      </c>
      <c r="M12" s="503" t="s">
        <v>680</v>
      </c>
      <c r="N12" s="502">
        <v>1</v>
      </c>
    </row>
    <row r="13" spans="2:14" s="168" customFormat="1" ht="15" customHeight="1">
      <c r="B13" s="223"/>
      <c r="C13" s="1053"/>
      <c r="D13" s="1054"/>
      <c r="E13" s="1054"/>
      <c r="F13" s="1054"/>
      <c r="G13" s="1054"/>
      <c r="H13" s="1055"/>
      <c r="I13" s="221"/>
      <c r="J13" s="220"/>
      <c r="K13" s="222"/>
      <c r="L13" s="504">
        <v>9</v>
      </c>
      <c r="M13" s="503" t="s">
        <v>646</v>
      </c>
      <c r="N13" s="502">
        <v>1</v>
      </c>
    </row>
    <row r="14" spans="2:14" s="168" customFormat="1" ht="15" customHeight="1">
      <c r="B14" s="223"/>
      <c r="C14" s="1053"/>
      <c r="D14" s="1054"/>
      <c r="E14" s="1054"/>
      <c r="F14" s="1054"/>
      <c r="G14" s="1054"/>
      <c r="H14" s="1055"/>
      <c r="I14" s="221"/>
      <c r="J14" s="220"/>
      <c r="K14" s="222"/>
      <c r="L14" s="504">
        <v>10</v>
      </c>
      <c r="M14" s="503" t="s">
        <v>679</v>
      </c>
      <c r="N14" s="502">
        <v>1</v>
      </c>
    </row>
    <row r="15" spans="2:14" s="168" customFormat="1" ht="15" customHeight="1">
      <c r="B15" s="223"/>
      <c r="C15" s="1053"/>
      <c r="D15" s="1054"/>
      <c r="E15" s="1054"/>
      <c r="F15" s="1054"/>
      <c r="G15" s="1054"/>
      <c r="H15" s="1055"/>
      <c r="I15" s="221"/>
      <c r="J15" s="220"/>
      <c r="K15" s="222"/>
      <c r="L15" s="504"/>
      <c r="M15" s="503" t="s">
        <v>678</v>
      </c>
      <c r="N15" s="502">
        <v>3</v>
      </c>
    </row>
    <row r="16" spans="2:14" s="168" customFormat="1" ht="15" customHeight="1">
      <c r="B16" s="223"/>
      <c r="C16" s="1056"/>
      <c r="D16" s="1057"/>
      <c r="E16" s="1057"/>
      <c r="F16" s="1057"/>
      <c r="G16" s="1057"/>
      <c r="H16" s="1058"/>
      <c r="I16" s="221"/>
      <c r="J16" s="220"/>
      <c r="K16" s="222"/>
      <c r="N16" s="500"/>
    </row>
    <row r="17" spans="1:14" s="168" customFormat="1" ht="15" customHeight="1">
      <c r="B17" s="223"/>
      <c r="C17" s="431"/>
      <c r="D17" s="431"/>
      <c r="E17" s="222"/>
      <c r="F17" s="222"/>
      <c r="G17" s="222"/>
      <c r="H17" s="222"/>
      <c r="I17" s="221"/>
      <c r="J17" s="220"/>
      <c r="K17" s="222"/>
      <c r="L17" s="430"/>
      <c r="N17" s="500"/>
    </row>
    <row r="18" spans="1:14" ht="15" customHeight="1" thickBot="1">
      <c r="B18" s="525" t="s">
        <v>1</v>
      </c>
      <c r="C18" s="218" t="s">
        <v>2</v>
      </c>
      <c r="D18" s="217" t="s">
        <v>325</v>
      </c>
      <c r="E18" s="217" t="s">
        <v>3</v>
      </c>
      <c r="F18" s="217" t="s">
        <v>324</v>
      </c>
      <c r="G18" s="217" t="s">
        <v>5</v>
      </c>
      <c r="H18" s="217" t="s">
        <v>6</v>
      </c>
      <c r="I18" s="217" t="s">
        <v>7</v>
      </c>
      <c r="J18" s="216" t="s">
        <v>8</v>
      </c>
      <c r="K18" s="297"/>
      <c r="L18" s="423"/>
      <c r="M18" s="451"/>
    </row>
    <row r="19" spans="1:14" s="487" customFormat="1" ht="15" customHeight="1" thickTop="1">
      <c r="A19" s="170"/>
      <c r="B19" s="524" t="str">
        <f>+"01.08.02"</f>
        <v>01.08.02</v>
      </c>
      <c r="C19" s="496" t="str">
        <f>+B3&amp;" ("&amp;E19&amp;" und.)"</f>
        <v>VALVULA DE PURGA TIPO 2 (3 und.)</v>
      </c>
      <c r="D19" s="288"/>
      <c r="E19" s="495">
        <f>+SUM(E20:E20)</f>
        <v>3</v>
      </c>
      <c r="F19" s="494"/>
      <c r="G19" s="493"/>
      <c r="H19" s="493"/>
      <c r="I19" s="493"/>
      <c r="J19" s="492"/>
      <c r="K19" s="297"/>
    </row>
    <row r="20" spans="1:14" s="487" customFormat="1" ht="15" customHeight="1">
      <c r="A20" s="170"/>
      <c r="B20" s="524"/>
      <c r="C20" s="340" t="str">
        <f>+$B$3&amp;L20</f>
        <v>VALVULA DE PURGA TIPO 2 Ø = 1"</v>
      </c>
      <c r="D20" s="196"/>
      <c r="E20" s="490">
        <v>3</v>
      </c>
      <c r="F20" s="494"/>
      <c r="G20" s="493"/>
      <c r="H20" s="493"/>
      <c r="I20" s="493"/>
      <c r="J20" s="492"/>
      <c r="K20" s="297"/>
      <c r="L20" s="489" t="s">
        <v>759</v>
      </c>
    </row>
    <row r="21" spans="1:14" s="487" customFormat="1" ht="15" customHeight="1">
      <c r="A21" s="170"/>
      <c r="B21" s="595"/>
      <c r="C21" s="594"/>
      <c r="D21" s="196"/>
      <c r="E21" s="453"/>
      <c r="F21" s="364"/>
      <c r="G21" s="246"/>
      <c r="H21" s="246"/>
      <c r="I21" s="246"/>
      <c r="J21" s="452"/>
      <c r="K21" s="297"/>
      <c r="L21" s="423"/>
      <c r="N21" s="488"/>
    </row>
    <row r="22" spans="1:14" ht="15" customHeight="1">
      <c r="B22" s="518" t="str">
        <f>B$19 &amp; ".01"</f>
        <v>01.08.02.01</v>
      </c>
      <c r="C22" s="454" t="s">
        <v>107</v>
      </c>
      <c r="D22" s="196"/>
      <c r="E22" s="21">
        <f>+$E$19</f>
        <v>3</v>
      </c>
      <c r="F22" s="364"/>
      <c r="G22" s="246"/>
      <c r="H22" s="246"/>
      <c r="I22" s="246"/>
      <c r="J22" s="452"/>
      <c r="K22" s="297"/>
      <c r="L22" s="486" t="s">
        <v>10</v>
      </c>
      <c r="M22" s="523" t="s">
        <v>644</v>
      </c>
      <c r="N22" s="486" t="s">
        <v>12</v>
      </c>
    </row>
    <row r="23" spans="1:14" ht="15" customHeight="1">
      <c r="B23" s="517" t="str">
        <f>B$22 &amp; ".01"</f>
        <v>01.08.02.01.01</v>
      </c>
      <c r="C23" s="474" t="s">
        <v>493</v>
      </c>
      <c r="D23" s="20" t="s">
        <v>55</v>
      </c>
      <c r="E23" s="105"/>
      <c r="F23" s="103"/>
      <c r="G23" s="103"/>
      <c r="H23" s="103"/>
      <c r="I23" s="280">
        <f>SUM(I24:I25)</f>
        <v>5.5600000000000005</v>
      </c>
      <c r="J23" s="447">
        <f>+I23*$E$22</f>
        <v>16.68</v>
      </c>
      <c r="K23" s="439"/>
      <c r="L23" s="1066" t="s">
        <v>643</v>
      </c>
      <c r="M23" s="1066"/>
      <c r="N23" s="1066"/>
    </row>
    <row r="24" spans="1:14" ht="15" customHeight="1">
      <c r="B24" s="517"/>
      <c r="C24" s="340" t="s">
        <v>637</v>
      </c>
      <c r="D24" s="20"/>
      <c r="E24" s="105">
        <v>1</v>
      </c>
      <c r="F24" s="103">
        <f>+M45</f>
        <v>1.6</v>
      </c>
      <c r="G24" s="103">
        <f>+M44</f>
        <v>1.6</v>
      </c>
      <c r="I24" s="448">
        <f>+ROUND(PRODUCT(E24:G24),2)</f>
        <v>2.56</v>
      </c>
      <c r="J24" s="482"/>
      <c r="K24" s="350"/>
      <c r="L24" s="479" t="s">
        <v>328</v>
      </c>
      <c r="M24" s="478">
        <v>0.6</v>
      </c>
      <c r="N24" s="477" t="s">
        <v>0</v>
      </c>
    </row>
    <row r="25" spans="1:14" ht="15" customHeight="1">
      <c r="B25" s="517"/>
      <c r="C25" s="340" t="s">
        <v>674</v>
      </c>
      <c r="D25" s="20"/>
      <c r="E25" s="105">
        <v>1</v>
      </c>
      <c r="F25" s="103">
        <v>3</v>
      </c>
      <c r="G25" s="103">
        <v>1</v>
      </c>
      <c r="H25" s="103"/>
      <c r="I25" s="448">
        <f>+ROUND(PRODUCT(E25:H25),2)</f>
        <v>3</v>
      </c>
      <c r="J25" s="482"/>
      <c r="K25" s="350"/>
      <c r="L25" s="481" t="s">
        <v>23</v>
      </c>
      <c r="M25" s="478">
        <v>0.6</v>
      </c>
      <c r="N25" s="477" t="s">
        <v>0</v>
      </c>
    </row>
    <row r="26" spans="1:14" s="168" customFormat="1" ht="15" customHeight="1">
      <c r="B26" s="521"/>
      <c r="C26" s="30"/>
      <c r="D26" s="20"/>
      <c r="E26" s="105"/>
      <c r="F26" s="103"/>
      <c r="G26" s="103"/>
      <c r="H26" s="103"/>
      <c r="I26" s="103"/>
      <c r="J26" s="459"/>
      <c r="K26" s="338"/>
      <c r="L26" s="479" t="s">
        <v>329</v>
      </c>
      <c r="M26" s="478">
        <v>0.7</v>
      </c>
      <c r="N26" s="477" t="s">
        <v>0</v>
      </c>
    </row>
    <row r="27" spans="1:14" s="168" customFormat="1" ht="15" customHeight="1">
      <c r="B27" s="517" t="str">
        <f>B$22 &amp; ".02"</f>
        <v>01.08.02.01.02</v>
      </c>
      <c r="C27" s="474" t="s">
        <v>642</v>
      </c>
      <c r="D27" s="20" t="s">
        <v>55</v>
      </c>
      <c r="E27" s="105"/>
      <c r="F27" s="103"/>
      <c r="G27" s="103"/>
      <c r="H27" s="103"/>
      <c r="I27" s="280">
        <f>SUM(I28:I29)</f>
        <v>5.5600000000000005</v>
      </c>
      <c r="J27" s="447">
        <f>+I27*$E$22</f>
        <v>16.68</v>
      </c>
      <c r="K27" s="439"/>
      <c r="L27" s="481" t="s">
        <v>641</v>
      </c>
      <c r="M27" s="478">
        <v>0.1</v>
      </c>
      <c r="N27" s="477" t="s">
        <v>0</v>
      </c>
    </row>
    <row r="28" spans="1:14" s="168" customFormat="1" ht="15" customHeight="1">
      <c r="B28" s="521"/>
      <c r="C28" s="340" t="s">
        <v>637</v>
      </c>
      <c r="D28" s="20"/>
      <c r="E28" s="105">
        <v>1</v>
      </c>
      <c r="F28" s="103">
        <f>+F24</f>
        <v>1.6</v>
      </c>
      <c r="G28" s="103">
        <f>+G24</f>
        <v>1.6</v>
      </c>
      <c r="I28" s="448">
        <f>+ROUND(PRODUCT(E28:G28),2)</f>
        <v>2.56</v>
      </c>
      <c r="J28" s="482"/>
      <c r="K28" s="350"/>
      <c r="L28" s="481" t="s">
        <v>640</v>
      </c>
      <c r="M28" s="478">
        <v>0.1</v>
      </c>
      <c r="N28" s="477" t="s">
        <v>0</v>
      </c>
    </row>
    <row r="29" spans="1:14" s="168" customFormat="1" ht="15" customHeight="1">
      <c r="B29" s="521"/>
      <c r="C29" s="340" t="s">
        <v>674</v>
      </c>
      <c r="D29" s="20"/>
      <c r="E29" s="105">
        <v>1</v>
      </c>
      <c r="F29" s="103">
        <f>+F25</f>
        <v>3</v>
      </c>
      <c r="G29" s="103">
        <f>+G25</f>
        <v>1</v>
      </c>
      <c r="H29" s="103"/>
      <c r="I29" s="448">
        <f>+ROUND(PRODUCT(E29:H29),2)</f>
        <v>3</v>
      </c>
      <c r="J29" s="482"/>
      <c r="K29" s="350"/>
      <c r="L29" s="1066" t="s">
        <v>675</v>
      </c>
      <c r="M29" s="1066"/>
      <c r="N29" s="1066"/>
    </row>
    <row r="30" spans="1:14" s="168" customFormat="1" ht="15" customHeight="1">
      <c r="B30" s="521"/>
      <c r="C30" s="340"/>
      <c r="D30" s="20"/>
      <c r="E30" s="105"/>
      <c r="F30" s="103"/>
      <c r="G30" s="103"/>
      <c r="H30" s="103"/>
      <c r="I30" s="448"/>
      <c r="J30" s="482"/>
      <c r="K30" s="350"/>
      <c r="L30" s="522"/>
      <c r="M30" s="522"/>
      <c r="N30" s="522"/>
    </row>
    <row r="31" spans="1:14" s="168" customFormat="1" ht="15" customHeight="1">
      <c r="B31" s="517" t="str">
        <f>B$22 &amp; ".03"</f>
        <v>01.08.02.01.03</v>
      </c>
      <c r="C31" s="474" t="s">
        <v>639</v>
      </c>
      <c r="D31" s="20" t="s">
        <v>55</v>
      </c>
      <c r="E31" s="105"/>
      <c r="F31" s="103"/>
      <c r="G31" s="103"/>
      <c r="H31" s="103"/>
      <c r="I31" s="280">
        <f>SUM(I32:I33)</f>
        <v>5.5600000000000005</v>
      </c>
      <c r="J31" s="447">
        <f>+I31*$E$22</f>
        <v>16.68</v>
      </c>
      <c r="K31" s="350"/>
      <c r="L31" s="522"/>
      <c r="M31" s="522"/>
      <c r="N31" s="522"/>
    </row>
    <row r="32" spans="1:14" s="168" customFormat="1" ht="15" customHeight="1">
      <c r="B32" s="521"/>
      <c r="C32" s="340" t="s">
        <v>637</v>
      </c>
      <c r="D32" s="20"/>
      <c r="E32" s="105">
        <v>1</v>
      </c>
      <c r="F32" s="103">
        <f>+F28</f>
        <v>1.6</v>
      </c>
      <c r="G32" s="103">
        <f>+G28</f>
        <v>1.6</v>
      </c>
      <c r="I32" s="448">
        <f>+ROUND(PRODUCT(E32:G32),2)</f>
        <v>2.56</v>
      </c>
      <c r="J32" s="482"/>
      <c r="K32" s="350"/>
      <c r="L32" s="522"/>
      <c r="M32" s="522"/>
      <c r="N32" s="522"/>
    </row>
    <row r="33" spans="2:14" s="168" customFormat="1" ht="15" customHeight="1">
      <c r="B33" s="521"/>
      <c r="C33" s="340" t="s">
        <v>674</v>
      </c>
      <c r="D33" s="20"/>
      <c r="E33" s="105">
        <v>1</v>
      </c>
      <c r="F33" s="103">
        <f>+F29</f>
        <v>3</v>
      </c>
      <c r="G33" s="103">
        <f>+G29</f>
        <v>1</v>
      </c>
      <c r="H33" s="103"/>
      <c r="I33" s="448">
        <f>+ROUND(PRODUCT(E33:H33),2)</f>
        <v>3</v>
      </c>
      <c r="J33" s="482"/>
      <c r="K33" s="350"/>
      <c r="L33" s="522"/>
      <c r="M33" s="522"/>
      <c r="N33" s="522"/>
    </row>
    <row r="34" spans="2:14" s="168" customFormat="1" ht="14.25" customHeight="1">
      <c r="B34" s="521"/>
      <c r="C34" s="30"/>
      <c r="D34" s="20"/>
      <c r="E34" s="105"/>
      <c r="F34" s="103"/>
      <c r="G34" s="103"/>
      <c r="H34" s="103"/>
      <c r="I34" s="103"/>
      <c r="J34" s="459"/>
      <c r="K34" s="338"/>
      <c r="L34" s="481" t="s">
        <v>328</v>
      </c>
      <c r="M34" s="478">
        <f>+M24+2*M28+2*M27</f>
        <v>1</v>
      </c>
      <c r="N34" s="477" t="s">
        <v>0</v>
      </c>
    </row>
    <row r="35" spans="2:14" ht="15" customHeight="1">
      <c r="B35" s="518" t="str">
        <f>B$19 &amp; ".02"</f>
        <v>01.08.02.02</v>
      </c>
      <c r="C35" s="454" t="s">
        <v>101</v>
      </c>
      <c r="D35" s="196"/>
      <c r="E35" s="21">
        <f>+$E$19</f>
        <v>3</v>
      </c>
      <c r="F35" s="364"/>
      <c r="G35" s="246"/>
      <c r="H35" s="246"/>
      <c r="I35" s="246"/>
      <c r="J35" s="452"/>
      <c r="K35" s="297"/>
      <c r="L35" s="481" t="s">
        <v>23</v>
      </c>
      <c r="M35" s="478">
        <f>+M25+2*M28+2*M27</f>
        <v>1</v>
      </c>
      <c r="N35" s="477" t="s">
        <v>0</v>
      </c>
    </row>
    <row r="36" spans="2:14" s="168" customFormat="1" ht="15" customHeight="1">
      <c r="B36" s="517" t="str">
        <f>B$35 &amp; ".01"</f>
        <v>01.08.02.02.01</v>
      </c>
      <c r="C36" s="474" t="s">
        <v>246</v>
      </c>
      <c r="D36" s="20" t="s">
        <v>93</v>
      </c>
      <c r="E36" s="105"/>
      <c r="F36" s="103"/>
      <c r="G36" s="103"/>
      <c r="H36" s="103"/>
      <c r="I36" s="280">
        <f>SUM(I37:I44)</f>
        <v>3.38</v>
      </c>
      <c r="J36" s="447">
        <f>+I36*$E$35</f>
        <v>10.14</v>
      </c>
      <c r="K36" s="439"/>
      <c r="L36" s="481" t="s">
        <v>635</v>
      </c>
      <c r="M36" s="478">
        <v>0.1</v>
      </c>
      <c r="N36" s="477" t="s">
        <v>0</v>
      </c>
    </row>
    <row r="37" spans="2:14" s="168" customFormat="1" ht="15" customHeight="1">
      <c r="B37" s="521"/>
      <c r="C37" s="340" t="s">
        <v>637</v>
      </c>
      <c r="D37" s="20"/>
      <c r="E37" s="105">
        <v>1</v>
      </c>
      <c r="F37" s="103" t="s">
        <v>236</v>
      </c>
      <c r="G37" s="103"/>
      <c r="H37" s="103">
        <f>+G42/6*((2*G38+G40)*G39+(2*G40+G38)*G41)</f>
        <v>1.5786666666666667</v>
      </c>
      <c r="I37" s="448">
        <f>+ROUND(PRODUCT(E37:H37),2)</f>
        <v>1.58</v>
      </c>
      <c r="J37" s="482"/>
      <c r="K37" s="350"/>
      <c r="L37" s="1066" t="s">
        <v>615</v>
      </c>
      <c r="M37" s="1066"/>
      <c r="N37" s="1066"/>
    </row>
    <row r="38" spans="2:14" s="168" customFormat="1" ht="15" customHeight="1">
      <c r="B38" s="521"/>
      <c r="C38" s="340"/>
      <c r="D38" s="20"/>
      <c r="E38" s="105"/>
      <c r="F38" s="103" t="s">
        <v>636</v>
      </c>
      <c r="G38" s="103">
        <f>+M44</f>
        <v>1.6</v>
      </c>
      <c r="H38" s="103"/>
      <c r="I38" s="448"/>
      <c r="J38" s="482"/>
      <c r="K38" s="350"/>
      <c r="L38" s="1066" t="s">
        <v>622</v>
      </c>
      <c r="M38" s="1066"/>
      <c r="N38" s="1066"/>
    </row>
    <row r="39" spans="2:14" s="168" customFormat="1" ht="15" customHeight="1">
      <c r="B39" s="521"/>
      <c r="C39" s="340"/>
      <c r="D39" s="20"/>
      <c r="E39" s="105"/>
      <c r="F39" s="103" t="s">
        <v>634</v>
      </c>
      <c r="G39" s="103">
        <f>+M45</f>
        <v>1.6</v>
      </c>
      <c r="H39" s="103"/>
      <c r="I39" s="448"/>
      <c r="J39" s="482"/>
      <c r="K39" s="350"/>
      <c r="L39" s="481" t="s">
        <v>615</v>
      </c>
      <c r="M39" s="478">
        <v>0.1</v>
      </c>
      <c r="N39" s="477" t="s">
        <v>0</v>
      </c>
    </row>
    <row r="40" spans="2:14" s="168" customFormat="1" ht="15" customHeight="1">
      <c r="B40" s="521"/>
      <c r="C40" s="485" t="s">
        <v>633</v>
      </c>
      <c r="D40" s="20"/>
      <c r="E40" s="105"/>
      <c r="F40" s="103" t="s">
        <v>632</v>
      </c>
      <c r="G40" s="103">
        <f>+M40</f>
        <v>1.2</v>
      </c>
      <c r="H40" s="103"/>
      <c r="I40" s="448"/>
      <c r="J40" s="482"/>
      <c r="K40" s="350"/>
      <c r="L40" s="479" t="s">
        <v>619</v>
      </c>
      <c r="M40" s="478">
        <f>+M34+2*M39</f>
        <v>1.2</v>
      </c>
      <c r="N40" s="477" t="s">
        <v>0</v>
      </c>
    </row>
    <row r="41" spans="2:14" s="168" customFormat="1" ht="15" customHeight="1">
      <c r="B41" s="521"/>
      <c r="C41" s="485" t="s">
        <v>630</v>
      </c>
      <c r="D41" s="20"/>
      <c r="E41" s="105"/>
      <c r="F41" s="103" t="s">
        <v>629</v>
      </c>
      <c r="G41" s="103">
        <f>+M41</f>
        <v>1.2</v>
      </c>
      <c r="H41" s="103"/>
      <c r="I41" s="448"/>
      <c r="J41" s="482"/>
      <c r="K41" s="350"/>
      <c r="L41" s="481" t="s">
        <v>617</v>
      </c>
      <c r="M41" s="478">
        <f>+M35+2*M39</f>
        <v>1.2</v>
      </c>
      <c r="N41" s="477" t="s">
        <v>0</v>
      </c>
    </row>
    <row r="42" spans="2:14" s="168" customFormat="1" ht="15" customHeight="1">
      <c r="B42" s="521"/>
      <c r="C42" s="340"/>
      <c r="D42" s="20"/>
      <c r="E42" s="105"/>
      <c r="F42" s="103" t="s">
        <v>627</v>
      </c>
      <c r="G42" s="103">
        <f>+M47</f>
        <v>0.8</v>
      </c>
      <c r="H42" s="103"/>
      <c r="I42" s="448"/>
      <c r="J42" s="482"/>
      <c r="K42" s="350"/>
      <c r="L42" s="1066" t="s">
        <v>616</v>
      </c>
      <c r="M42" s="1066"/>
      <c r="N42" s="1066"/>
    </row>
    <row r="43" spans="2:14" s="168" customFormat="1" ht="15" customHeight="1">
      <c r="B43" s="521"/>
      <c r="C43" s="340"/>
      <c r="D43" s="20"/>
      <c r="E43" s="105"/>
      <c r="F43" s="103"/>
      <c r="G43" s="103"/>
      <c r="H43" s="103"/>
      <c r="I43" s="448"/>
      <c r="J43" s="482"/>
      <c r="K43" s="350"/>
      <c r="L43" s="481" t="s">
        <v>615</v>
      </c>
      <c r="M43" s="480">
        <f>+M46*M47</f>
        <v>0.2</v>
      </c>
      <c r="N43" s="477" t="s">
        <v>0</v>
      </c>
    </row>
    <row r="44" spans="2:14" s="168" customFormat="1" ht="15" customHeight="1">
      <c r="B44" s="521"/>
      <c r="C44" s="340" t="s">
        <v>673</v>
      </c>
      <c r="D44" s="20"/>
      <c r="E44" s="105">
        <v>1</v>
      </c>
      <c r="F44" s="103">
        <f>+F25</f>
        <v>3</v>
      </c>
      <c r="G44" s="103">
        <f>+G29</f>
        <v>1</v>
      </c>
      <c r="H44" s="103">
        <v>0.6</v>
      </c>
      <c r="I44" s="448">
        <f>+ROUND(PRODUCT(E44:H44),2)</f>
        <v>1.8</v>
      </c>
      <c r="J44" s="482"/>
      <c r="K44" s="350"/>
      <c r="L44" s="479" t="s">
        <v>614</v>
      </c>
      <c r="M44" s="478">
        <f>+M40+2*M43</f>
        <v>1.6</v>
      </c>
      <c r="N44" s="477" t="s">
        <v>0</v>
      </c>
    </row>
    <row r="45" spans="2:14" s="168" customFormat="1" ht="15" customHeight="1">
      <c r="B45" s="521"/>
      <c r="C45" s="484"/>
      <c r="D45" s="20"/>
      <c r="E45" s="105"/>
      <c r="F45" s="103"/>
      <c r="G45" s="103"/>
      <c r="H45" s="103"/>
      <c r="I45" s="103"/>
      <c r="J45" s="459"/>
      <c r="K45" s="338"/>
      <c r="L45" s="481" t="s">
        <v>612</v>
      </c>
      <c r="M45" s="478">
        <f>+M41+2*M43</f>
        <v>1.6</v>
      </c>
      <c r="N45" s="477" t="s">
        <v>0</v>
      </c>
    </row>
    <row r="46" spans="2:14" ht="30" customHeight="1">
      <c r="B46" s="519" t="str">
        <f>B$35 &amp; ".02"</f>
        <v>01.08.02.02.02</v>
      </c>
      <c r="C46" s="449" t="s">
        <v>240</v>
      </c>
      <c r="D46" s="20" t="s">
        <v>93</v>
      </c>
      <c r="E46" s="105"/>
      <c r="F46" s="103"/>
      <c r="G46" s="103"/>
      <c r="H46" s="103"/>
      <c r="I46" s="280">
        <f>SUM(I47:I49)</f>
        <v>1.03</v>
      </c>
      <c r="J46" s="447">
        <f>+I46*$E$35</f>
        <v>3.09</v>
      </c>
      <c r="K46" s="439"/>
      <c r="L46" s="481" t="s">
        <v>611</v>
      </c>
      <c r="M46" s="478">
        <v>0.25</v>
      </c>
      <c r="N46" s="477" t="s">
        <v>0</v>
      </c>
    </row>
    <row r="47" spans="2:14" ht="15" customHeight="1">
      <c r="B47" s="521"/>
      <c r="C47" s="340" t="s">
        <v>621</v>
      </c>
      <c r="D47" s="20"/>
      <c r="E47" s="105">
        <v>1</v>
      </c>
      <c r="F47" s="476"/>
      <c r="G47" s="476"/>
      <c r="H47" s="103">
        <f>+H37</f>
        <v>1.5786666666666667</v>
      </c>
      <c r="I47" s="448">
        <f>+ROUND(PRODUCT(E47:H47),2)</f>
        <v>1.58</v>
      </c>
      <c r="J47" s="459"/>
      <c r="K47" s="338"/>
      <c r="L47" s="479" t="s">
        <v>610</v>
      </c>
      <c r="M47" s="480">
        <v>0.8</v>
      </c>
      <c r="N47" s="477" t="s">
        <v>0</v>
      </c>
    </row>
    <row r="48" spans="2:14" ht="15" customHeight="1">
      <c r="B48" s="521"/>
      <c r="C48" s="340" t="s">
        <v>620</v>
      </c>
      <c r="D48" s="20"/>
      <c r="E48" s="105">
        <v>-1</v>
      </c>
      <c r="F48" s="103">
        <f>+M25+2*M28</f>
        <v>0.8</v>
      </c>
      <c r="G48" s="103">
        <f>+M24+2*M28</f>
        <v>0.8</v>
      </c>
      <c r="H48" s="103">
        <f>+M26</f>
        <v>0.7</v>
      </c>
      <c r="I48" s="448">
        <f>+ROUND(PRODUCT(E48:H48),2)</f>
        <v>-0.45</v>
      </c>
      <c r="J48" s="459"/>
      <c r="K48" s="338"/>
      <c r="L48" s="479" t="s">
        <v>608</v>
      </c>
      <c r="M48" s="478">
        <v>0.05</v>
      </c>
      <c r="N48" s="477" t="s">
        <v>0</v>
      </c>
    </row>
    <row r="49" spans="2:14" ht="15" customHeight="1">
      <c r="B49" s="521"/>
      <c r="C49" s="340" t="s">
        <v>618</v>
      </c>
      <c r="D49" s="20"/>
      <c r="E49" s="105">
        <v>-1</v>
      </c>
      <c r="F49" s="103">
        <f>+M35</f>
        <v>1</v>
      </c>
      <c r="G49" s="103">
        <f>+M34</f>
        <v>1</v>
      </c>
      <c r="H49" s="103">
        <f>+M36</f>
        <v>0.1</v>
      </c>
      <c r="I49" s="448">
        <f>+ROUND(PRODUCT(E49:H49),2)</f>
        <v>-0.1</v>
      </c>
      <c r="J49" s="459"/>
      <c r="K49" s="338"/>
      <c r="L49" s="479" t="s">
        <v>671</v>
      </c>
      <c r="M49" s="478">
        <v>0.2</v>
      </c>
      <c r="N49" s="477" t="s">
        <v>0</v>
      </c>
    </row>
    <row r="50" spans="2:14" ht="15" customHeight="1">
      <c r="B50" s="521"/>
      <c r="C50" s="340"/>
      <c r="D50" s="20"/>
      <c r="E50" s="105"/>
      <c r="F50" s="103"/>
      <c r="H50" s="103"/>
      <c r="I50" s="448"/>
      <c r="J50" s="459"/>
      <c r="K50" s="338"/>
    </row>
    <row r="51" spans="2:14" ht="15" customHeight="1">
      <c r="B51" s="517" t="str">
        <f>B$35 &amp; ".03"</f>
        <v>01.08.02.02.03</v>
      </c>
      <c r="C51" s="474" t="s">
        <v>317</v>
      </c>
      <c r="D51" s="20" t="s">
        <v>93</v>
      </c>
      <c r="E51" s="105"/>
      <c r="F51" s="103"/>
      <c r="G51" s="103"/>
      <c r="H51" s="103"/>
      <c r="I51" s="280">
        <f>SUM(I52:I53)</f>
        <v>2.92</v>
      </c>
      <c r="J51" s="447">
        <f>+I51*$E$35</f>
        <v>8.76</v>
      </c>
      <c r="K51" s="338"/>
    </row>
    <row r="52" spans="2:14" ht="15" customHeight="1">
      <c r="B52" s="521"/>
      <c r="C52" s="340" t="s">
        <v>238</v>
      </c>
      <c r="D52" s="20"/>
      <c r="E52" s="105">
        <v>1</v>
      </c>
      <c r="F52" s="103">
        <v>1.2</v>
      </c>
      <c r="G52" s="103" t="s">
        <v>236</v>
      </c>
      <c r="H52" s="103">
        <f>+I36</f>
        <v>3.38</v>
      </c>
      <c r="I52" s="448">
        <f>+ROUND(PRODUCT(E52:H52),2)</f>
        <v>4.0599999999999996</v>
      </c>
      <c r="J52" s="482"/>
      <c r="K52" s="338"/>
    </row>
    <row r="53" spans="2:14" ht="15" customHeight="1">
      <c r="B53" s="521"/>
      <c r="C53" s="340" t="s">
        <v>758</v>
      </c>
      <c r="D53" s="20"/>
      <c r="E53" s="105">
        <v>-1</v>
      </c>
      <c r="F53" s="103">
        <f>1/(0.9)</f>
        <v>1.1111111111111112</v>
      </c>
      <c r="G53" s="103" t="s">
        <v>236</v>
      </c>
      <c r="H53" s="103">
        <f>+I46</f>
        <v>1.03</v>
      </c>
      <c r="I53" s="448">
        <f>+ROUND(PRODUCT(E53:H53),2)</f>
        <v>-1.1399999999999999</v>
      </c>
      <c r="J53" s="482"/>
      <c r="K53" s="338"/>
    </row>
    <row r="54" spans="2:14" ht="15" customHeight="1">
      <c r="B54" s="521"/>
      <c r="C54" s="30"/>
      <c r="D54" s="20"/>
      <c r="E54" s="105"/>
      <c r="F54" s="103"/>
      <c r="G54" s="103"/>
      <c r="H54" s="103"/>
      <c r="I54" s="448"/>
      <c r="J54" s="459"/>
      <c r="K54" s="338"/>
    </row>
    <row r="55" spans="2:14" s="168" customFormat="1" ht="15" customHeight="1">
      <c r="B55" s="518" t="str">
        <f>B$19 &amp; ".03"</f>
        <v>01.08.02.03</v>
      </c>
      <c r="C55" s="454" t="s">
        <v>95</v>
      </c>
      <c r="D55" s="20"/>
      <c r="E55" s="21">
        <f>+$E$19</f>
        <v>3</v>
      </c>
      <c r="F55" s="103"/>
      <c r="G55" s="103"/>
      <c r="H55" s="103"/>
      <c r="I55" s="103"/>
      <c r="J55" s="459"/>
      <c r="K55" s="338"/>
      <c r="N55" s="500"/>
    </row>
    <row r="56" spans="2:14" s="168" customFormat="1" ht="15" customHeight="1">
      <c r="B56" s="517" t="str">
        <f>B$55 &amp; ".01"</f>
        <v>01.08.02.03.01</v>
      </c>
      <c r="C56" s="474" t="s">
        <v>606</v>
      </c>
      <c r="D56" s="20" t="s">
        <v>93</v>
      </c>
      <c r="E56" s="105"/>
      <c r="F56" s="103"/>
      <c r="G56" s="103"/>
      <c r="H56" s="103"/>
      <c r="I56" s="280">
        <f>SUM(I57)</f>
        <v>1.2E-2</v>
      </c>
      <c r="J56" s="447">
        <f>+I56*$E$55</f>
        <v>3.6000000000000004E-2</v>
      </c>
      <c r="K56" s="338"/>
      <c r="L56" s="427"/>
      <c r="N56" s="500"/>
    </row>
    <row r="57" spans="2:14" s="168" customFormat="1" ht="15" customHeight="1">
      <c r="B57" s="517"/>
      <c r="C57" s="340" t="s">
        <v>670</v>
      </c>
      <c r="D57" s="20"/>
      <c r="E57" s="105">
        <v>1</v>
      </c>
      <c r="F57" s="103">
        <v>0.3</v>
      </c>
      <c r="G57" s="103">
        <v>0.2</v>
      </c>
      <c r="H57" s="103">
        <v>0.2</v>
      </c>
      <c r="I57" s="448">
        <f>+ROUND(PRODUCT(E57:H57),3)</f>
        <v>1.2E-2</v>
      </c>
      <c r="J57" s="459"/>
      <c r="K57" s="338"/>
      <c r="L57" s="427"/>
      <c r="N57" s="500"/>
    </row>
    <row r="58" spans="2:14" s="168" customFormat="1" ht="15" customHeight="1">
      <c r="B58" s="517"/>
      <c r="C58" s="30"/>
      <c r="D58" s="20"/>
      <c r="E58" s="105"/>
      <c r="F58" s="103"/>
      <c r="G58" s="103"/>
      <c r="H58" s="103"/>
      <c r="I58" s="103"/>
      <c r="J58" s="459"/>
      <c r="K58" s="338"/>
      <c r="L58" s="427"/>
      <c r="N58" s="500"/>
    </row>
    <row r="59" spans="2:14" s="168" customFormat="1" ht="15" customHeight="1">
      <c r="B59" s="518" t="str">
        <f>B$19 &amp; ".04"</f>
        <v>01.08.02.04</v>
      </c>
      <c r="C59" s="454" t="s">
        <v>467</v>
      </c>
      <c r="D59" s="20"/>
      <c r="E59" s="105"/>
      <c r="F59" s="103"/>
      <c r="G59" s="104"/>
      <c r="H59" s="103"/>
      <c r="I59" s="103"/>
      <c r="J59" s="459"/>
      <c r="K59" s="338"/>
      <c r="L59" s="427"/>
      <c r="N59" s="500"/>
    </row>
    <row r="60" spans="2:14" ht="15" customHeight="1">
      <c r="B60" s="517" t="str">
        <f>B$59 &amp; ".01"</f>
        <v>01.08.02.04.01</v>
      </c>
      <c r="C60" s="474" t="s">
        <v>669</v>
      </c>
      <c r="D60" s="20" t="s">
        <v>93</v>
      </c>
      <c r="E60" s="105"/>
      <c r="F60" s="103"/>
      <c r="H60" s="103"/>
      <c r="I60" s="280">
        <f>SUM(I61:I62)</f>
        <v>0.19600000000000001</v>
      </c>
      <c r="J60" s="447">
        <f>+I60*E55</f>
        <v>0.58800000000000008</v>
      </c>
      <c r="K60" s="439"/>
      <c r="L60" s="423"/>
    </row>
    <row r="61" spans="2:14" ht="15" customHeight="1">
      <c r="B61" s="521"/>
      <c r="C61" s="340" t="s">
        <v>603</v>
      </c>
      <c r="D61" s="20"/>
      <c r="E61" s="105">
        <v>2</v>
      </c>
      <c r="F61" s="103">
        <f>+M24+2*M28</f>
        <v>0.8</v>
      </c>
      <c r="G61" s="103">
        <f>+M28</f>
        <v>0.1</v>
      </c>
      <c r="H61" s="103">
        <f>+$M$26</f>
        <v>0.7</v>
      </c>
      <c r="I61" s="448">
        <f>+ROUND(PRODUCT(E61:H61),3)</f>
        <v>0.112</v>
      </c>
      <c r="J61" s="459"/>
      <c r="K61" s="338"/>
      <c r="L61" s="423"/>
    </row>
    <row r="62" spans="2:14" ht="15" customHeight="1">
      <c r="B62" s="521"/>
      <c r="C62" s="340" t="s">
        <v>602</v>
      </c>
      <c r="D62" s="20"/>
      <c r="E62" s="105">
        <v>2</v>
      </c>
      <c r="F62" s="103">
        <f>+M24</f>
        <v>0.6</v>
      </c>
      <c r="G62" s="103">
        <f>+M28</f>
        <v>0.1</v>
      </c>
      <c r="H62" s="103">
        <f>+$M$26</f>
        <v>0.7</v>
      </c>
      <c r="I62" s="448">
        <f>+ROUND(PRODUCT(E62:H62),3)</f>
        <v>8.4000000000000005E-2</v>
      </c>
      <c r="J62" s="459"/>
      <c r="K62" s="338"/>
      <c r="L62" s="423"/>
    </row>
    <row r="63" spans="2:14" ht="15" customHeight="1">
      <c r="B63" s="521"/>
      <c r="C63" s="340"/>
      <c r="D63" s="20"/>
      <c r="E63" s="105"/>
      <c r="F63" s="103"/>
      <c r="G63" s="103"/>
      <c r="H63" s="103"/>
      <c r="I63" s="448"/>
      <c r="J63" s="459"/>
      <c r="K63" s="338"/>
      <c r="L63" s="423"/>
    </row>
    <row r="64" spans="2:14" ht="15" customHeight="1">
      <c r="B64" s="517" t="str">
        <f>B$59 &amp; ".02"</f>
        <v>01.08.02.04.02</v>
      </c>
      <c r="C64" s="474" t="s">
        <v>668</v>
      </c>
      <c r="D64" s="20" t="s">
        <v>93</v>
      </c>
      <c r="E64" s="105"/>
      <c r="F64" s="103"/>
      <c r="H64" s="103"/>
      <c r="I64" s="280">
        <f>SUM(I65:I66)</f>
        <v>6.4000000000000001E-2</v>
      </c>
      <c r="J64" s="447">
        <f>+I64*E55</f>
        <v>0.192</v>
      </c>
      <c r="K64" s="338"/>
      <c r="L64" s="423"/>
    </row>
    <row r="65" spans="2:14" ht="15" customHeight="1">
      <c r="B65" s="521"/>
      <c r="C65" s="340" t="s">
        <v>466</v>
      </c>
      <c r="D65" s="20"/>
      <c r="E65" s="105">
        <v>1</v>
      </c>
      <c r="F65" s="103">
        <f>+M35</f>
        <v>1</v>
      </c>
      <c r="G65" s="103">
        <f>+M34</f>
        <v>1</v>
      </c>
      <c r="H65" s="103">
        <f>+$M$36</f>
        <v>0.1</v>
      </c>
      <c r="I65" s="448">
        <f>+ROUND(PRODUCT(E65:H65),3)</f>
        <v>0.1</v>
      </c>
      <c r="J65" s="459"/>
      <c r="K65" s="338"/>
      <c r="L65" s="423"/>
    </row>
    <row r="66" spans="2:14" ht="15" customHeight="1">
      <c r="B66" s="521"/>
      <c r="C66" s="340" t="s">
        <v>667</v>
      </c>
      <c r="D66" s="20"/>
      <c r="E66" s="105">
        <v>-1</v>
      </c>
      <c r="F66" s="103">
        <f>+M25</f>
        <v>0.6</v>
      </c>
      <c r="G66" s="103">
        <f>+M24</f>
        <v>0.6</v>
      </c>
      <c r="H66" s="103">
        <f>+$M$36</f>
        <v>0.1</v>
      </c>
      <c r="I66" s="448">
        <f>+ROUND(PRODUCT(E66:H66),3)</f>
        <v>-3.5999999999999997E-2</v>
      </c>
      <c r="J66" s="459"/>
      <c r="K66" s="338"/>
      <c r="L66" s="423"/>
    </row>
    <row r="67" spans="2:14" ht="15" customHeight="1">
      <c r="B67" s="521"/>
      <c r="C67" s="340"/>
      <c r="D67" s="20"/>
      <c r="E67" s="105"/>
      <c r="F67" s="103"/>
      <c r="G67" s="103"/>
      <c r="H67" s="103"/>
      <c r="I67" s="448"/>
      <c r="J67" s="459"/>
      <c r="K67" s="338"/>
      <c r="L67" s="423"/>
    </row>
    <row r="68" spans="2:14" s="168" customFormat="1" ht="15" customHeight="1">
      <c r="B68" s="517" t="str">
        <f>B$59 &amp; ".03"</f>
        <v>01.08.02.04.03</v>
      </c>
      <c r="C68" s="474" t="s">
        <v>666</v>
      </c>
      <c r="D68" s="20" t="s">
        <v>55</v>
      </c>
      <c r="E68" s="105"/>
      <c r="F68" s="103"/>
      <c r="G68" s="103"/>
      <c r="H68" s="103"/>
      <c r="I68" s="280">
        <f>SUM(I69:I70)</f>
        <v>0.2</v>
      </c>
      <c r="J68" s="447">
        <f>+I68*$E$55</f>
        <v>0.60000000000000009</v>
      </c>
      <c r="K68" s="338"/>
      <c r="L68" s="427"/>
      <c r="N68" s="500"/>
    </row>
    <row r="69" spans="2:14" s="168" customFormat="1" ht="15" customHeight="1">
      <c r="B69" s="521"/>
      <c r="C69" s="340" t="s">
        <v>665</v>
      </c>
      <c r="D69" s="20"/>
      <c r="E69" s="105">
        <v>2</v>
      </c>
      <c r="F69" s="103">
        <v>0.2</v>
      </c>
      <c r="H69" s="103">
        <v>0.2</v>
      </c>
      <c r="I69" s="448">
        <f>+ROUND(PRODUCT(E69:H69),3)</f>
        <v>0.08</v>
      </c>
      <c r="J69" s="459"/>
      <c r="K69" s="338"/>
      <c r="L69" s="427"/>
      <c r="N69" s="500"/>
    </row>
    <row r="70" spans="2:14" s="168" customFormat="1" ht="15" customHeight="1">
      <c r="B70" s="521"/>
      <c r="C70" s="340" t="s">
        <v>664</v>
      </c>
      <c r="D70" s="20"/>
      <c r="E70" s="105">
        <v>2</v>
      </c>
      <c r="F70" s="103">
        <v>0.3</v>
      </c>
      <c r="G70" s="103">
        <v>0.2</v>
      </c>
      <c r="H70" s="103"/>
      <c r="I70" s="448">
        <f>+ROUND(PRODUCT(E70:H70),3)</f>
        <v>0.12</v>
      </c>
      <c r="J70" s="459"/>
      <c r="K70" s="338"/>
      <c r="L70" s="427"/>
      <c r="N70" s="500"/>
    </row>
    <row r="71" spans="2:14" s="168" customFormat="1" ht="15" customHeight="1">
      <c r="B71" s="521"/>
      <c r="C71" s="340"/>
      <c r="D71" s="20"/>
      <c r="E71" s="105"/>
      <c r="F71" s="103"/>
      <c r="G71" s="103"/>
      <c r="H71" s="103"/>
      <c r="I71" s="448"/>
      <c r="J71" s="459"/>
      <c r="K71" s="338"/>
      <c r="L71" s="427"/>
      <c r="N71" s="500"/>
    </row>
    <row r="72" spans="2:14" s="168" customFormat="1" ht="15" customHeight="1">
      <c r="B72" s="517" t="str">
        <f>B$59 &amp; ".04"</f>
        <v>01.08.02.04.04</v>
      </c>
      <c r="C72" s="474" t="s">
        <v>205</v>
      </c>
      <c r="D72" s="20" t="s">
        <v>55</v>
      </c>
      <c r="E72" s="105"/>
      <c r="F72" s="103"/>
      <c r="G72" s="103"/>
      <c r="H72" s="103"/>
      <c r="I72" s="280">
        <f>SUM(I73:I76)</f>
        <v>3.92</v>
      </c>
      <c r="J72" s="447">
        <f>+I72*$E$55</f>
        <v>11.76</v>
      </c>
      <c r="K72" s="338"/>
      <c r="L72" s="427"/>
      <c r="N72" s="500"/>
    </row>
    <row r="73" spans="2:14" s="168" customFormat="1" ht="15" customHeight="1">
      <c r="B73" s="521"/>
      <c r="C73" s="340" t="s">
        <v>598</v>
      </c>
      <c r="D73" s="20"/>
      <c r="E73" s="105">
        <v>2</v>
      </c>
      <c r="F73" s="103">
        <f>+M25+2*M28</f>
        <v>0.8</v>
      </c>
      <c r="G73" s="170"/>
      <c r="H73" s="103">
        <f>+$M$26</f>
        <v>0.7</v>
      </c>
      <c r="I73" s="448">
        <f>+ROUND(PRODUCT(E73:H73),3)</f>
        <v>1.1200000000000001</v>
      </c>
      <c r="J73" s="459"/>
      <c r="K73" s="338"/>
      <c r="L73" s="427"/>
      <c r="N73" s="500"/>
    </row>
    <row r="74" spans="2:14" s="168" customFormat="1" ht="15" customHeight="1">
      <c r="B74" s="521"/>
      <c r="C74" s="340" t="s">
        <v>597</v>
      </c>
      <c r="D74" s="20"/>
      <c r="E74" s="105">
        <v>2</v>
      </c>
      <c r="F74" s="103"/>
      <c r="G74" s="103">
        <f>+M24+2*M28</f>
        <v>0.8</v>
      </c>
      <c r="H74" s="103">
        <f>+$M$26</f>
        <v>0.7</v>
      </c>
      <c r="I74" s="448">
        <f>+ROUND(PRODUCT(E74:H74),3)</f>
        <v>1.1200000000000001</v>
      </c>
      <c r="J74" s="459"/>
      <c r="K74" s="338"/>
      <c r="L74" s="427"/>
      <c r="N74" s="500"/>
    </row>
    <row r="75" spans="2:14" s="168" customFormat="1" ht="15" customHeight="1">
      <c r="B75" s="521"/>
      <c r="C75" s="340" t="s">
        <v>581</v>
      </c>
      <c r="D75" s="20"/>
      <c r="E75" s="105">
        <v>2</v>
      </c>
      <c r="F75" s="103">
        <f>+$M$25</f>
        <v>0.6</v>
      </c>
      <c r="G75" s="170"/>
      <c r="H75" s="103">
        <f>+$M$26</f>
        <v>0.7</v>
      </c>
      <c r="I75" s="448">
        <f>+ROUND(PRODUCT(E75:H75),3)</f>
        <v>0.84</v>
      </c>
      <c r="J75" s="459"/>
      <c r="K75" s="338"/>
      <c r="L75" s="427"/>
      <c r="N75" s="500"/>
    </row>
    <row r="76" spans="2:14" s="168" customFormat="1" ht="15" customHeight="1">
      <c r="B76" s="521"/>
      <c r="C76" s="340" t="s">
        <v>580</v>
      </c>
      <c r="D76" s="20"/>
      <c r="E76" s="105">
        <v>2</v>
      </c>
      <c r="F76" s="103"/>
      <c r="G76" s="103">
        <f>+$M$24</f>
        <v>0.6</v>
      </c>
      <c r="H76" s="103">
        <f>+$M$26</f>
        <v>0.7</v>
      </c>
      <c r="I76" s="448">
        <f>+ROUND(PRODUCT(E76:H76),3)</f>
        <v>0.84</v>
      </c>
      <c r="J76" s="459"/>
      <c r="K76" s="338"/>
      <c r="L76" s="427"/>
      <c r="N76" s="500"/>
    </row>
    <row r="77" spans="2:14" s="168" customFormat="1" ht="15" customHeight="1">
      <c r="B77" s="521"/>
      <c r="C77" s="340"/>
      <c r="D77" s="20"/>
      <c r="E77" s="105"/>
      <c r="F77" s="103"/>
      <c r="G77" s="103"/>
      <c r="H77" s="103"/>
      <c r="I77" s="448"/>
      <c r="J77" s="459"/>
      <c r="K77" s="338"/>
      <c r="L77" s="427"/>
      <c r="N77" s="500"/>
    </row>
    <row r="78" spans="2:14" s="168" customFormat="1" ht="15" customHeight="1">
      <c r="B78" s="517" t="str">
        <f>B$59 &amp; ".05"</f>
        <v>01.08.02.04.05</v>
      </c>
      <c r="C78" s="474" t="s">
        <v>197</v>
      </c>
      <c r="D78" s="20" t="s">
        <v>55</v>
      </c>
      <c r="E78" s="105"/>
      <c r="F78" s="103"/>
      <c r="G78" s="103"/>
      <c r="H78" s="103"/>
      <c r="I78" s="280">
        <f>SUM(I79:I82)</f>
        <v>0.64</v>
      </c>
      <c r="J78" s="447">
        <f>+I78*$E$55</f>
        <v>1.92</v>
      </c>
      <c r="K78" s="338"/>
      <c r="L78" s="427"/>
      <c r="N78" s="500"/>
    </row>
    <row r="79" spans="2:14" s="168" customFormat="1" ht="15" customHeight="1">
      <c r="B79" s="521"/>
      <c r="C79" s="340" t="s">
        <v>596</v>
      </c>
      <c r="D79" s="20"/>
      <c r="E79" s="105">
        <v>2</v>
      </c>
      <c r="F79" s="103">
        <f>+$M$35</f>
        <v>1</v>
      </c>
      <c r="G79" s="170"/>
      <c r="H79" s="103">
        <f>+$M$36</f>
        <v>0.1</v>
      </c>
      <c r="I79" s="448">
        <f>+ROUND(PRODUCT(E79:H79),3)</f>
        <v>0.2</v>
      </c>
      <c r="J79" s="459"/>
      <c r="K79" s="338"/>
      <c r="L79" s="427"/>
      <c r="N79" s="500"/>
    </row>
    <row r="80" spans="2:14" s="168" customFormat="1" ht="15" customHeight="1">
      <c r="B80" s="521"/>
      <c r="C80" s="340" t="s">
        <v>595</v>
      </c>
      <c r="D80" s="20"/>
      <c r="E80" s="105">
        <v>2</v>
      </c>
      <c r="F80" s="170"/>
      <c r="G80" s="103">
        <f>+$M$34</f>
        <v>1</v>
      </c>
      <c r="H80" s="103">
        <f>+$M$36</f>
        <v>0.1</v>
      </c>
      <c r="I80" s="448">
        <f>+ROUND(PRODUCT(E80:H80),3)</f>
        <v>0.2</v>
      </c>
      <c r="J80" s="459"/>
      <c r="K80" s="338"/>
      <c r="L80" s="427"/>
      <c r="N80" s="500"/>
    </row>
    <row r="81" spans="2:15" s="168" customFormat="1" ht="15" customHeight="1">
      <c r="B81" s="521"/>
      <c r="C81" s="340" t="s">
        <v>660</v>
      </c>
      <c r="D81" s="20"/>
      <c r="E81" s="105">
        <v>2</v>
      </c>
      <c r="F81" s="103">
        <f>+$M$25</f>
        <v>0.6</v>
      </c>
      <c r="G81" s="170"/>
      <c r="H81" s="103">
        <f>+$M$36</f>
        <v>0.1</v>
      </c>
      <c r="I81" s="448">
        <f>+ROUND(PRODUCT(E81:H81),3)</f>
        <v>0.12</v>
      </c>
      <c r="J81" s="459"/>
      <c r="K81" s="338"/>
      <c r="L81" s="427"/>
      <c r="N81" s="500"/>
    </row>
    <row r="82" spans="2:15" s="168" customFormat="1" ht="15" customHeight="1">
      <c r="B82" s="521"/>
      <c r="C82" s="340" t="s">
        <v>659</v>
      </c>
      <c r="D82" s="20"/>
      <c r="E82" s="105">
        <v>2</v>
      </c>
      <c r="F82" s="103"/>
      <c r="G82" s="103">
        <f>+$M$24</f>
        <v>0.6</v>
      </c>
      <c r="H82" s="103">
        <f>+$M$36</f>
        <v>0.1</v>
      </c>
      <c r="I82" s="448">
        <f>+ROUND(PRODUCT(E82:H82),3)</f>
        <v>0.12</v>
      </c>
      <c r="J82" s="459"/>
      <c r="K82" s="338"/>
      <c r="L82" s="427"/>
      <c r="N82" s="500"/>
    </row>
    <row r="83" spans="2:15" s="168" customFormat="1" ht="15" customHeight="1">
      <c r="B83" s="521"/>
      <c r="C83" s="340"/>
      <c r="D83" s="20"/>
      <c r="E83" s="105"/>
      <c r="F83" s="103"/>
      <c r="G83" s="103"/>
      <c r="H83" s="103"/>
      <c r="I83" s="448"/>
      <c r="J83" s="459"/>
      <c r="K83" s="338"/>
      <c r="L83" s="427"/>
      <c r="N83" s="500"/>
    </row>
    <row r="84" spans="2:15" s="168" customFormat="1" ht="15" customHeight="1">
      <c r="B84" s="517" t="str">
        <f>B$59 &amp; ".06"</f>
        <v>01.08.02.04.06</v>
      </c>
      <c r="C84" s="474" t="s">
        <v>188</v>
      </c>
      <c r="D84" s="848" t="s">
        <v>187</v>
      </c>
      <c r="E84" s="21"/>
      <c r="F84" s="103"/>
      <c r="G84" s="103"/>
      <c r="H84" s="103"/>
      <c r="I84" s="358">
        <f>SUM(I85:I85)</f>
        <v>25.715200000000003</v>
      </c>
      <c r="J84" s="447">
        <f>+I84*$E$55</f>
        <v>77.145600000000002</v>
      </c>
      <c r="K84" s="338"/>
      <c r="L84" s="427"/>
      <c r="N84" s="500"/>
    </row>
    <row r="85" spans="2:15" ht="15" customHeight="1">
      <c r="B85" s="521"/>
      <c r="C85" s="340" t="s">
        <v>663</v>
      </c>
      <c r="D85" s="20"/>
      <c r="E85" s="849">
        <v>1</v>
      </c>
      <c r="F85" s="103"/>
      <c r="G85" s="103"/>
      <c r="H85" s="103"/>
      <c r="I85" s="448">
        <f>'1.8 M-ACERO T-02'!N228</f>
        <v>25.715200000000003</v>
      </c>
      <c r="J85" s="459"/>
      <c r="K85" s="338"/>
      <c r="L85" s="423"/>
      <c r="N85" s="170"/>
      <c r="O85" s="434"/>
    </row>
    <row r="86" spans="2:15" ht="15" customHeight="1">
      <c r="B86" s="521"/>
      <c r="C86" s="340"/>
      <c r="D86" s="20"/>
      <c r="E86" s="461"/>
      <c r="F86" s="103"/>
      <c r="G86" s="103"/>
      <c r="H86" s="103"/>
      <c r="I86" s="448"/>
      <c r="J86" s="459"/>
      <c r="K86" s="338"/>
      <c r="L86" s="423"/>
    </row>
    <row r="87" spans="2:15" ht="15" customHeight="1">
      <c r="B87" s="518" t="str">
        <f>B$19 &amp; ".05"</f>
        <v>01.08.02.05</v>
      </c>
      <c r="C87" s="454" t="s">
        <v>662</v>
      </c>
      <c r="D87" s="20"/>
      <c r="E87" s="21">
        <f>+$E$19</f>
        <v>3</v>
      </c>
      <c r="F87" s="103"/>
      <c r="G87" s="103"/>
      <c r="H87" s="103"/>
      <c r="I87" s="103"/>
      <c r="J87" s="459"/>
      <c r="K87" s="338"/>
      <c r="L87" s="423"/>
    </row>
    <row r="88" spans="2:15" ht="15" customHeight="1">
      <c r="B88" s="517" t="str">
        <f>B$87 &amp; ".01"</f>
        <v>01.08.02.05.01</v>
      </c>
      <c r="C88" s="369" t="s">
        <v>661</v>
      </c>
      <c r="D88" s="20" t="s">
        <v>55</v>
      </c>
      <c r="E88" s="105"/>
      <c r="F88" s="103"/>
      <c r="G88" s="103"/>
      <c r="H88" s="103"/>
      <c r="I88" s="280">
        <f>SUM(I89:I92)</f>
        <v>1.92</v>
      </c>
      <c r="J88" s="447">
        <f>+I88*$E$87</f>
        <v>5.76</v>
      </c>
      <c r="K88" s="338"/>
      <c r="L88" s="423"/>
    </row>
    <row r="89" spans="2:15" ht="15" customHeight="1">
      <c r="B89" s="521"/>
      <c r="C89" s="340" t="s">
        <v>581</v>
      </c>
      <c r="D89" s="20"/>
      <c r="E89" s="105">
        <v>2</v>
      </c>
      <c r="F89" s="103">
        <f>+$M$25</f>
        <v>0.6</v>
      </c>
      <c r="H89" s="103">
        <f>+$M$26</f>
        <v>0.7</v>
      </c>
      <c r="I89" s="448">
        <f>+ROUND(PRODUCT(E89:H89),2)</f>
        <v>0.84</v>
      </c>
      <c r="J89" s="459"/>
      <c r="K89" s="338"/>
      <c r="L89" s="423"/>
    </row>
    <row r="90" spans="2:15" ht="15" customHeight="1">
      <c r="B90" s="521"/>
      <c r="C90" s="340" t="s">
        <v>580</v>
      </c>
      <c r="D90" s="20"/>
      <c r="E90" s="105">
        <v>2</v>
      </c>
      <c r="F90" s="103"/>
      <c r="G90" s="103">
        <f>+$M$24</f>
        <v>0.6</v>
      </c>
      <c r="H90" s="103">
        <f>+$M$26</f>
        <v>0.7</v>
      </c>
      <c r="I90" s="448">
        <f>+ROUND(PRODUCT(E90:H90),2)</f>
        <v>0.84</v>
      </c>
      <c r="J90" s="459"/>
      <c r="K90" s="338"/>
      <c r="L90" s="423"/>
    </row>
    <row r="91" spans="2:15" ht="15" customHeight="1">
      <c r="B91" s="521"/>
      <c r="C91" s="340" t="s">
        <v>660</v>
      </c>
      <c r="D91" s="20"/>
      <c r="E91" s="105">
        <v>2</v>
      </c>
      <c r="F91" s="103">
        <f>+$M$25</f>
        <v>0.6</v>
      </c>
      <c r="H91" s="103">
        <f>+$M$36</f>
        <v>0.1</v>
      </c>
      <c r="I91" s="448">
        <f>+ROUND(PRODUCT(E91:H91),2)</f>
        <v>0.12</v>
      </c>
      <c r="J91" s="459"/>
      <c r="K91" s="338"/>
      <c r="L91" s="423"/>
    </row>
    <row r="92" spans="2:15" ht="30" customHeight="1">
      <c r="B92" s="521"/>
      <c r="C92" s="340" t="s">
        <v>659</v>
      </c>
      <c r="D92" s="20"/>
      <c r="E92" s="105">
        <v>2</v>
      </c>
      <c r="F92" s="103"/>
      <c r="G92" s="103">
        <f>+$M$24</f>
        <v>0.6</v>
      </c>
      <c r="H92" s="103">
        <f>+$M$36</f>
        <v>0.1</v>
      </c>
      <c r="I92" s="448">
        <f>+ROUND(PRODUCT(E92:H92),2)</f>
        <v>0.12</v>
      </c>
      <c r="J92" s="459"/>
      <c r="K92" s="338"/>
      <c r="L92" s="423"/>
    </row>
    <row r="93" spans="2:15" ht="15" customHeight="1">
      <c r="B93" s="521"/>
      <c r="C93" s="340"/>
      <c r="D93" s="20"/>
      <c r="E93" s="105"/>
      <c r="F93" s="103"/>
      <c r="G93" s="103"/>
      <c r="H93" s="103"/>
      <c r="I93" s="448"/>
      <c r="J93" s="459"/>
      <c r="K93" s="338"/>
      <c r="L93" s="423"/>
    </row>
    <row r="94" spans="2:15" ht="15" customHeight="1">
      <c r="B94" s="518" t="str">
        <f>B$19 &amp; ".06"</f>
        <v>01.08.02.06</v>
      </c>
      <c r="C94" s="454" t="s">
        <v>658</v>
      </c>
      <c r="D94" s="20"/>
      <c r="E94" s="21">
        <f>+$E$19</f>
        <v>3</v>
      </c>
      <c r="F94" s="103"/>
      <c r="G94" s="103"/>
      <c r="H94" s="103"/>
      <c r="I94" s="448"/>
      <c r="J94" s="459"/>
      <c r="K94" s="338"/>
      <c r="L94" s="423"/>
    </row>
    <row r="95" spans="2:15" ht="15" customHeight="1">
      <c r="B95" s="517" t="str">
        <f>B$94 &amp; ".01"</f>
        <v>01.08.02.06.01</v>
      </c>
      <c r="C95" s="449" t="s">
        <v>657</v>
      </c>
      <c r="D95" s="20" t="s">
        <v>55</v>
      </c>
      <c r="E95" s="105"/>
      <c r="F95" s="103"/>
      <c r="G95" s="103"/>
      <c r="H95" s="103"/>
      <c r="I95" s="280">
        <f>SUM(I96)</f>
        <v>0.25</v>
      </c>
      <c r="J95" s="447">
        <f>+I95*$E$94</f>
        <v>0.75</v>
      </c>
      <c r="K95" s="297"/>
      <c r="L95" s="423"/>
    </row>
    <row r="96" spans="2:15" ht="15" customHeight="1">
      <c r="B96" s="521"/>
      <c r="C96" s="340" t="s">
        <v>656</v>
      </c>
      <c r="D96" s="20"/>
      <c r="E96" s="105">
        <v>1</v>
      </c>
      <c r="F96" s="103">
        <v>0.5</v>
      </c>
      <c r="G96" s="103">
        <v>0.5</v>
      </c>
      <c r="H96" s="103"/>
      <c r="I96" s="448">
        <f>+ROUND(PRODUCT(E96:H96),2)</f>
        <v>0.25</v>
      </c>
      <c r="J96" s="459"/>
      <c r="K96" s="439"/>
      <c r="L96" s="423"/>
    </row>
    <row r="97" spans="2:12" ht="15" customHeight="1">
      <c r="B97" s="521"/>
      <c r="C97" s="340"/>
      <c r="D97" s="20"/>
      <c r="E97" s="105"/>
      <c r="F97" s="103"/>
      <c r="G97" s="103"/>
      <c r="H97" s="103"/>
      <c r="I97" s="103"/>
      <c r="J97" s="459"/>
      <c r="K97" s="439"/>
      <c r="L97" s="423"/>
    </row>
    <row r="98" spans="2:12" ht="15" customHeight="1">
      <c r="B98" s="518" t="str">
        <f>B$19 &amp; ".07"</f>
        <v>01.08.02.07</v>
      </c>
      <c r="C98" s="454" t="s">
        <v>156</v>
      </c>
      <c r="D98" s="196"/>
      <c r="E98" s="21">
        <f>+$E$19</f>
        <v>3</v>
      </c>
      <c r="F98" s="364"/>
      <c r="G98" s="246"/>
      <c r="H98" s="246"/>
      <c r="I98" s="246"/>
      <c r="J98" s="452"/>
      <c r="K98" s="338"/>
      <c r="L98" s="423"/>
    </row>
    <row r="99" spans="2:12" ht="15" customHeight="1">
      <c r="B99" s="517" t="str">
        <f>B$98 &amp; ".01"</f>
        <v>01.08.02.07.01</v>
      </c>
      <c r="C99" s="449" t="s">
        <v>112</v>
      </c>
      <c r="D99" s="20" t="s">
        <v>93</v>
      </c>
      <c r="E99" s="105"/>
      <c r="F99" s="364"/>
      <c r="H99" s="246"/>
      <c r="I99" s="280">
        <f>SUM(I100)</f>
        <v>7.1999999999999995E-2</v>
      </c>
      <c r="J99" s="447">
        <f>+I99*$E$98</f>
        <v>0.21599999999999997</v>
      </c>
      <c r="K99" s="297"/>
      <c r="L99" s="423"/>
    </row>
    <row r="100" spans="2:12" ht="15" customHeight="1">
      <c r="B100" s="517"/>
      <c r="C100" s="449"/>
      <c r="D100" s="20"/>
      <c r="E100" s="105">
        <v>1</v>
      </c>
      <c r="F100" s="103">
        <f>+M25</f>
        <v>0.6</v>
      </c>
      <c r="G100" s="103">
        <f>+M24</f>
        <v>0.6</v>
      </c>
      <c r="H100" s="103">
        <f>+M49</f>
        <v>0.2</v>
      </c>
      <c r="I100" s="448">
        <f>+ROUND(PRODUCT(E100:H100),3)</f>
        <v>7.1999999999999995E-2</v>
      </c>
      <c r="J100" s="447"/>
      <c r="K100" s="439"/>
    </row>
    <row r="101" spans="2:12" ht="15" customHeight="1">
      <c r="B101" s="521"/>
      <c r="C101" s="107"/>
      <c r="D101" s="20"/>
      <c r="E101" s="105"/>
      <c r="F101" s="103"/>
      <c r="G101" s="103"/>
      <c r="H101" s="103"/>
      <c r="I101" s="103"/>
      <c r="J101" s="459"/>
      <c r="K101" s="439"/>
      <c r="L101" s="423"/>
    </row>
    <row r="102" spans="2:12" ht="15" customHeight="1">
      <c r="B102" s="518" t="str">
        <f>B$19 &amp; ".08"</f>
        <v>01.08.02.08</v>
      </c>
      <c r="C102" s="454" t="s">
        <v>655</v>
      </c>
      <c r="D102" s="196"/>
      <c r="E102" s="21"/>
      <c r="F102" s="364"/>
      <c r="G102" s="246"/>
      <c r="H102" s="246"/>
      <c r="I102" s="246"/>
      <c r="J102" s="452"/>
      <c r="K102" s="439"/>
      <c r="L102" s="423"/>
    </row>
    <row r="103" spans="2:12" ht="15" customHeight="1">
      <c r="B103" s="519" t="str">
        <f>B$102 &amp; ".01"</f>
        <v>01.08.02.08.01</v>
      </c>
      <c r="C103" s="449" t="s">
        <v>757</v>
      </c>
      <c r="D103" s="20" t="s">
        <v>58</v>
      </c>
      <c r="E103" s="21">
        <f>E98</f>
        <v>3</v>
      </c>
      <c r="F103" s="103"/>
      <c r="G103" s="103"/>
      <c r="H103" s="103"/>
      <c r="I103" s="448">
        <f>+ROUND(PRODUCT(E103:H103),3)</f>
        <v>3</v>
      </c>
      <c r="J103" s="447">
        <f>I103</f>
        <v>3</v>
      </c>
      <c r="K103" s="439"/>
      <c r="L103" s="423"/>
    </row>
    <row r="104" spans="2:12" ht="15" customHeight="1">
      <c r="B104" s="519"/>
      <c r="C104" s="456" t="s">
        <v>756</v>
      </c>
      <c r="D104" s="20" t="s">
        <v>58</v>
      </c>
      <c r="E104" s="105">
        <v>1</v>
      </c>
      <c r="F104" s="103"/>
      <c r="G104" s="103"/>
      <c r="H104" s="103"/>
      <c r="I104" s="448"/>
      <c r="J104" s="447"/>
      <c r="K104" s="439"/>
      <c r="L104" s="423"/>
    </row>
    <row r="105" spans="2:12" ht="15" customHeight="1">
      <c r="B105" s="519"/>
      <c r="C105" s="456" t="s">
        <v>755</v>
      </c>
      <c r="D105" s="20" t="s">
        <v>58</v>
      </c>
      <c r="E105" s="105">
        <v>2</v>
      </c>
      <c r="F105" s="103"/>
      <c r="G105" s="103"/>
      <c r="H105" s="103"/>
      <c r="I105" s="448"/>
      <c r="J105" s="447"/>
      <c r="K105" s="439"/>
      <c r="L105" s="423"/>
    </row>
    <row r="106" spans="2:12" ht="15" customHeight="1">
      <c r="B106" s="519"/>
      <c r="C106" s="456" t="s">
        <v>754</v>
      </c>
      <c r="D106" s="20" t="s">
        <v>58</v>
      </c>
      <c r="E106" s="105">
        <v>2</v>
      </c>
      <c r="F106" s="103"/>
      <c r="G106" s="103"/>
      <c r="H106" s="103"/>
      <c r="I106" s="448"/>
      <c r="J106" s="447"/>
      <c r="K106" s="439"/>
      <c r="L106" s="423"/>
    </row>
    <row r="107" spans="2:12" ht="15" customHeight="1">
      <c r="B107" s="519"/>
      <c r="C107" s="456" t="s">
        <v>753</v>
      </c>
      <c r="D107" s="20" t="s">
        <v>58</v>
      </c>
      <c r="E107" s="105">
        <v>2</v>
      </c>
      <c r="F107" s="103"/>
      <c r="G107" s="103"/>
      <c r="H107" s="103"/>
      <c r="I107" s="448"/>
      <c r="J107" s="447"/>
      <c r="K107" s="439"/>
      <c r="L107" s="423"/>
    </row>
    <row r="108" spans="2:12" ht="15" customHeight="1">
      <c r="B108" s="519"/>
      <c r="C108" s="456" t="s">
        <v>752</v>
      </c>
      <c r="D108" s="20" t="s">
        <v>58</v>
      </c>
      <c r="E108" s="105">
        <v>3</v>
      </c>
      <c r="F108" s="103"/>
      <c r="G108" s="103"/>
      <c r="H108" s="103"/>
      <c r="I108" s="448"/>
      <c r="J108" s="447"/>
      <c r="K108" s="439"/>
      <c r="L108" s="423"/>
    </row>
    <row r="109" spans="2:12" ht="15" customHeight="1">
      <c r="B109" s="519"/>
      <c r="C109" s="456" t="s">
        <v>751</v>
      </c>
      <c r="D109" s="20" t="s">
        <v>58</v>
      </c>
      <c r="E109" s="105">
        <v>4</v>
      </c>
      <c r="F109" s="103"/>
      <c r="G109" s="103"/>
      <c r="H109" s="103"/>
      <c r="I109" s="448"/>
      <c r="J109" s="447"/>
      <c r="K109" s="439"/>
      <c r="L109" s="423"/>
    </row>
    <row r="110" spans="2:12" ht="15" customHeight="1">
      <c r="B110" s="519"/>
      <c r="C110" s="456" t="s">
        <v>750</v>
      </c>
      <c r="D110" s="20" t="s">
        <v>58</v>
      </c>
      <c r="E110" s="105">
        <v>1</v>
      </c>
      <c r="F110" s="103"/>
      <c r="G110" s="103"/>
      <c r="H110" s="103"/>
      <c r="I110" s="448"/>
      <c r="J110" s="447"/>
      <c r="K110" s="439"/>
      <c r="L110" s="423"/>
    </row>
    <row r="111" spans="2:12" ht="15" customHeight="1">
      <c r="B111" s="519"/>
      <c r="C111" s="456" t="s">
        <v>749</v>
      </c>
      <c r="D111" s="20" t="s">
        <v>58</v>
      </c>
      <c r="E111" s="105">
        <v>1</v>
      </c>
      <c r="F111" s="103"/>
      <c r="G111" s="103"/>
      <c r="H111" s="103"/>
      <c r="I111" s="448"/>
      <c r="J111" s="447"/>
      <c r="K111" s="439"/>
      <c r="L111" s="423"/>
    </row>
    <row r="112" spans="2:12" ht="15" customHeight="1">
      <c r="B112" s="519"/>
      <c r="C112" s="456" t="s">
        <v>748</v>
      </c>
      <c r="D112" s="20" t="s">
        <v>58</v>
      </c>
      <c r="E112" s="105">
        <v>1</v>
      </c>
      <c r="F112" s="103"/>
      <c r="G112" s="103"/>
      <c r="H112" s="103"/>
      <c r="I112" s="448"/>
      <c r="J112" s="447"/>
      <c r="K112" s="439"/>
      <c r="L112" s="423"/>
    </row>
    <row r="113" spans="2:12" ht="15" customHeight="1">
      <c r="B113" s="518"/>
      <c r="C113" s="520" t="s">
        <v>747</v>
      </c>
      <c r="D113" s="196" t="s">
        <v>58</v>
      </c>
      <c r="E113" s="21">
        <v>1</v>
      </c>
      <c r="F113" s="364"/>
      <c r="G113" s="246"/>
      <c r="H113" s="246"/>
      <c r="I113" s="246"/>
      <c r="J113" s="593"/>
      <c r="K113" s="439"/>
      <c r="L113" s="423"/>
    </row>
    <row r="114" spans="2:12" ht="15" customHeight="1">
      <c r="C114" s="456" t="s">
        <v>568</v>
      </c>
      <c r="D114" s="20" t="s">
        <v>58</v>
      </c>
      <c r="E114" s="105">
        <v>5</v>
      </c>
      <c r="F114" s="592"/>
      <c r="G114" s="592"/>
      <c r="H114" s="592"/>
      <c r="I114" s="592"/>
      <c r="J114" s="452"/>
      <c r="K114" s="439"/>
      <c r="L114" s="423"/>
    </row>
    <row r="115" spans="2:12" ht="15" customHeight="1">
      <c r="B115" s="518"/>
      <c r="C115" s="456" t="s">
        <v>746</v>
      </c>
      <c r="D115" s="20" t="s">
        <v>58</v>
      </c>
      <c r="E115" s="105">
        <v>1</v>
      </c>
      <c r="F115" s="364"/>
      <c r="G115" s="246"/>
      <c r="H115" s="246"/>
      <c r="I115" s="591"/>
      <c r="J115" s="452"/>
      <c r="K115" s="439"/>
      <c r="L115" s="423"/>
    </row>
    <row r="116" spans="2:12" ht="15" customHeight="1">
      <c r="B116" s="518"/>
      <c r="C116" s="456"/>
      <c r="D116" s="20"/>
      <c r="E116" s="105"/>
      <c r="F116" s="364"/>
      <c r="G116" s="246"/>
      <c r="H116" s="246"/>
      <c r="I116" s="246"/>
      <c r="J116" s="452"/>
      <c r="K116" s="439"/>
      <c r="L116" s="423"/>
    </row>
    <row r="117" spans="2:12" ht="15" customHeight="1">
      <c r="B117" s="518" t="str">
        <f>B$19 &amp; ".09"</f>
        <v>01.08.02.09</v>
      </c>
      <c r="C117" s="454" t="s">
        <v>151</v>
      </c>
      <c r="D117" s="196"/>
      <c r="E117" s="21">
        <f>+$E$19</f>
        <v>3</v>
      </c>
      <c r="F117" s="364"/>
      <c r="G117" s="246"/>
      <c r="H117" s="246"/>
      <c r="I117" s="246"/>
      <c r="J117" s="452"/>
    </row>
    <row r="118" spans="2:12" ht="23.45" customHeight="1">
      <c r="B118" s="517" t="str">
        <f>B$117 &amp; ".01"</f>
        <v>01.08.02.09.01</v>
      </c>
      <c r="C118" s="449" t="s">
        <v>443</v>
      </c>
      <c r="D118" s="20" t="s">
        <v>58</v>
      </c>
      <c r="E118" s="105">
        <v>1</v>
      </c>
      <c r="F118" s="103"/>
      <c r="G118" s="103"/>
      <c r="H118" s="103"/>
      <c r="I118" s="448">
        <f>+ROUND(PRODUCT(E118:H118),3)</f>
        <v>1</v>
      </c>
      <c r="J118" s="447">
        <f>+I118*$E$117</f>
        <v>3</v>
      </c>
    </row>
    <row r="119" spans="2:12" ht="15" customHeight="1" thickBot="1">
      <c r="B119" s="516"/>
      <c r="C119" s="515"/>
      <c r="D119" s="514"/>
      <c r="E119" s="513"/>
      <c r="F119" s="512"/>
      <c r="G119" s="512"/>
      <c r="H119" s="512"/>
      <c r="I119" s="512"/>
      <c r="J119" s="511"/>
    </row>
    <row r="120" spans="2:12" ht="15" customHeight="1"/>
  </sheetData>
  <mergeCells count="9">
    <mergeCell ref="B1:J1"/>
    <mergeCell ref="B3:J3"/>
    <mergeCell ref="B2:J2"/>
    <mergeCell ref="L42:N42"/>
    <mergeCell ref="L23:N23"/>
    <mergeCell ref="L29:N29"/>
    <mergeCell ref="C5:H16"/>
    <mergeCell ref="L37:N37"/>
    <mergeCell ref="L38:N38"/>
  </mergeCells>
  <dataValidations count="1">
    <dataValidation type="list" allowBlank="1" showInputMessage="1" showErrorMessage="1" sqref="E86" xr:uid="{00000000-0002-0000-0000-000000000000}">
      <formula1>$E$136:$E$144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54" fitToHeight="0" orientation="portrait" r:id="rId1"/>
  <headerFooter>
    <oddFooter>Página &amp;P&amp;R&amp;A</oddFooter>
  </headerFooter>
  <rowBreaks count="1" manualBreakCount="1">
    <brk id="86" min="1" max="10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65E3-8C20-4B8B-80FD-36FEAA7154F2}">
  <sheetPr codeName="Hoja13"/>
  <dimension ref="A1:S228"/>
  <sheetViews>
    <sheetView view="pageBreakPreview" zoomScaleNormal="100" zoomScaleSheetLayoutView="100" zoomScalePageLayoutView="85" workbookViewId="0">
      <selection activeCell="M236" sqref="M236"/>
    </sheetView>
  </sheetViews>
  <sheetFormatPr baseColWidth="10" defaultColWidth="11.5" defaultRowHeight="15"/>
  <cols>
    <col min="1" max="1" width="8.83203125" style="405" customWidth="1"/>
    <col min="2" max="2" width="8.33203125" style="405" customWidth="1"/>
    <col min="3" max="3" width="9.5" style="405" customWidth="1"/>
    <col min="4" max="9" width="6" style="405" customWidth="1"/>
    <col min="10" max="12" width="11.5" style="405"/>
    <col min="13" max="13" width="17.33203125" style="405" customWidth="1"/>
    <col min="14" max="16384" width="11.5" style="405"/>
  </cols>
  <sheetData>
    <row r="1" spans="1:19" ht="15.75" thickBot="1"/>
    <row r="2" spans="1:19" ht="19.5" thickBot="1">
      <c r="A2" s="1016" t="s">
        <v>745</v>
      </c>
      <c r="B2" s="1017"/>
      <c r="C2" s="1017"/>
      <c r="D2" s="1017"/>
      <c r="E2" s="1017"/>
      <c r="F2" s="1017"/>
      <c r="G2" s="1017"/>
      <c r="H2" s="1017"/>
      <c r="I2" s="1017"/>
      <c r="J2" s="1017"/>
      <c r="K2" s="1017"/>
      <c r="L2" s="1017"/>
      <c r="M2" s="1017"/>
      <c r="N2" s="1017"/>
      <c r="O2" s="1017"/>
      <c r="P2" s="1017"/>
      <c r="Q2" s="1017"/>
      <c r="R2" s="1017"/>
      <c r="S2" s="1018"/>
    </row>
    <row r="3" spans="1:19" ht="29.25" customHeight="1" thickBot="1">
      <c r="A3" s="1102" t="s">
        <v>1086</v>
      </c>
      <c r="B3" s="1103"/>
      <c r="C3" s="1103"/>
      <c r="D3" s="1103"/>
      <c r="E3" s="1103"/>
      <c r="F3" s="1103"/>
      <c r="G3" s="1103"/>
      <c r="H3" s="1103"/>
      <c r="I3" s="1103"/>
      <c r="J3" s="1103"/>
      <c r="K3" s="1103"/>
      <c r="L3" s="1103"/>
      <c r="M3" s="1103"/>
      <c r="N3" s="1103"/>
      <c r="O3" s="1103"/>
      <c r="P3" s="1103"/>
      <c r="Q3" s="1103"/>
      <c r="R3" s="1103"/>
      <c r="S3" s="1104"/>
    </row>
    <row r="4" spans="1:19" ht="19.5" thickBot="1">
      <c r="A4" s="1019" t="s">
        <v>760</v>
      </c>
      <c r="B4" s="1020"/>
      <c r="C4" s="1020"/>
      <c r="D4" s="1020"/>
      <c r="E4" s="1020"/>
      <c r="F4" s="1020"/>
      <c r="G4" s="1020"/>
      <c r="H4" s="1020"/>
      <c r="I4" s="1020"/>
      <c r="J4" s="1020"/>
      <c r="K4" s="1020"/>
      <c r="L4" s="1020"/>
      <c r="M4" s="1020"/>
      <c r="N4" s="1020"/>
      <c r="O4" s="1020"/>
      <c r="P4" s="1020"/>
      <c r="Q4" s="1020"/>
      <c r="R4" s="1020"/>
      <c r="S4" s="1021"/>
    </row>
    <row r="5" spans="1:19">
      <c r="A5" s="590"/>
      <c r="B5" s="589"/>
      <c r="C5" s="589"/>
      <c r="D5" s="589"/>
      <c r="E5" s="589"/>
      <c r="F5" s="589"/>
      <c r="G5" s="589"/>
      <c r="H5" s="589"/>
      <c r="I5" s="589"/>
      <c r="J5" s="589"/>
      <c r="K5" s="589"/>
      <c r="L5" s="589"/>
      <c r="M5" s="589"/>
      <c r="N5" s="589"/>
      <c r="O5" s="589"/>
      <c r="P5" s="589"/>
      <c r="Q5" s="589"/>
      <c r="R5" s="589"/>
      <c r="S5" s="588"/>
    </row>
    <row r="6" spans="1:19" hidden="1">
      <c r="A6" s="587" t="str">
        <f>+'[26]Captación Dique'!B140</f>
        <v>01.03.04.03</v>
      </c>
      <c r="B6" s="586"/>
      <c r="C6" s="586"/>
      <c r="D6" s="585" t="str">
        <f>+'[26]Captación Dique'!C140</f>
        <v>ACERO f'y=4200 kg/cm2</v>
      </c>
      <c r="E6" s="584"/>
      <c r="F6" s="584"/>
      <c r="G6" s="584"/>
      <c r="H6" s="584"/>
      <c r="I6" s="584"/>
      <c r="J6" s="546"/>
      <c r="K6" s="546"/>
      <c r="L6" s="546"/>
      <c r="M6" s="546"/>
      <c r="N6" s="546"/>
      <c r="O6" s="546"/>
      <c r="P6" s="546"/>
      <c r="Q6" s="546"/>
      <c r="R6" s="546"/>
      <c r="S6" s="583"/>
    </row>
    <row r="7" spans="1:19" ht="15.75" thickBot="1">
      <c r="A7" s="582"/>
      <c r="B7" s="581"/>
      <c r="C7" s="581"/>
      <c r="D7" s="581"/>
      <c r="E7" s="581"/>
      <c r="F7" s="581"/>
      <c r="G7" s="581"/>
      <c r="H7" s="581"/>
      <c r="I7" s="581"/>
      <c r="J7" s="581"/>
      <c r="K7" s="581"/>
      <c r="L7" s="581"/>
      <c r="M7" s="581"/>
      <c r="N7" s="581"/>
      <c r="O7" s="581"/>
      <c r="P7" s="581"/>
      <c r="Q7" s="581"/>
      <c r="R7" s="581"/>
      <c r="S7" s="580"/>
    </row>
    <row r="8" spans="1:19">
      <c r="A8" s="1105" t="s">
        <v>2</v>
      </c>
      <c r="B8" s="1106"/>
      <c r="C8" s="1107"/>
      <c r="D8" s="1111" t="s">
        <v>270</v>
      </c>
      <c r="E8" s="1112"/>
      <c r="F8" s="1112"/>
      <c r="G8" s="1112"/>
      <c r="H8" s="1112"/>
      <c r="I8" s="1112"/>
      <c r="J8" s="1113" t="s">
        <v>743</v>
      </c>
      <c r="K8" s="1113" t="s">
        <v>742</v>
      </c>
      <c r="L8" s="1113" t="s">
        <v>741</v>
      </c>
      <c r="M8" s="1113" t="s">
        <v>740</v>
      </c>
      <c r="N8" s="1115" t="s">
        <v>739</v>
      </c>
      <c r="O8" s="1115"/>
      <c r="P8" s="1115"/>
      <c r="Q8" s="1115"/>
      <c r="R8" s="1115"/>
      <c r="S8" s="1115"/>
    </row>
    <row r="9" spans="1:19" ht="28.15" customHeight="1" thickBot="1">
      <c r="A9" s="1108"/>
      <c r="B9" s="1109"/>
      <c r="C9" s="1110"/>
      <c r="D9" s="1111"/>
      <c r="E9" s="1112"/>
      <c r="F9" s="1112"/>
      <c r="G9" s="1112"/>
      <c r="H9" s="1112"/>
      <c r="I9" s="1112"/>
      <c r="J9" s="1114"/>
      <c r="K9" s="1113"/>
      <c r="L9" s="1113"/>
      <c r="M9" s="1113"/>
      <c r="N9" s="579" t="s">
        <v>738</v>
      </c>
      <c r="O9" s="579" t="s">
        <v>692</v>
      </c>
      <c r="P9" s="579" t="s">
        <v>710</v>
      </c>
      <c r="Q9" s="579" t="s">
        <v>737</v>
      </c>
      <c r="R9" s="579" t="s">
        <v>736</v>
      </c>
      <c r="S9" s="579" t="s">
        <v>735</v>
      </c>
    </row>
    <row r="10" spans="1:19" ht="15.75" thickTop="1">
      <c r="A10" s="1099" t="s">
        <v>734</v>
      </c>
      <c r="B10" s="1092" t="s">
        <v>733</v>
      </c>
      <c r="C10" s="1092" t="s">
        <v>732</v>
      </c>
      <c r="D10" s="565"/>
      <c r="E10" s="564"/>
      <c r="F10" s="564"/>
      <c r="G10" s="564"/>
      <c r="H10" s="564"/>
      <c r="I10" s="564"/>
      <c r="J10" s="563"/>
      <c r="K10" s="563"/>
      <c r="L10" s="563"/>
      <c r="M10" s="563"/>
      <c r="N10" s="563"/>
      <c r="O10" s="563"/>
      <c r="P10" s="563"/>
      <c r="Q10" s="563"/>
      <c r="R10" s="563"/>
      <c r="S10" s="563"/>
    </row>
    <row r="11" spans="1:19">
      <c r="A11" s="1100"/>
      <c r="B11" s="1079"/>
      <c r="C11" s="1079"/>
      <c r="D11" s="540"/>
      <c r="E11" s="539"/>
      <c r="F11" s="539"/>
      <c r="G11" s="539"/>
      <c r="H11" s="539"/>
      <c r="I11" s="539"/>
      <c r="J11" s="541"/>
      <c r="K11" s="537"/>
      <c r="L11" s="537"/>
      <c r="M11" s="537"/>
      <c r="N11" s="537"/>
      <c r="O11" s="537"/>
      <c r="P11" s="537"/>
      <c r="Q11" s="537"/>
      <c r="R11" s="537"/>
      <c r="S11" s="537"/>
    </row>
    <row r="12" spans="1:19">
      <c r="A12" s="1100"/>
      <c r="B12" s="1079"/>
      <c r="C12" s="1079"/>
      <c r="D12" s="540"/>
      <c r="E12" s="546"/>
      <c r="F12" s="539">
        <v>0.95</v>
      </c>
      <c r="G12" s="539"/>
      <c r="H12" s="539"/>
      <c r="I12" s="539"/>
      <c r="J12" s="537" t="s">
        <v>692</v>
      </c>
      <c r="K12" s="538">
        <v>4</v>
      </c>
      <c r="L12" s="538">
        <v>4</v>
      </c>
      <c r="M12" s="537">
        <f>+F12+G14</f>
        <v>1.1499999999999999</v>
      </c>
      <c r="N12" s="537">
        <f t="shared" ref="N12:S12" si="0">IF(+$J12=N$9,+$K12*$L12*$M12,0)</f>
        <v>0</v>
      </c>
      <c r="O12" s="537">
        <f t="shared" si="0"/>
        <v>18.399999999999999</v>
      </c>
      <c r="P12" s="537">
        <f t="shared" si="0"/>
        <v>0</v>
      </c>
      <c r="Q12" s="537">
        <f t="shared" si="0"/>
        <v>0</v>
      </c>
      <c r="R12" s="537">
        <f t="shared" si="0"/>
        <v>0</v>
      </c>
      <c r="S12" s="537">
        <f t="shared" si="0"/>
        <v>0</v>
      </c>
    </row>
    <row r="13" spans="1:19">
      <c r="A13" s="1100"/>
      <c r="B13" s="1079"/>
      <c r="C13" s="1079"/>
      <c r="D13" s="540"/>
      <c r="E13" s="546"/>
      <c r="F13" s="539"/>
      <c r="G13" s="539"/>
      <c r="H13" s="539"/>
      <c r="I13" s="539"/>
      <c r="J13" s="537"/>
      <c r="K13" s="538"/>
      <c r="L13" s="538"/>
      <c r="M13" s="537"/>
      <c r="N13" s="537"/>
      <c r="O13" s="537"/>
      <c r="P13" s="537"/>
      <c r="Q13" s="537"/>
      <c r="R13" s="537"/>
      <c r="S13" s="537"/>
    </row>
    <row r="14" spans="1:19" ht="15.75" thickBot="1">
      <c r="A14" s="1100"/>
      <c r="B14" s="1079"/>
      <c r="C14" s="1079"/>
      <c r="D14" s="540"/>
      <c r="E14" s="539"/>
      <c r="F14" s="546"/>
      <c r="G14" s="539">
        <v>0.2</v>
      </c>
      <c r="H14" s="539"/>
      <c r="I14" s="539"/>
      <c r="J14" s="541"/>
      <c r="K14" s="538"/>
      <c r="L14" s="538"/>
      <c r="M14" s="537"/>
      <c r="N14" s="537"/>
      <c r="O14" s="537"/>
      <c r="P14" s="537"/>
      <c r="Q14" s="537"/>
      <c r="R14" s="537"/>
      <c r="S14" s="537"/>
    </row>
    <row r="15" spans="1:19" ht="15.75" thickTop="1">
      <c r="A15" s="1100"/>
      <c r="B15" s="1079"/>
      <c r="C15" s="1092" t="s">
        <v>725</v>
      </c>
      <c r="D15" s="545"/>
      <c r="E15" s="544"/>
      <c r="F15" s="544">
        <v>0.2</v>
      </c>
      <c r="G15" s="544"/>
      <c r="H15" s="544"/>
      <c r="I15" s="544"/>
      <c r="J15" s="542"/>
      <c r="K15" s="542"/>
      <c r="L15" s="542"/>
      <c r="M15" s="542"/>
      <c r="N15" s="542"/>
      <c r="O15" s="542"/>
      <c r="P15" s="542"/>
      <c r="Q15" s="542"/>
      <c r="R15" s="542"/>
      <c r="S15" s="542"/>
    </row>
    <row r="16" spans="1:19">
      <c r="A16" s="1100"/>
      <c r="B16" s="1079"/>
      <c r="C16" s="1079"/>
      <c r="D16" s="540"/>
      <c r="E16" s="539">
        <v>0.2</v>
      </c>
      <c r="F16" s="1094">
        <v>0.7</v>
      </c>
      <c r="G16" s="1094"/>
      <c r="I16" s="539"/>
      <c r="J16" s="541"/>
      <c r="K16" s="541"/>
      <c r="L16" s="541"/>
      <c r="M16" s="541"/>
      <c r="N16" s="541"/>
      <c r="O16" s="541"/>
      <c r="P16" s="541"/>
      <c r="Q16" s="541"/>
      <c r="R16" s="541"/>
      <c r="S16" s="541"/>
    </row>
    <row r="17" spans="1:19">
      <c r="A17" s="1100"/>
      <c r="B17" s="1079"/>
      <c r="C17" s="1079"/>
      <c r="D17" s="540"/>
      <c r="E17" s="546"/>
      <c r="F17" s="539">
        <v>0.7</v>
      </c>
      <c r="G17" s="539"/>
      <c r="H17" s="539">
        <v>0.7</v>
      </c>
      <c r="I17" s="539"/>
      <c r="J17" s="537" t="s">
        <v>692</v>
      </c>
      <c r="K17" s="538">
        <v>1</v>
      </c>
      <c r="L17" s="538">
        <v>4</v>
      </c>
      <c r="M17" s="537">
        <f>+F19+H17+E16+F15+F16+F17</f>
        <v>3.2</v>
      </c>
      <c r="N17" s="537">
        <f t="shared" ref="N17:S17" si="1">IF(+$J17=N$9,+$K17*$L17*$M17,0)</f>
        <v>0</v>
      </c>
      <c r="O17" s="537">
        <f t="shared" si="1"/>
        <v>12.8</v>
      </c>
      <c r="P17" s="537">
        <f t="shared" si="1"/>
        <v>0</v>
      </c>
      <c r="Q17" s="537">
        <f t="shared" si="1"/>
        <v>0</v>
      </c>
      <c r="R17" s="537">
        <f t="shared" si="1"/>
        <v>0</v>
      </c>
      <c r="S17" s="537">
        <f t="shared" si="1"/>
        <v>0</v>
      </c>
    </row>
    <row r="18" spans="1:19">
      <c r="A18" s="1100"/>
      <c r="B18" s="1079"/>
      <c r="C18" s="1079"/>
      <c r="D18" s="540"/>
      <c r="E18" s="539"/>
      <c r="H18" s="539"/>
      <c r="I18" s="539"/>
      <c r="J18" s="541"/>
      <c r="K18" s="538"/>
      <c r="L18" s="538"/>
      <c r="M18" s="537"/>
      <c r="N18" s="537"/>
      <c r="O18" s="537"/>
      <c r="P18" s="537"/>
      <c r="Q18" s="537"/>
      <c r="R18" s="537"/>
      <c r="S18" s="537"/>
    </row>
    <row r="19" spans="1:19">
      <c r="A19" s="1100"/>
      <c r="B19" s="1079"/>
      <c r="C19" s="1079"/>
      <c r="D19" s="540"/>
      <c r="E19" s="539"/>
      <c r="F19" s="1086">
        <v>0.7</v>
      </c>
      <c r="G19" s="1086"/>
      <c r="H19" s="539"/>
      <c r="I19" s="539"/>
      <c r="J19" s="541"/>
      <c r="K19" s="538"/>
      <c r="L19" s="538"/>
      <c r="M19" s="537"/>
      <c r="N19" s="537"/>
      <c r="O19" s="537"/>
      <c r="P19" s="537"/>
      <c r="Q19" s="537"/>
      <c r="R19" s="537"/>
      <c r="S19" s="537"/>
    </row>
    <row r="20" spans="1:19">
      <c r="A20" s="1100"/>
      <c r="B20" s="1079"/>
      <c r="C20" s="1095" t="s">
        <v>731</v>
      </c>
      <c r="D20" s="545"/>
      <c r="E20" s="544"/>
      <c r="F20" s="544"/>
      <c r="G20" s="544"/>
      <c r="H20" s="544"/>
      <c r="I20" s="544"/>
      <c r="J20" s="542"/>
      <c r="K20" s="542"/>
      <c r="L20" s="542"/>
      <c r="M20" s="542"/>
      <c r="N20" s="542"/>
      <c r="O20" s="542"/>
      <c r="P20" s="542"/>
      <c r="Q20" s="542"/>
      <c r="R20" s="542"/>
      <c r="S20" s="542"/>
    </row>
    <row r="21" spans="1:19">
      <c r="A21" s="1100"/>
      <c r="B21" s="1079"/>
      <c r="C21" s="1096"/>
      <c r="D21" s="540"/>
      <c r="E21" s="546"/>
      <c r="F21" s="539"/>
      <c r="G21" s="539"/>
      <c r="H21" s="546"/>
      <c r="I21" s="539"/>
      <c r="J21" s="537"/>
      <c r="K21" s="538"/>
      <c r="L21" s="538"/>
      <c r="M21" s="537"/>
      <c r="N21" s="537"/>
      <c r="O21" s="537"/>
      <c r="P21" s="537"/>
      <c r="Q21" s="537"/>
      <c r="R21" s="537"/>
      <c r="S21" s="537"/>
    </row>
    <row r="22" spans="1:19">
      <c r="A22" s="1100"/>
      <c r="B22" s="1079"/>
      <c r="C22" s="1096"/>
      <c r="D22" s="540"/>
      <c r="E22" s="546"/>
      <c r="F22" s="1093">
        <v>0.92</v>
      </c>
      <c r="G22" s="1093"/>
      <c r="H22" s="546"/>
      <c r="I22" s="539"/>
      <c r="J22" s="537" t="s">
        <v>692</v>
      </c>
      <c r="K22" s="538">
        <v>4</v>
      </c>
      <c r="L22" s="538">
        <v>4</v>
      </c>
      <c r="M22" s="537">
        <f>+F22</f>
        <v>0.92</v>
      </c>
      <c r="N22" s="537">
        <f t="shared" ref="N22:S22" si="2">IF(+$J22=N$9,+$K22*$L22*$M22,0)</f>
        <v>0</v>
      </c>
      <c r="O22" s="537">
        <f t="shared" si="2"/>
        <v>14.72</v>
      </c>
      <c r="P22" s="537">
        <f t="shared" si="2"/>
        <v>0</v>
      </c>
      <c r="Q22" s="537">
        <f t="shared" si="2"/>
        <v>0</v>
      </c>
      <c r="R22" s="537">
        <f t="shared" si="2"/>
        <v>0</v>
      </c>
      <c r="S22" s="537">
        <f t="shared" si="2"/>
        <v>0</v>
      </c>
    </row>
    <row r="23" spans="1:19">
      <c r="A23" s="1100"/>
      <c r="B23" s="1079"/>
      <c r="C23" s="1096"/>
      <c r="D23" s="540"/>
      <c r="E23" s="539"/>
      <c r="F23" s="546"/>
      <c r="G23" s="546"/>
      <c r="H23" s="539"/>
      <c r="I23" s="539"/>
      <c r="J23" s="541"/>
      <c r="K23" s="538"/>
      <c r="L23" s="538"/>
      <c r="M23" s="537"/>
      <c r="N23" s="537"/>
      <c r="O23" s="537"/>
      <c r="P23" s="537"/>
      <c r="Q23" s="537"/>
      <c r="R23" s="537"/>
      <c r="S23" s="537"/>
    </row>
    <row r="24" spans="1:19">
      <c r="A24" s="1100"/>
      <c r="B24" s="1079"/>
      <c r="C24" s="1097"/>
      <c r="D24" s="551"/>
      <c r="E24" s="550"/>
      <c r="F24" s="569"/>
      <c r="G24" s="569"/>
      <c r="H24" s="550"/>
      <c r="I24" s="550"/>
      <c r="J24" s="549"/>
      <c r="K24" s="548"/>
      <c r="L24" s="548"/>
      <c r="M24" s="547"/>
      <c r="N24" s="547"/>
      <c r="O24" s="547"/>
      <c r="P24" s="547"/>
      <c r="Q24" s="547"/>
      <c r="R24" s="547"/>
      <c r="S24" s="547"/>
    </row>
    <row r="25" spans="1:19" ht="0.2" customHeight="1">
      <c r="A25" s="1100"/>
      <c r="B25" s="1079"/>
      <c r="C25" s="1095" t="s">
        <v>730</v>
      </c>
      <c r="D25" s="545"/>
      <c r="E25" s="544"/>
      <c r="F25" s="544"/>
      <c r="G25" s="544"/>
      <c r="H25" s="544"/>
      <c r="I25" s="544"/>
      <c r="J25" s="542"/>
      <c r="K25" s="542"/>
      <c r="L25" s="542"/>
      <c r="M25" s="542"/>
      <c r="N25" s="542"/>
      <c r="O25" s="542"/>
      <c r="P25" s="542"/>
      <c r="Q25" s="542"/>
      <c r="R25" s="542"/>
      <c r="S25" s="542"/>
    </row>
    <row r="26" spans="1:19" ht="0.2" customHeight="1">
      <c r="A26" s="1100"/>
      <c r="B26" s="1079"/>
      <c r="C26" s="1096"/>
      <c r="D26" s="540"/>
      <c r="E26" s="546"/>
      <c r="F26" s="539"/>
      <c r="G26" s="539"/>
      <c r="H26" s="546"/>
      <c r="I26" s="539"/>
      <c r="J26" s="537"/>
      <c r="K26" s="538"/>
      <c r="L26" s="538"/>
      <c r="M26" s="537"/>
      <c r="N26" s="537"/>
      <c r="O26" s="537"/>
      <c r="P26" s="537"/>
      <c r="Q26" s="537"/>
      <c r="R26" s="537"/>
      <c r="S26" s="537"/>
    </row>
    <row r="27" spans="1:19" ht="0.2" customHeight="1">
      <c r="A27" s="1100"/>
      <c r="B27" s="1079"/>
      <c r="C27" s="1096"/>
      <c r="D27" s="540"/>
      <c r="E27" s="546"/>
      <c r="F27" s="1093">
        <v>4.4400000000000004</v>
      </c>
      <c r="G27" s="1093"/>
      <c r="H27" s="546"/>
      <c r="I27" s="539"/>
      <c r="J27" s="537" t="s">
        <v>692</v>
      </c>
      <c r="K27" s="538">
        <v>0</v>
      </c>
      <c r="L27" s="538">
        <v>3</v>
      </c>
      <c r="M27" s="537">
        <f>+F27+H26+E26</f>
        <v>4.4400000000000004</v>
      </c>
      <c r="N27" s="537">
        <f t="shared" ref="N27:S27" si="3">IF(+$J27=N$9,+$K27*$L27*$M27,0)</f>
        <v>0</v>
      </c>
      <c r="O27" s="537">
        <f t="shared" si="3"/>
        <v>0</v>
      </c>
      <c r="P27" s="537">
        <f t="shared" si="3"/>
        <v>0</v>
      </c>
      <c r="Q27" s="537">
        <f t="shared" si="3"/>
        <v>0</v>
      </c>
      <c r="R27" s="537">
        <f t="shared" si="3"/>
        <v>0</v>
      </c>
      <c r="S27" s="537">
        <f t="shared" si="3"/>
        <v>0</v>
      </c>
    </row>
    <row r="28" spans="1:19" ht="0.2" customHeight="1">
      <c r="A28" s="1100"/>
      <c r="B28" s="1079"/>
      <c r="C28" s="1096"/>
      <c r="D28" s="540"/>
      <c r="E28" s="539"/>
      <c r="F28" s="546"/>
      <c r="G28" s="546"/>
      <c r="H28" s="539"/>
      <c r="I28" s="539"/>
      <c r="J28" s="541"/>
      <c r="K28" s="538"/>
      <c r="L28" s="538"/>
      <c r="M28" s="537"/>
      <c r="N28" s="537"/>
      <c r="O28" s="537"/>
      <c r="P28" s="537"/>
      <c r="Q28" s="537"/>
      <c r="R28" s="537"/>
      <c r="S28" s="537"/>
    </row>
    <row r="29" spans="1:19" ht="0.2" customHeight="1">
      <c r="A29" s="1100"/>
      <c r="B29" s="1079"/>
      <c r="C29" s="1097"/>
      <c r="D29" s="551"/>
      <c r="E29" s="550"/>
      <c r="F29" s="569"/>
      <c r="G29" s="569"/>
      <c r="H29" s="550"/>
      <c r="I29" s="550"/>
      <c r="J29" s="549"/>
      <c r="K29" s="548"/>
      <c r="L29" s="548"/>
      <c r="M29" s="547"/>
      <c r="N29" s="547"/>
      <c r="O29" s="547"/>
      <c r="P29" s="547"/>
      <c r="Q29" s="547"/>
      <c r="R29" s="547"/>
      <c r="S29" s="547"/>
    </row>
    <row r="30" spans="1:19" ht="0.2" customHeight="1">
      <c r="A30" s="1100"/>
      <c r="B30" s="1079"/>
      <c r="C30" s="1078" t="s">
        <v>727</v>
      </c>
      <c r="D30" s="545"/>
      <c r="E30" s="544"/>
      <c r="F30" s="544"/>
      <c r="G30" s="544"/>
      <c r="H30" s="544"/>
      <c r="I30" s="544"/>
      <c r="J30" s="542"/>
      <c r="K30" s="542"/>
      <c r="L30" s="542"/>
      <c r="M30" s="542"/>
      <c r="N30" s="542"/>
      <c r="O30" s="542"/>
      <c r="P30" s="542"/>
      <c r="Q30" s="542"/>
      <c r="R30" s="542"/>
      <c r="S30" s="542"/>
    </row>
    <row r="31" spans="1:19" ht="0.2" customHeight="1">
      <c r="A31" s="1100"/>
      <c r="B31" s="1079"/>
      <c r="C31" s="1079"/>
      <c r="D31" s="540"/>
      <c r="E31" s="546"/>
      <c r="F31" s="539"/>
      <c r="G31" s="539"/>
      <c r="H31" s="546"/>
      <c r="I31" s="539"/>
      <c r="J31" s="537"/>
      <c r="K31" s="538"/>
      <c r="L31" s="538"/>
      <c r="M31" s="537"/>
      <c r="N31" s="537"/>
      <c r="O31" s="537"/>
      <c r="P31" s="537"/>
      <c r="Q31" s="537"/>
      <c r="R31" s="537"/>
      <c r="S31" s="537"/>
    </row>
    <row r="32" spans="1:19" ht="0.2" customHeight="1">
      <c r="A32" s="1100"/>
      <c r="B32" s="1079"/>
      <c r="C32" s="1079"/>
      <c r="D32" s="540"/>
      <c r="E32" s="546"/>
      <c r="F32" s="1093">
        <v>2.98</v>
      </c>
      <c r="G32" s="1093"/>
      <c r="H32" s="546"/>
      <c r="I32" s="539"/>
      <c r="J32" s="537" t="s">
        <v>692</v>
      </c>
      <c r="K32" s="538">
        <v>0</v>
      </c>
      <c r="L32" s="538">
        <v>4</v>
      </c>
      <c r="M32" s="537">
        <f>+F32</f>
        <v>2.98</v>
      </c>
      <c r="N32" s="537">
        <f t="shared" ref="N32:S32" si="4">IF(+$J32=N$9,+$K32*$L32*$M32,0)</f>
        <v>0</v>
      </c>
      <c r="O32" s="537">
        <f t="shared" si="4"/>
        <v>0</v>
      </c>
      <c r="P32" s="537">
        <f t="shared" si="4"/>
        <v>0</v>
      </c>
      <c r="Q32" s="537">
        <f t="shared" si="4"/>
        <v>0</v>
      </c>
      <c r="R32" s="537">
        <f t="shared" si="4"/>
        <v>0</v>
      </c>
      <c r="S32" s="537">
        <f t="shared" si="4"/>
        <v>0</v>
      </c>
    </row>
    <row r="33" spans="1:19" ht="0.2" customHeight="1">
      <c r="A33" s="1100"/>
      <c r="B33" s="1079"/>
      <c r="C33" s="1079"/>
      <c r="D33" s="540"/>
      <c r="E33" s="539"/>
      <c r="F33" s="546"/>
      <c r="G33" s="546"/>
      <c r="H33" s="539"/>
      <c r="I33" s="539"/>
      <c r="J33" s="541"/>
      <c r="K33" s="538"/>
      <c r="L33" s="538"/>
      <c r="M33" s="537"/>
      <c r="N33" s="537"/>
      <c r="O33" s="537"/>
      <c r="P33" s="537"/>
      <c r="Q33" s="537"/>
      <c r="R33" s="537"/>
      <c r="S33" s="537"/>
    </row>
    <row r="34" spans="1:19" ht="0.2" customHeight="1">
      <c r="A34" s="1100"/>
      <c r="B34" s="1079"/>
      <c r="C34" s="1080"/>
      <c r="D34" s="551"/>
      <c r="E34" s="550"/>
      <c r="F34" s="569"/>
      <c r="G34" s="569"/>
      <c r="H34" s="550"/>
      <c r="I34" s="550"/>
      <c r="J34" s="549"/>
      <c r="K34" s="548"/>
      <c r="L34" s="548"/>
      <c r="M34" s="547"/>
      <c r="N34" s="547"/>
      <c r="O34" s="547"/>
      <c r="P34" s="547"/>
      <c r="Q34" s="547"/>
      <c r="R34" s="547"/>
      <c r="S34" s="547"/>
    </row>
    <row r="35" spans="1:19" ht="0.2" customHeight="1">
      <c r="A35" s="1100"/>
      <c r="B35" s="1079"/>
      <c r="C35" s="1078" t="s">
        <v>726</v>
      </c>
      <c r="D35" s="545"/>
      <c r="E35" s="544"/>
      <c r="F35" s="568"/>
      <c r="G35" s="568"/>
      <c r="H35" s="544"/>
      <c r="I35" s="544"/>
      <c r="J35" s="542"/>
      <c r="K35" s="542"/>
      <c r="L35" s="542"/>
      <c r="M35" s="542"/>
      <c r="N35" s="542"/>
      <c r="O35" s="542"/>
      <c r="P35" s="542"/>
      <c r="Q35" s="542"/>
      <c r="R35" s="542"/>
      <c r="S35" s="542"/>
    </row>
    <row r="36" spans="1:19" ht="0.2" customHeight="1">
      <c r="A36" s="1100"/>
      <c r="B36" s="1079"/>
      <c r="C36" s="1079"/>
      <c r="D36" s="540"/>
      <c r="E36" s="546"/>
      <c r="F36" s="567"/>
      <c r="G36" s="567"/>
      <c r="H36" s="546"/>
      <c r="I36" s="539"/>
      <c r="J36" s="537"/>
      <c r="K36" s="538"/>
      <c r="L36" s="538"/>
      <c r="M36" s="537"/>
      <c r="N36" s="537"/>
      <c r="O36" s="537"/>
      <c r="P36" s="537"/>
      <c r="Q36" s="537"/>
      <c r="R36" s="537"/>
      <c r="S36" s="537"/>
    </row>
    <row r="37" spans="1:19" ht="0.2" customHeight="1">
      <c r="A37" s="1100"/>
      <c r="B37" s="1079"/>
      <c r="C37" s="1079"/>
      <c r="D37" s="540"/>
      <c r="E37" s="546"/>
      <c r="F37" s="1093">
        <v>4.4400000000000004</v>
      </c>
      <c r="G37" s="1093"/>
      <c r="H37" s="546"/>
      <c r="I37" s="539"/>
      <c r="J37" s="537" t="s">
        <v>692</v>
      </c>
      <c r="K37" s="538">
        <v>0</v>
      </c>
      <c r="L37" s="538">
        <v>3</v>
      </c>
      <c r="M37" s="537">
        <f>+F37</f>
        <v>4.4400000000000004</v>
      </c>
      <c r="N37" s="537">
        <f t="shared" ref="N37:S37" si="5">IF(+$J37=N$9,+$K37*$L37*$M37,0)</f>
        <v>0</v>
      </c>
      <c r="O37" s="537">
        <f t="shared" si="5"/>
        <v>0</v>
      </c>
      <c r="P37" s="537">
        <f t="shared" si="5"/>
        <v>0</v>
      </c>
      <c r="Q37" s="537">
        <f t="shared" si="5"/>
        <v>0</v>
      </c>
      <c r="R37" s="537">
        <f t="shared" si="5"/>
        <v>0</v>
      </c>
      <c r="S37" s="537">
        <f t="shared" si="5"/>
        <v>0</v>
      </c>
    </row>
    <row r="38" spans="1:19" ht="0.2" customHeight="1">
      <c r="A38" s="1100"/>
      <c r="B38" s="1079"/>
      <c r="C38" s="1079"/>
      <c r="D38" s="540"/>
      <c r="E38" s="539"/>
      <c r="F38" s="546"/>
      <c r="G38" s="546"/>
      <c r="H38" s="539"/>
      <c r="I38" s="539"/>
      <c r="J38" s="537"/>
      <c r="K38" s="538"/>
      <c r="L38" s="538"/>
      <c r="M38" s="537"/>
      <c r="N38" s="537"/>
      <c r="O38" s="537"/>
      <c r="P38" s="537"/>
      <c r="Q38" s="537"/>
      <c r="R38" s="537"/>
      <c r="S38" s="537"/>
    </row>
    <row r="39" spans="1:19" ht="0.2" customHeight="1">
      <c r="A39" s="1100"/>
      <c r="B39" s="1080"/>
      <c r="C39" s="1080"/>
      <c r="D39" s="551"/>
      <c r="E39" s="550"/>
      <c r="F39" s="550"/>
      <c r="G39" s="550"/>
      <c r="H39" s="550"/>
      <c r="I39" s="550"/>
      <c r="J39" s="549"/>
      <c r="K39" s="548"/>
      <c r="L39" s="548"/>
      <c r="M39" s="547"/>
      <c r="N39" s="547"/>
      <c r="O39" s="547"/>
      <c r="P39" s="547"/>
      <c r="Q39" s="547"/>
      <c r="R39" s="547"/>
      <c r="S39" s="547"/>
    </row>
    <row r="40" spans="1:19" ht="0.2" customHeight="1">
      <c r="A40" s="1100"/>
      <c r="B40" s="1079" t="s">
        <v>729</v>
      </c>
      <c r="C40" s="1079" t="s">
        <v>728</v>
      </c>
      <c r="D40" s="540"/>
      <c r="E40" s="539"/>
      <c r="F40" s="539"/>
      <c r="G40" s="539"/>
      <c r="H40" s="539"/>
      <c r="I40" s="539"/>
      <c r="J40" s="541"/>
      <c r="K40" s="541"/>
      <c r="L40" s="541"/>
      <c r="M40" s="541"/>
      <c r="N40" s="541"/>
      <c r="O40" s="541"/>
      <c r="P40" s="541"/>
      <c r="Q40" s="541"/>
      <c r="R40" s="541"/>
      <c r="S40" s="541"/>
    </row>
    <row r="41" spans="1:19" ht="0.2" customHeight="1">
      <c r="A41" s="1100"/>
      <c r="B41" s="1079"/>
      <c r="C41" s="1079"/>
      <c r="D41" s="540"/>
      <c r="E41" s="539"/>
      <c r="F41" s="539"/>
      <c r="G41" s="539"/>
      <c r="H41" s="539"/>
      <c r="I41" s="539"/>
      <c r="J41" s="541"/>
      <c r="K41" s="537"/>
      <c r="L41" s="537"/>
      <c r="M41" s="537"/>
      <c r="N41" s="537"/>
      <c r="O41" s="537"/>
      <c r="P41" s="537"/>
      <c r="Q41" s="537"/>
      <c r="R41" s="537"/>
      <c r="S41" s="537"/>
    </row>
    <row r="42" spans="1:19" ht="0.2" customHeight="1">
      <c r="A42" s="1100"/>
      <c r="B42" s="1079"/>
      <c r="C42" s="1079"/>
      <c r="D42" s="540"/>
      <c r="E42" s="546"/>
      <c r="F42" s="539">
        <v>1.23</v>
      </c>
      <c r="G42" s="539"/>
      <c r="H42" s="539"/>
      <c r="I42" s="539"/>
      <c r="J42" s="537" t="s">
        <v>710</v>
      </c>
      <c r="K42" s="538">
        <v>0</v>
      </c>
      <c r="L42" s="538">
        <v>4</v>
      </c>
      <c r="M42" s="537">
        <f>+F42+G44</f>
        <v>1.33</v>
      </c>
      <c r="N42" s="537">
        <f t="shared" ref="N42:S42" si="6">IF(+$J42=N$9,+$K42*$L42*$M42,0)</f>
        <v>0</v>
      </c>
      <c r="O42" s="537">
        <f t="shared" si="6"/>
        <v>0</v>
      </c>
      <c r="P42" s="537">
        <f t="shared" si="6"/>
        <v>0</v>
      </c>
      <c r="Q42" s="537">
        <f t="shared" si="6"/>
        <v>0</v>
      </c>
      <c r="R42" s="537">
        <f t="shared" si="6"/>
        <v>0</v>
      </c>
      <c r="S42" s="537">
        <f t="shared" si="6"/>
        <v>0</v>
      </c>
    </row>
    <row r="43" spans="1:19" ht="0.2" customHeight="1">
      <c r="A43" s="1100"/>
      <c r="B43" s="1079"/>
      <c r="C43" s="1079"/>
      <c r="D43" s="540"/>
      <c r="E43" s="546"/>
      <c r="F43" s="539"/>
      <c r="G43" s="539"/>
      <c r="H43" s="539"/>
      <c r="I43" s="539"/>
      <c r="J43" s="537"/>
      <c r="K43" s="538"/>
      <c r="L43" s="538"/>
      <c r="M43" s="537"/>
      <c r="N43" s="537"/>
      <c r="O43" s="537"/>
      <c r="P43" s="537"/>
      <c r="Q43" s="537"/>
      <c r="R43" s="537"/>
      <c r="S43" s="537"/>
    </row>
    <row r="44" spans="1:19" ht="0.2" customHeight="1">
      <c r="A44" s="1100"/>
      <c r="B44" s="1079"/>
      <c r="C44" s="1079"/>
      <c r="D44" s="540"/>
      <c r="E44" s="539"/>
      <c r="F44" s="546"/>
      <c r="G44" s="539">
        <v>0.1</v>
      </c>
      <c r="H44" s="539"/>
      <c r="I44" s="539"/>
      <c r="J44" s="541"/>
      <c r="K44" s="538"/>
      <c r="L44" s="538"/>
      <c r="M44" s="537"/>
      <c r="N44" s="537"/>
      <c r="O44" s="537"/>
      <c r="P44" s="537"/>
      <c r="Q44" s="537"/>
      <c r="R44" s="537"/>
      <c r="S44" s="537"/>
    </row>
    <row r="45" spans="1:19" ht="0.2" customHeight="1">
      <c r="A45" s="1100"/>
      <c r="B45" s="1079"/>
      <c r="C45" s="1078" t="s">
        <v>725</v>
      </c>
      <c r="D45" s="545"/>
      <c r="E45" s="544"/>
      <c r="F45" s="544"/>
      <c r="G45" s="544"/>
      <c r="H45" s="544"/>
      <c r="I45" s="544"/>
      <c r="J45" s="542"/>
      <c r="K45" s="542"/>
      <c r="L45" s="542"/>
      <c r="M45" s="542"/>
      <c r="N45" s="542"/>
      <c r="O45" s="542"/>
      <c r="P45" s="542"/>
      <c r="Q45" s="542"/>
      <c r="R45" s="542"/>
      <c r="S45" s="542"/>
    </row>
    <row r="46" spans="1:19" ht="0.2" customHeight="1">
      <c r="A46" s="1100"/>
      <c r="B46" s="1079"/>
      <c r="C46" s="1079"/>
      <c r="D46" s="540"/>
      <c r="E46" s="539"/>
      <c r="F46" s="539"/>
      <c r="G46" s="539"/>
      <c r="H46" s="539"/>
      <c r="I46" s="539"/>
      <c r="J46" s="541"/>
      <c r="K46" s="541"/>
      <c r="L46" s="541"/>
      <c r="M46" s="541"/>
      <c r="N46" s="541"/>
      <c r="O46" s="541"/>
      <c r="P46" s="541"/>
      <c r="Q46" s="541"/>
      <c r="R46" s="541"/>
      <c r="S46" s="541"/>
    </row>
    <row r="47" spans="1:19" ht="0.2" customHeight="1">
      <c r="A47" s="1100"/>
      <c r="B47" s="1079"/>
      <c r="C47" s="1079"/>
      <c r="D47" s="540"/>
      <c r="E47" s="546"/>
      <c r="F47" s="539"/>
      <c r="G47" s="539"/>
      <c r="H47" s="546"/>
      <c r="I47" s="539"/>
      <c r="J47" s="537" t="s">
        <v>692</v>
      </c>
      <c r="K47" s="538">
        <v>0</v>
      </c>
      <c r="L47" s="538">
        <v>7</v>
      </c>
      <c r="M47" s="537">
        <f>+F48</f>
        <v>0.83899999999999997</v>
      </c>
      <c r="N47" s="537">
        <f t="shared" ref="N47:S47" si="7">IF(+$J47=N$9,+$K47*$L47*$M47,0)</f>
        <v>0</v>
      </c>
      <c r="O47" s="537">
        <f t="shared" si="7"/>
        <v>0</v>
      </c>
      <c r="P47" s="537">
        <f t="shared" si="7"/>
        <v>0</v>
      </c>
      <c r="Q47" s="537">
        <f t="shared" si="7"/>
        <v>0</v>
      </c>
      <c r="R47" s="537">
        <f t="shared" si="7"/>
        <v>0</v>
      </c>
      <c r="S47" s="537">
        <f t="shared" si="7"/>
        <v>0</v>
      </c>
    </row>
    <row r="48" spans="1:19" ht="0.2" customHeight="1">
      <c r="A48" s="1100"/>
      <c r="B48" s="1079"/>
      <c r="C48" s="1079"/>
      <c r="D48" s="540"/>
      <c r="E48" s="539"/>
      <c r="F48" s="1086">
        <v>0.83899999999999997</v>
      </c>
      <c r="G48" s="1086"/>
      <c r="H48" s="539"/>
      <c r="I48" s="539"/>
      <c r="J48" s="541"/>
      <c r="K48" s="538"/>
      <c r="L48" s="538"/>
      <c r="M48" s="537"/>
      <c r="N48" s="537"/>
      <c r="O48" s="537"/>
      <c r="P48" s="537"/>
      <c r="Q48" s="537"/>
      <c r="R48" s="537"/>
      <c r="S48" s="537"/>
    </row>
    <row r="49" spans="1:19" ht="0.2" customHeight="1">
      <c r="A49" s="1100"/>
      <c r="B49" s="1079"/>
      <c r="C49" s="1079"/>
      <c r="D49" s="540"/>
      <c r="E49" s="539"/>
      <c r="F49" s="539"/>
      <c r="G49" s="550"/>
      <c r="H49" s="539"/>
      <c r="I49" s="539"/>
      <c r="J49" s="541"/>
      <c r="K49" s="538"/>
      <c r="L49" s="538"/>
      <c r="M49" s="537"/>
      <c r="N49" s="537"/>
      <c r="O49" s="537"/>
      <c r="P49" s="537"/>
      <c r="Q49" s="537"/>
      <c r="R49" s="537"/>
      <c r="S49" s="537"/>
    </row>
    <row r="50" spans="1:19" ht="0.2" customHeight="1">
      <c r="A50" s="1100"/>
      <c r="B50" s="1079"/>
      <c r="C50" s="1078" t="s">
        <v>727</v>
      </c>
      <c r="D50" s="545"/>
      <c r="E50" s="544"/>
      <c r="F50" s="544"/>
      <c r="G50" s="544"/>
      <c r="H50" s="544"/>
      <c r="I50" s="544"/>
      <c r="J50" s="542"/>
      <c r="K50" s="542"/>
      <c r="L50" s="542"/>
      <c r="M50" s="542"/>
      <c r="N50" s="542"/>
      <c r="O50" s="542"/>
      <c r="P50" s="542"/>
      <c r="Q50" s="542"/>
      <c r="R50" s="542"/>
      <c r="S50" s="542"/>
    </row>
    <row r="51" spans="1:19" ht="0.2" customHeight="1">
      <c r="A51" s="1100"/>
      <c r="B51" s="1079"/>
      <c r="C51" s="1079"/>
      <c r="D51" s="540"/>
      <c r="E51" s="546"/>
      <c r="F51" s="539"/>
      <c r="G51" s="539"/>
      <c r="H51" s="546"/>
      <c r="I51" s="539"/>
      <c r="J51" s="537"/>
      <c r="K51" s="538"/>
      <c r="L51" s="538"/>
      <c r="M51" s="537"/>
      <c r="N51" s="537"/>
      <c r="O51" s="537"/>
      <c r="P51" s="537"/>
      <c r="Q51" s="537"/>
      <c r="R51" s="537"/>
      <c r="S51" s="537"/>
    </row>
    <row r="52" spans="1:19" ht="0.2" customHeight="1">
      <c r="A52" s="1100"/>
      <c r="B52" s="1079"/>
      <c r="C52" s="1079"/>
      <c r="D52" s="540"/>
      <c r="E52" s="546"/>
      <c r="F52" s="546"/>
      <c r="G52" s="546"/>
      <c r="H52" s="546"/>
      <c r="I52" s="539"/>
      <c r="J52" s="537" t="s">
        <v>710</v>
      </c>
      <c r="K52" s="538">
        <v>0</v>
      </c>
      <c r="L52" s="538">
        <v>6</v>
      </c>
      <c r="M52" s="537">
        <f>+F53</f>
        <v>0.83899999999999997</v>
      </c>
      <c r="N52" s="537">
        <f t="shared" ref="N52:S52" si="8">IF(+$J52=N$9,+$K52*$L52*$M52,0)</f>
        <v>0</v>
      </c>
      <c r="O52" s="537">
        <f t="shared" si="8"/>
        <v>0</v>
      </c>
      <c r="P52" s="537">
        <f t="shared" si="8"/>
        <v>0</v>
      </c>
      <c r="Q52" s="537">
        <f t="shared" si="8"/>
        <v>0</v>
      </c>
      <c r="R52" s="537">
        <f t="shared" si="8"/>
        <v>0</v>
      </c>
      <c r="S52" s="537">
        <f t="shared" si="8"/>
        <v>0</v>
      </c>
    </row>
    <row r="53" spans="1:19" ht="0.2" customHeight="1">
      <c r="A53" s="1100"/>
      <c r="B53" s="1079"/>
      <c r="C53" s="1079"/>
      <c r="D53" s="540"/>
      <c r="E53" s="539"/>
      <c r="F53" s="1093">
        <f>+F48</f>
        <v>0.83899999999999997</v>
      </c>
      <c r="G53" s="1093"/>
      <c r="H53" s="539"/>
      <c r="I53" s="539"/>
      <c r="J53" s="541"/>
      <c r="K53" s="538"/>
      <c r="L53" s="538"/>
      <c r="M53" s="537"/>
      <c r="N53" s="537"/>
      <c r="O53" s="537"/>
      <c r="P53" s="537"/>
      <c r="Q53" s="537"/>
      <c r="R53" s="537"/>
      <c r="S53" s="537"/>
    </row>
    <row r="54" spans="1:19" ht="0.2" customHeight="1">
      <c r="A54" s="1100"/>
      <c r="B54" s="1079"/>
      <c r="C54" s="1080"/>
      <c r="D54" s="551"/>
      <c r="E54" s="550"/>
      <c r="F54" s="569"/>
      <c r="G54" s="569"/>
      <c r="H54" s="550"/>
      <c r="I54" s="550"/>
      <c r="J54" s="549"/>
      <c r="K54" s="548"/>
      <c r="L54" s="548"/>
      <c r="M54" s="547"/>
      <c r="N54" s="547"/>
      <c r="O54" s="547"/>
      <c r="P54" s="547"/>
      <c r="Q54" s="547"/>
      <c r="R54" s="547"/>
      <c r="S54" s="547"/>
    </row>
    <row r="55" spans="1:19" ht="0.2" customHeight="1">
      <c r="A55" s="1100"/>
      <c r="B55" s="1079"/>
      <c r="C55" s="1078" t="s">
        <v>726</v>
      </c>
      <c r="D55" s="545"/>
      <c r="E55" s="544"/>
      <c r="F55" s="568"/>
      <c r="G55" s="568"/>
      <c r="H55" s="544"/>
      <c r="I55" s="544"/>
      <c r="J55" s="542"/>
      <c r="K55" s="542"/>
      <c r="L55" s="542"/>
      <c r="M55" s="542"/>
      <c r="N55" s="542"/>
      <c r="O55" s="542"/>
      <c r="P55" s="542"/>
      <c r="Q55" s="542"/>
      <c r="R55" s="542"/>
      <c r="S55" s="542"/>
    </row>
    <row r="56" spans="1:19" ht="0.2" customHeight="1">
      <c r="A56" s="1100"/>
      <c r="B56" s="1079"/>
      <c r="C56" s="1079"/>
      <c r="D56" s="540"/>
      <c r="E56" s="546"/>
      <c r="F56" s="567"/>
      <c r="G56" s="567"/>
      <c r="H56" s="546"/>
      <c r="I56" s="539"/>
      <c r="J56" s="537"/>
      <c r="K56" s="538"/>
      <c r="L56" s="538"/>
      <c r="M56" s="537"/>
      <c r="N56" s="537"/>
      <c r="O56" s="537"/>
      <c r="P56" s="537"/>
      <c r="Q56" s="537"/>
      <c r="R56" s="537"/>
      <c r="S56" s="537"/>
    </row>
    <row r="57" spans="1:19" ht="0.2" customHeight="1">
      <c r="A57" s="1100"/>
      <c r="B57" s="1079"/>
      <c r="C57" s="1079"/>
      <c r="D57" s="540"/>
      <c r="E57" s="546"/>
      <c r="F57" s="1093">
        <v>0.91</v>
      </c>
      <c r="G57" s="1093"/>
      <c r="H57" s="546"/>
      <c r="I57" s="539"/>
      <c r="J57" s="537" t="s">
        <v>710</v>
      </c>
      <c r="K57" s="538">
        <v>0</v>
      </c>
      <c r="L57" s="538">
        <f>+L42</f>
        <v>4</v>
      </c>
      <c r="M57" s="537">
        <f>+F57</f>
        <v>0.91</v>
      </c>
      <c r="N57" s="537">
        <f t="shared" ref="N57:S57" si="9">IF(+$J57=N$9,+$K57*$L57*$M57,0)</f>
        <v>0</v>
      </c>
      <c r="O57" s="537">
        <f t="shared" si="9"/>
        <v>0</v>
      </c>
      <c r="P57" s="537">
        <f t="shared" si="9"/>
        <v>0</v>
      </c>
      <c r="Q57" s="537">
        <f t="shared" si="9"/>
        <v>0</v>
      </c>
      <c r="R57" s="537">
        <f t="shared" si="9"/>
        <v>0</v>
      </c>
      <c r="S57" s="537">
        <f t="shared" si="9"/>
        <v>0</v>
      </c>
    </row>
    <row r="58" spans="1:19" ht="0.2" customHeight="1">
      <c r="A58" s="1100"/>
      <c r="B58" s="1079"/>
      <c r="C58" s="1079"/>
      <c r="D58" s="540"/>
      <c r="E58" s="539"/>
      <c r="F58" s="546"/>
      <c r="G58" s="546"/>
      <c r="H58" s="539"/>
      <c r="I58" s="539"/>
      <c r="J58" s="537"/>
      <c r="K58" s="538"/>
      <c r="L58" s="538"/>
      <c r="M58" s="537"/>
      <c r="N58" s="537"/>
      <c r="O58" s="537"/>
      <c r="P58" s="537"/>
      <c r="Q58" s="537"/>
      <c r="R58" s="537"/>
      <c r="S58" s="537"/>
    </row>
    <row r="59" spans="1:19" ht="0.2" customHeight="1" thickBot="1">
      <c r="A59" s="1101"/>
      <c r="B59" s="1081"/>
      <c r="C59" s="1081"/>
      <c r="D59" s="536"/>
      <c r="E59" s="535"/>
      <c r="F59" s="535"/>
      <c r="G59" s="535"/>
      <c r="H59" s="535"/>
      <c r="I59" s="535"/>
      <c r="J59" s="534"/>
      <c r="K59" s="533"/>
      <c r="L59" s="533"/>
      <c r="M59" s="532"/>
      <c r="N59" s="532"/>
      <c r="O59" s="532"/>
      <c r="P59" s="532"/>
      <c r="Q59" s="532"/>
      <c r="R59" s="532"/>
      <c r="S59" s="532"/>
    </row>
    <row r="60" spans="1:19" ht="0.2" customHeight="1" thickTop="1">
      <c r="A60" s="1083"/>
      <c r="B60" s="1079"/>
      <c r="C60" s="1092"/>
      <c r="D60" s="565"/>
      <c r="E60" s="564"/>
      <c r="F60" s="578"/>
      <c r="G60" s="564">
        <v>0.13700000000000001</v>
      </c>
      <c r="H60" s="564"/>
      <c r="I60" s="564"/>
      <c r="J60" s="563"/>
      <c r="K60" s="577"/>
      <c r="L60" s="577"/>
      <c r="M60" s="577"/>
      <c r="N60" s="577"/>
      <c r="O60" s="577"/>
      <c r="P60" s="577"/>
      <c r="Q60" s="577"/>
      <c r="R60" s="577"/>
      <c r="S60" s="577"/>
    </row>
    <row r="61" spans="1:19" ht="0.2" customHeight="1">
      <c r="A61" s="1083"/>
      <c r="B61" s="1079"/>
      <c r="C61" s="1079"/>
      <c r="D61" s="540"/>
      <c r="E61" s="539"/>
      <c r="F61" s="539"/>
      <c r="G61" s="539"/>
      <c r="H61" s="539"/>
      <c r="I61" s="539"/>
      <c r="J61" s="541"/>
      <c r="K61" s="537"/>
      <c r="L61" s="537"/>
      <c r="M61" s="537"/>
      <c r="N61" s="537"/>
      <c r="O61" s="537"/>
      <c r="P61" s="537"/>
      <c r="Q61" s="537"/>
      <c r="R61" s="537"/>
      <c r="S61" s="537"/>
    </row>
    <row r="62" spans="1:19" ht="0.2" customHeight="1">
      <c r="A62" s="1083"/>
      <c r="B62" s="1079"/>
      <c r="C62" s="1079"/>
      <c r="D62" s="540"/>
      <c r="E62" s="546"/>
      <c r="F62" s="539">
        <v>1.101</v>
      </c>
      <c r="G62" s="539"/>
      <c r="H62" s="539"/>
      <c r="I62" s="539"/>
      <c r="J62" s="537" t="s">
        <v>710</v>
      </c>
      <c r="K62" s="538">
        <v>0</v>
      </c>
      <c r="L62" s="538">
        <v>7</v>
      </c>
      <c r="M62" s="537">
        <f>+F62+F64+G60</f>
        <v>1.488</v>
      </c>
      <c r="N62" s="537">
        <f t="shared" ref="N62:S62" si="10">IF(+$J62=N$9,+$K62*$L62*$M62,0)</f>
        <v>0</v>
      </c>
      <c r="O62" s="537">
        <f t="shared" si="10"/>
        <v>0</v>
      </c>
      <c r="P62" s="537">
        <f t="shared" si="10"/>
        <v>0</v>
      </c>
      <c r="Q62" s="537">
        <f t="shared" si="10"/>
        <v>0</v>
      </c>
      <c r="R62" s="537">
        <f t="shared" si="10"/>
        <v>0</v>
      </c>
      <c r="S62" s="537">
        <f t="shared" si="10"/>
        <v>0</v>
      </c>
    </row>
    <row r="63" spans="1:19" ht="0.2" customHeight="1">
      <c r="A63" s="1083"/>
      <c r="B63" s="1079"/>
      <c r="C63" s="1079"/>
      <c r="D63" s="540"/>
      <c r="E63" s="546"/>
      <c r="F63" s="539"/>
      <c r="G63" s="539"/>
      <c r="H63" s="539"/>
      <c r="I63" s="539"/>
      <c r="J63" s="537"/>
      <c r="K63" s="538"/>
      <c r="L63" s="538"/>
      <c r="M63" s="537"/>
      <c r="N63" s="537"/>
      <c r="O63" s="537"/>
      <c r="P63" s="537"/>
      <c r="Q63" s="537"/>
      <c r="R63" s="537"/>
      <c r="S63" s="537"/>
    </row>
    <row r="64" spans="1:19" ht="0.2" customHeight="1">
      <c r="A64" s="1083"/>
      <c r="B64" s="1079"/>
      <c r="C64" s="1080"/>
      <c r="D64" s="551"/>
      <c r="E64" s="550"/>
      <c r="F64" s="550">
        <v>0.25</v>
      </c>
      <c r="G64" s="576"/>
      <c r="H64" s="550"/>
      <c r="I64" s="550"/>
      <c r="J64" s="549"/>
      <c r="K64" s="548"/>
      <c r="L64" s="548"/>
      <c r="M64" s="547"/>
      <c r="N64" s="547"/>
      <c r="O64" s="547"/>
      <c r="P64" s="547"/>
      <c r="Q64" s="547"/>
      <c r="R64" s="547"/>
      <c r="S64" s="547"/>
    </row>
    <row r="65" spans="1:19" ht="0.2" customHeight="1">
      <c r="A65" s="1083"/>
      <c r="B65" s="1098"/>
      <c r="C65" s="575"/>
      <c r="D65" s="540"/>
      <c r="E65" s="539"/>
      <c r="F65" s="539"/>
      <c r="G65" s="546"/>
      <c r="H65" s="539"/>
      <c r="I65" s="539"/>
      <c r="J65" s="574"/>
      <c r="K65" s="573"/>
      <c r="L65" s="573"/>
      <c r="M65" s="540"/>
      <c r="N65" s="540"/>
      <c r="O65" s="540"/>
      <c r="P65" s="540"/>
      <c r="Q65" s="540"/>
      <c r="R65" s="540"/>
      <c r="S65" s="537"/>
    </row>
    <row r="66" spans="1:19" ht="0.2" customHeight="1">
      <c r="A66" s="1083"/>
      <c r="B66" s="1079"/>
      <c r="C66" s="1079" t="s">
        <v>725</v>
      </c>
      <c r="D66" s="540"/>
      <c r="E66" s="539"/>
      <c r="F66" s="539"/>
      <c r="G66" s="539"/>
      <c r="H66" s="539"/>
      <c r="I66" s="539"/>
      <c r="J66" s="541"/>
      <c r="K66" s="541"/>
      <c r="L66" s="541"/>
      <c r="M66" s="541"/>
      <c r="N66" s="541"/>
      <c r="O66" s="541"/>
      <c r="P66" s="541"/>
      <c r="Q66" s="541"/>
      <c r="R66" s="541"/>
      <c r="S66" s="541"/>
    </row>
    <row r="67" spans="1:19" ht="0.2" customHeight="1">
      <c r="A67" s="1083"/>
      <c r="B67" s="1079"/>
      <c r="C67" s="1079"/>
      <c r="D67" s="540"/>
      <c r="E67" s="546"/>
      <c r="F67" s="1086">
        <v>1.26</v>
      </c>
      <c r="G67" s="1086"/>
      <c r="H67" s="546"/>
      <c r="I67" s="539"/>
      <c r="J67" s="537" t="s">
        <v>710</v>
      </c>
      <c r="K67" s="538">
        <v>0</v>
      </c>
      <c r="L67" s="538">
        <v>11</v>
      </c>
      <c r="M67" s="537">
        <f>+F67</f>
        <v>1.26</v>
      </c>
      <c r="N67" s="537">
        <f t="shared" ref="N67:S67" si="11">IF(+$J67=N$9,+$K67*$L67*$M67,0)</f>
        <v>0</v>
      </c>
      <c r="O67" s="537">
        <f t="shared" si="11"/>
        <v>0</v>
      </c>
      <c r="P67" s="537">
        <f t="shared" si="11"/>
        <v>0</v>
      </c>
      <c r="Q67" s="537">
        <f t="shared" si="11"/>
        <v>0</v>
      </c>
      <c r="R67" s="537">
        <f t="shared" si="11"/>
        <v>0</v>
      </c>
      <c r="S67" s="537">
        <f t="shared" si="11"/>
        <v>0</v>
      </c>
    </row>
    <row r="68" spans="1:19" ht="0.2" customHeight="1">
      <c r="A68" s="1083"/>
      <c r="B68" s="1079"/>
      <c r="C68" s="1079"/>
      <c r="D68" s="540"/>
      <c r="E68" s="539"/>
      <c r="F68" s="546"/>
      <c r="G68" s="546"/>
      <c r="H68" s="539"/>
      <c r="I68" s="539"/>
      <c r="J68" s="541"/>
      <c r="K68" s="538"/>
      <c r="L68" s="538"/>
      <c r="M68" s="537"/>
      <c r="N68" s="537"/>
      <c r="O68" s="537"/>
      <c r="P68" s="537"/>
      <c r="Q68" s="537"/>
      <c r="R68" s="537"/>
      <c r="S68" s="537"/>
    </row>
    <row r="69" spans="1:19" ht="0.2" customHeight="1">
      <c r="A69" s="1083"/>
      <c r="B69" s="1079"/>
      <c r="C69" s="1079"/>
      <c r="D69" s="540"/>
      <c r="E69" s="539"/>
      <c r="F69" s="539"/>
      <c r="G69" s="539"/>
      <c r="H69" s="539"/>
      <c r="I69" s="539"/>
      <c r="J69" s="541"/>
      <c r="K69" s="538"/>
      <c r="L69" s="538"/>
      <c r="M69" s="537"/>
      <c r="N69" s="537"/>
      <c r="O69" s="537"/>
      <c r="P69" s="537"/>
      <c r="Q69" s="537"/>
      <c r="R69" s="537"/>
      <c r="S69" s="537"/>
    </row>
    <row r="70" spans="1:19" ht="0.2" customHeight="1">
      <c r="A70" s="1083"/>
      <c r="B70" s="1079"/>
      <c r="C70" s="1078" t="s">
        <v>724</v>
      </c>
      <c r="D70" s="545"/>
      <c r="E70" s="544"/>
      <c r="F70" s="544"/>
      <c r="G70" s="572">
        <v>0.2</v>
      </c>
      <c r="H70" s="544"/>
      <c r="I70" s="544"/>
      <c r="J70" s="542"/>
      <c r="K70" s="542"/>
      <c r="L70" s="542"/>
      <c r="M70" s="542"/>
      <c r="N70" s="542"/>
      <c r="O70" s="542"/>
      <c r="P70" s="542"/>
      <c r="Q70" s="542"/>
      <c r="R70" s="542"/>
      <c r="S70" s="542"/>
    </row>
    <row r="71" spans="1:19" ht="0.2" customHeight="1">
      <c r="A71" s="1083"/>
      <c r="B71" s="1079"/>
      <c r="C71" s="1079"/>
      <c r="D71" s="540"/>
      <c r="E71" s="546"/>
      <c r="F71" s="539"/>
      <c r="G71" s="539"/>
      <c r="H71" s="546"/>
      <c r="I71" s="539"/>
      <c r="J71" s="537"/>
      <c r="K71" s="538"/>
      <c r="L71" s="538"/>
      <c r="M71" s="537"/>
      <c r="N71" s="537"/>
      <c r="O71" s="537"/>
      <c r="P71" s="537"/>
      <c r="Q71" s="537"/>
      <c r="R71" s="537"/>
      <c r="S71" s="537"/>
    </row>
    <row r="72" spans="1:19" ht="0.2" customHeight="1">
      <c r="A72" s="1083"/>
      <c r="B72" s="1079"/>
      <c r="C72" s="1079"/>
      <c r="D72" s="540"/>
      <c r="E72" s="546"/>
      <c r="F72" s="1093">
        <f>+F67</f>
        <v>1.26</v>
      </c>
      <c r="G72" s="1093"/>
      <c r="H72" s="546"/>
      <c r="I72" s="539"/>
      <c r="J72" s="537" t="s">
        <v>710</v>
      </c>
      <c r="K72" s="538">
        <v>0</v>
      </c>
      <c r="L72" s="538">
        <v>7</v>
      </c>
      <c r="M72" s="537">
        <f>+F72+G70+G74</f>
        <v>1.96</v>
      </c>
      <c r="N72" s="537">
        <f t="shared" ref="N72:S72" si="12">IF(+$J72=N$9,+$K72*$L72*$M72,0)</f>
        <v>0</v>
      </c>
      <c r="O72" s="537">
        <f t="shared" si="12"/>
        <v>0</v>
      </c>
      <c r="P72" s="537">
        <f t="shared" si="12"/>
        <v>0</v>
      </c>
      <c r="Q72" s="537">
        <f t="shared" si="12"/>
        <v>0</v>
      </c>
      <c r="R72" s="537">
        <f t="shared" si="12"/>
        <v>0</v>
      </c>
      <c r="S72" s="537">
        <f t="shared" si="12"/>
        <v>0</v>
      </c>
    </row>
    <row r="73" spans="1:19" ht="0.2" customHeight="1">
      <c r="A73" s="1083"/>
      <c r="B73" s="1079"/>
      <c r="C73" s="1079"/>
      <c r="D73" s="540"/>
      <c r="E73" s="539"/>
      <c r="F73" s="546"/>
      <c r="G73" s="546"/>
      <c r="H73" s="539"/>
      <c r="I73" s="539"/>
      <c r="J73" s="541"/>
      <c r="K73" s="538"/>
      <c r="L73" s="538"/>
      <c r="M73" s="537"/>
      <c r="N73" s="537"/>
      <c r="O73" s="537"/>
      <c r="P73" s="537"/>
      <c r="Q73" s="537"/>
      <c r="R73" s="537"/>
      <c r="S73" s="537"/>
    </row>
    <row r="74" spans="1:19" ht="0.2" customHeight="1">
      <c r="A74" s="1083"/>
      <c r="B74" s="1079"/>
      <c r="C74" s="1080"/>
      <c r="D74" s="551"/>
      <c r="E74" s="550"/>
      <c r="F74" s="569"/>
      <c r="G74" s="571">
        <v>0.5</v>
      </c>
      <c r="H74" s="550"/>
      <c r="I74" s="550"/>
      <c r="J74" s="549"/>
      <c r="K74" s="548"/>
      <c r="L74" s="548"/>
      <c r="M74" s="547"/>
      <c r="N74" s="547"/>
      <c r="O74" s="547"/>
      <c r="P74" s="547"/>
      <c r="Q74" s="547"/>
      <c r="R74" s="547"/>
      <c r="S74" s="547"/>
    </row>
    <row r="75" spans="1:19" ht="0.2" customHeight="1">
      <c r="A75" s="1083"/>
      <c r="B75" s="1079"/>
      <c r="C75" s="1078" t="s">
        <v>723</v>
      </c>
      <c r="D75" s="545"/>
      <c r="E75" s="544"/>
      <c r="F75" s="568"/>
      <c r="G75" s="568"/>
      <c r="H75" s="544"/>
      <c r="I75" s="544"/>
      <c r="J75" s="542"/>
      <c r="K75" s="542"/>
      <c r="L75" s="542"/>
      <c r="M75" s="542"/>
      <c r="N75" s="542"/>
      <c r="O75" s="542"/>
      <c r="P75" s="542"/>
      <c r="Q75" s="542"/>
      <c r="R75" s="542"/>
      <c r="S75" s="542"/>
    </row>
    <row r="76" spans="1:19" ht="0.2" customHeight="1">
      <c r="A76" s="1083"/>
      <c r="B76" s="1079"/>
      <c r="C76" s="1079"/>
      <c r="D76" s="540"/>
      <c r="E76" s="546"/>
      <c r="F76" s="567"/>
      <c r="G76" s="567"/>
      <c r="H76" s="546"/>
      <c r="I76" s="539"/>
      <c r="J76" s="537"/>
      <c r="K76" s="538"/>
      <c r="L76" s="538"/>
      <c r="M76" s="537"/>
      <c r="N76" s="537"/>
      <c r="O76" s="537"/>
      <c r="P76" s="537"/>
      <c r="Q76" s="537"/>
      <c r="R76" s="537"/>
      <c r="S76" s="537"/>
    </row>
    <row r="77" spans="1:19" ht="0.2" customHeight="1">
      <c r="A77" s="1083"/>
      <c r="B77" s="1079"/>
      <c r="C77" s="1079"/>
      <c r="D77" s="540"/>
      <c r="E77" s="546"/>
      <c r="F77" s="1093">
        <v>0.69499999999999995</v>
      </c>
      <c r="G77" s="1093"/>
      <c r="H77" s="546"/>
      <c r="I77" s="539"/>
      <c r="J77" s="537" t="s">
        <v>710</v>
      </c>
      <c r="K77" s="538">
        <v>0</v>
      </c>
      <c r="L77" s="538">
        <v>4</v>
      </c>
      <c r="M77" s="537">
        <f>+F77</f>
        <v>0.69499999999999995</v>
      </c>
      <c r="N77" s="537">
        <f t="shared" ref="N77:S77" si="13">IF(+$J77=N$9,+$K77*$L77*$M77,0)</f>
        <v>0</v>
      </c>
      <c r="O77" s="537">
        <f t="shared" si="13"/>
        <v>0</v>
      </c>
      <c r="P77" s="537">
        <f t="shared" si="13"/>
        <v>0</v>
      </c>
      <c r="Q77" s="537">
        <f t="shared" si="13"/>
        <v>0</v>
      </c>
      <c r="R77" s="537">
        <f t="shared" si="13"/>
        <v>0</v>
      </c>
      <c r="S77" s="537">
        <f t="shared" si="13"/>
        <v>0</v>
      </c>
    </row>
    <row r="78" spans="1:19" ht="0.2" customHeight="1">
      <c r="A78" s="1083"/>
      <c r="B78" s="1079"/>
      <c r="C78" s="1079"/>
      <c r="D78" s="540"/>
      <c r="E78" s="539"/>
      <c r="F78" s="546"/>
      <c r="G78" s="546"/>
      <c r="H78" s="539"/>
      <c r="I78" s="539"/>
      <c r="J78" s="537"/>
      <c r="K78" s="538"/>
      <c r="L78" s="538"/>
      <c r="M78" s="537"/>
      <c r="N78" s="537"/>
      <c r="O78" s="537"/>
      <c r="P78" s="537"/>
      <c r="Q78" s="537"/>
      <c r="R78" s="537"/>
      <c r="S78" s="537"/>
    </row>
    <row r="79" spans="1:19" ht="0.2" customHeight="1">
      <c r="A79" s="1083"/>
      <c r="B79" s="1080"/>
      <c r="C79" s="1080"/>
      <c r="D79" s="551"/>
      <c r="E79" s="550"/>
      <c r="F79" s="550"/>
      <c r="G79" s="550"/>
      <c r="H79" s="550"/>
      <c r="I79" s="550"/>
      <c r="J79" s="549"/>
      <c r="K79" s="548"/>
      <c r="L79" s="548"/>
      <c r="M79" s="547"/>
      <c r="N79" s="547"/>
      <c r="O79" s="547"/>
      <c r="P79" s="547"/>
      <c r="Q79" s="547"/>
      <c r="R79" s="547"/>
      <c r="S79" s="547"/>
    </row>
    <row r="80" spans="1:19" ht="0.2" customHeight="1">
      <c r="A80" s="1083"/>
      <c r="B80" s="570"/>
      <c r="C80" s="1078" t="s">
        <v>722</v>
      </c>
      <c r="D80" s="545"/>
      <c r="E80" s="544"/>
      <c r="F80" s="568"/>
      <c r="G80" s="568"/>
      <c r="H80" s="544"/>
      <c r="I80" s="544"/>
      <c r="J80" s="542"/>
      <c r="K80" s="542"/>
      <c r="L80" s="542"/>
      <c r="M80" s="542"/>
      <c r="N80" s="542"/>
      <c r="O80" s="542"/>
      <c r="P80" s="542"/>
      <c r="Q80" s="542"/>
      <c r="R80" s="542"/>
      <c r="S80" s="542"/>
    </row>
    <row r="81" spans="1:19" ht="0.2" customHeight="1">
      <c r="A81" s="1083"/>
      <c r="B81" s="570"/>
      <c r="C81" s="1079"/>
      <c r="D81" s="540"/>
      <c r="E81" s="546"/>
      <c r="F81" s="567"/>
      <c r="G81" s="567"/>
      <c r="H81" s="546"/>
      <c r="I81" s="539"/>
      <c r="J81" s="537"/>
      <c r="K81" s="538"/>
      <c r="L81" s="538"/>
      <c r="M81" s="537"/>
      <c r="N81" s="537"/>
      <c r="O81" s="537"/>
      <c r="P81" s="537"/>
      <c r="Q81" s="537"/>
      <c r="R81" s="537"/>
      <c r="S81" s="537"/>
    </row>
    <row r="82" spans="1:19" ht="0.2" customHeight="1">
      <c r="A82" s="1083"/>
      <c r="B82" s="570"/>
      <c r="C82" s="1079"/>
      <c r="D82" s="540"/>
      <c r="E82" s="546"/>
      <c r="F82" s="1093">
        <v>0.76</v>
      </c>
      <c r="G82" s="1093"/>
      <c r="H82" s="546"/>
      <c r="I82" s="539"/>
      <c r="J82" s="537" t="s">
        <v>710</v>
      </c>
      <c r="K82" s="538">
        <v>0</v>
      </c>
      <c r="L82" s="538">
        <v>5</v>
      </c>
      <c r="M82" s="537">
        <f>+F82</f>
        <v>0.76</v>
      </c>
      <c r="N82" s="537">
        <f t="shared" ref="N82:S82" si="14">IF(+$J82=N$9,+$K82*$L82*$M82,0)</f>
        <v>0</v>
      </c>
      <c r="O82" s="537">
        <f t="shared" si="14"/>
        <v>0</v>
      </c>
      <c r="P82" s="537">
        <f t="shared" si="14"/>
        <v>0</v>
      </c>
      <c r="Q82" s="537">
        <f t="shared" si="14"/>
        <v>0</v>
      </c>
      <c r="R82" s="537">
        <f t="shared" si="14"/>
        <v>0</v>
      </c>
      <c r="S82" s="537">
        <f t="shared" si="14"/>
        <v>0</v>
      </c>
    </row>
    <row r="83" spans="1:19" ht="0.2" customHeight="1">
      <c r="A83" s="1083"/>
      <c r="B83" s="570"/>
      <c r="C83" s="1079"/>
      <c r="D83" s="540"/>
      <c r="E83" s="539"/>
      <c r="F83" s="546"/>
      <c r="G83" s="546"/>
      <c r="H83" s="539"/>
      <c r="I83" s="539"/>
      <c r="J83" s="537"/>
      <c r="K83" s="538"/>
      <c r="L83" s="538"/>
      <c r="M83" s="537"/>
      <c r="N83" s="537"/>
      <c r="O83" s="537"/>
      <c r="P83" s="537"/>
      <c r="Q83" s="537"/>
      <c r="R83" s="537"/>
      <c r="S83" s="537"/>
    </row>
    <row r="84" spans="1:19" ht="0.2" customHeight="1">
      <c r="A84" s="1083"/>
      <c r="B84" s="570"/>
      <c r="C84" s="1080"/>
      <c r="D84" s="551"/>
      <c r="E84" s="550"/>
      <c r="F84" s="550"/>
      <c r="G84" s="550"/>
      <c r="H84" s="550"/>
      <c r="I84" s="550"/>
      <c r="J84" s="549"/>
      <c r="K84" s="548"/>
      <c r="L84" s="548"/>
      <c r="M84" s="547"/>
      <c r="N84" s="547"/>
      <c r="O84" s="547"/>
      <c r="P84" s="547"/>
      <c r="Q84" s="547"/>
      <c r="R84" s="547"/>
      <c r="S84" s="547"/>
    </row>
    <row r="85" spans="1:19" ht="0.2" customHeight="1">
      <c r="A85" s="1083"/>
      <c r="B85" s="1079"/>
      <c r="C85" s="1079"/>
      <c r="D85" s="540"/>
      <c r="E85" s="539"/>
      <c r="F85" s="546"/>
      <c r="G85" s="539">
        <v>0.2</v>
      </c>
      <c r="H85" s="539"/>
      <c r="I85" s="539"/>
      <c r="J85" s="541"/>
      <c r="K85" s="537"/>
      <c r="L85" s="537"/>
      <c r="M85" s="537"/>
      <c r="N85" s="537"/>
      <c r="O85" s="537"/>
      <c r="P85" s="537"/>
      <c r="Q85" s="537"/>
      <c r="R85" s="537"/>
      <c r="S85" s="537"/>
    </row>
    <row r="86" spans="1:19" ht="0.2" customHeight="1">
      <c r="A86" s="1083"/>
      <c r="B86" s="1079"/>
      <c r="C86" s="1079"/>
      <c r="D86" s="540"/>
      <c r="E86" s="539"/>
      <c r="F86" s="539"/>
      <c r="G86" s="539"/>
      <c r="H86" s="539"/>
      <c r="I86" s="539"/>
      <c r="J86" s="541"/>
      <c r="K86" s="537"/>
      <c r="L86" s="537"/>
      <c r="M86" s="537"/>
      <c r="N86" s="537"/>
      <c r="O86" s="537"/>
      <c r="P86" s="537"/>
      <c r="Q86" s="537"/>
      <c r="R86" s="537"/>
      <c r="S86" s="537"/>
    </row>
    <row r="87" spans="1:19" ht="0.2" customHeight="1">
      <c r="A87" s="1083"/>
      <c r="B87" s="1079"/>
      <c r="C87" s="1079"/>
      <c r="D87" s="540"/>
      <c r="E87" s="546"/>
      <c r="F87" s="539">
        <v>0.2</v>
      </c>
      <c r="G87" s="539"/>
      <c r="H87" s="539"/>
      <c r="I87" s="539"/>
      <c r="J87" s="537" t="s">
        <v>692</v>
      </c>
      <c r="K87" s="538">
        <v>0</v>
      </c>
      <c r="L87" s="538">
        <v>4</v>
      </c>
      <c r="M87" s="537">
        <f>+F87+G89+G85</f>
        <v>0.4</v>
      </c>
      <c r="N87" s="537">
        <f t="shared" ref="N87:S87" si="15">IF(+$J87=N$9,+$K87*$L87*$M87,0)</f>
        <v>0</v>
      </c>
      <c r="O87" s="537">
        <f t="shared" si="15"/>
        <v>0</v>
      </c>
      <c r="P87" s="537">
        <f t="shared" si="15"/>
        <v>0</v>
      </c>
      <c r="Q87" s="537">
        <f t="shared" si="15"/>
        <v>0</v>
      </c>
      <c r="R87" s="537">
        <f t="shared" si="15"/>
        <v>0</v>
      </c>
      <c r="S87" s="537">
        <f t="shared" si="15"/>
        <v>0</v>
      </c>
    </row>
    <row r="88" spans="1:19" ht="0.2" customHeight="1">
      <c r="A88" s="1083"/>
      <c r="B88" s="1079"/>
      <c r="C88" s="1079"/>
      <c r="D88" s="540"/>
      <c r="E88" s="546"/>
      <c r="F88" s="539"/>
      <c r="G88" s="539"/>
      <c r="H88" s="539"/>
      <c r="I88" s="539"/>
      <c r="J88" s="537"/>
      <c r="K88" s="538"/>
      <c r="L88" s="538"/>
      <c r="M88" s="537"/>
      <c r="N88" s="537"/>
      <c r="O88" s="537"/>
      <c r="P88" s="537"/>
      <c r="Q88" s="537"/>
      <c r="R88" s="537"/>
      <c r="S88" s="537"/>
    </row>
    <row r="89" spans="1:19" ht="0.2" customHeight="1">
      <c r="A89" s="1083"/>
      <c r="B89" s="1079"/>
      <c r="C89" s="1079"/>
      <c r="D89" s="540"/>
      <c r="E89" s="539"/>
      <c r="F89" s="539"/>
      <c r="G89" s="539"/>
      <c r="H89" s="539"/>
      <c r="I89" s="539"/>
      <c r="J89" s="541"/>
      <c r="K89" s="538"/>
      <c r="L89" s="538"/>
      <c r="M89" s="537"/>
      <c r="N89" s="537"/>
      <c r="O89" s="537"/>
      <c r="P89" s="537"/>
      <c r="Q89" s="537"/>
      <c r="R89" s="537"/>
      <c r="S89" s="537"/>
    </row>
    <row r="90" spans="1:19" ht="0.2" customHeight="1">
      <c r="A90" s="1083"/>
      <c r="B90" s="1079"/>
      <c r="C90" s="1078" t="s">
        <v>721</v>
      </c>
      <c r="D90" s="545"/>
      <c r="E90" s="544"/>
      <c r="F90" s="544"/>
      <c r="G90" s="544"/>
      <c r="H90" s="544"/>
      <c r="I90" s="544"/>
      <c r="J90" s="542"/>
      <c r="K90" s="542"/>
      <c r="L90" s="542"/>
      <c r="M90" s="542"/>
      <c r="N90" s="542"/>
      <c r="O90" s="542"/>
      <c r="P90" s="542"/>
      <c r="Q90" s="542"/>
      <c r="R90" s="542"/>
      <c r="S90" s="542"/>
    </row>
    <row r="91" spans="1:19" ht="0.2" customHeight="1">
      <c r="A91" s="1083"/>
      <c r="B91" s="1079"/>
      <c r="C91" s="1079"/>
      <c r="D91" s="540"/>
      <c r="E91" s="539"/>
      <c r="F91" s="539"/>
      <c r="G91" s="539"/>
      <c r="H91" s="539"/>
      <c r="I91" s="539"/>
      <c r="J91" s="541"/>
      <c r="K91" s="541"/>
      <c r="L91" s="541"/>
      <c r="M91" s="541"/>
      <c r="N91" s="541"/>
      <c r="O91" s="541"/>
      <c r="P91" s="541"/>
      <c r="Q91" s="541"/>
      <c r="R91" s="541"/>
      <c r="S91" s="541"/>
    </row>
    <row r="92" spans="1:19" ht="0.2" customHeight="1">
      <c r="A92" s="1083"/>
      <c r="B92" s="1079"/>
      <c r="C92" s="1079"/>
      <c r="D92" s="540"/>
      <c r="E92" s="546"/>
      <c r="F92" s="553">
        <v>0.1</v>
      </c>
      <c r="G92" s="553"/>
      <c r="H92" s="546"/>
      <c r="I92" s="539"/>
      <c r="J92" s="537" t="s">
        <v>692</v>
      </c>
      <c r="K92" s="538">
        <v>0</v>
      </c>
      <c r="L92" s="538">
        <v>2</v>
      </c>
      <c r="M92" s="537">
        <f>+F92</f>
        <v>0.1</v>
      </c>
      <c r="N92" s="537">
        <f t="shared" ref="N92:S92" si="16">IF(+$J92=N$9,+$K92*$L92*$M92,0)</f>
        <v>0</v>
      </c>
      <c r="O92" s="537">
        <f t="shared" si="16"/>
        <v>0</v>
      </c>
      <c r="P92" s="537">
        <f t="shared" si="16"/>
        <v>0</v>
      </c>
      <c r="Q92" s="537">
        <f t="shared" si="16"/>
        <v>0</v>
      </c>
      <c r="R92" s="537">
        <f t="shared" si="16"/>
        <v>0</v>
      </c>
      <c r="S92" s="537">
        <f t="shared" si="16"/>
        <v>0</v>
      </c>
    </row>
    <row r="93" spans="1:19" ht="0.2" customHeight="1">
      <c r="A93" s="1083"/>
      <c r="B93" s="1079"/>
      <c r="C93" s="1079"/>
      <c r="D93" s="540"/>
      <c r="E93" s="539"/>
      <c r="F93" s="546"/>
      <c r="G93" s="546"/>
      <c r="H93" s="539"/>
      <c r="I93" s="539"/>
      <c r="J93" s="541"/>
      <c r="K93" s="538"/>
      <c r="L93" s="538"/>
      <c r="M93" s="537"/>
      <c r="N93" s="537"/>
      <c r="O93" s="537"/>
      <c r="P93" s="537"/>
      <c r="Q93" s="537"/>
      <c r="R93" s="537"/>
      <c r="S93" s="537"/>
    </row>
    <row r="94" spans="1:19" ht="0.2" customHeight="1">
      <c r="A94" s="1083"/>
      <c r="B94" s="1079"/>
      <c r="C94" s="1079"/>
      <c r="D94" s="540"/>
      <c r="E94" s="539"/>
      <c r="F94" s="539"/>
      <c r="G94" s="539"/>
      <c r="H94" s="539"/>
      <c r="I94" s="539"/>
      <c r="J94" s="541"/>
      <c r="K94" s="538"/>
      <c r="L94" s="538"/>
      <c r="M94" s="537"/>
      <c r="N94" s="537"/>
      <c r="O94" s="537"/>
      <c r="P94" s="537"/>
      <c r="Q94" s="537"/>
      <c r="R94" s="537"/>
      <c r="S94" s="537"/>
    </row>
    <row r="95" spans="1:19" ht="0.2" customHeight="1">
      <c r="A95" s="1083"/>
      <c r="B95" s="1079"/>
      <c r="C95" s="1078" t="s">
        <v>719</v>
      </c>
      <c r="D95" s="545"/>
      <c r="E95" s="544"/>
      <c r="F95" s="544"/>
      <c r="G95" s="544"/>
      <c r="H95" s="544"/>
      <c r="I95" s="544"/>
      <c r="J95" s="542"/>
      <c r="K95" s="542"/>
      <c r="L95" s="542"/>
      <c r="M95" s="542"/>
      <c r="N95" s="542"/>
      <c r="O95" s="542"/>
      <c r="P95" s="542"/>
      <c r="Q95" s="542"/>
      <c r="R95" s="542"/>
      <c r="S95" s="542"/>
    </row>
    <row r="96" spans="1:19" ht="0.2" customHeight="1">
      <c r="A96" s="1083"/>
      <c r="B96" s="1079"/>
      <c r="C96" s="1079"/>
      <c r="D96" s="540"/>
      <c r="E96" s="546"/>
      <c r="F96" s="539"/>
      <c r="G96" s="539"/>
      <c r="H96" s="546"/>
      <c r="I96" s="539"/>
      <c r="J96" s="541"/>
      <c r="K96" s="538"/>
      <c r="L96" s="538"/>
      <c r="M96" s="537"/>
      <c r="N96" s="537"/>
      <c r="O96" s="537"/>
      <c r="P96" s="537"/>
      <c r="Q96" s="537"/>
      <c r="R96" s="537"/>
      <c r="S96" s="537"/>
    </row>
    <row r="97" spans="1:19" ht="0.2" customHeight="1">
      <c r="A97" s="1083"/>
      <c r="B97" s="1079"/>
      <c r="C97" s="1079"/>
      <c r="D97" s="540"/>
      <c r="E97" s="546"/>
      <c r="F97" s="546"/>
      <c r="G97" s="567">
        <v>0.43</v>
      </c>
      <c r="H97" s="546"/>
      <c r="I97" s="539"/>
      <c r="J97" s="537" t="s">
        <v>692</v>
      </c>
      <c r="K97" s="538">
        <v>0</v>
      </c>
      <c r="L97" s="538">
        <v>2</v>
      </c>
      <c r="M97" s="537">
        <f>+G97+F99</f>
        <v>0.53</v>
      </c>
      <c r="N97" s="537">
        <f t="shared" ref="N97:S97" si="17">IF(+$J97=N$9,+$K97*$L97*$M97,0)</f>
        <v>0</v>
      </c>
      <c r="O97" s="537">
        <f t="shared" si="17"/>
        <v>0</v>
      </c>
      <c r="P97" s="537">
        <f t="shared" si="17"/>
        <v>0</v>
      </c>
      <c r="Q97" s="537">
        <f t="shared" si="17"/>
        <v>0</v>
      </c>
      <c r="R97" s="537">
        <f t="shared" si="17"/>
        <v>0</v>
      </c>
      <c r="S97" s="537">
        <f t="shared" si="17"/>
        <v>0</v>
      </c>
    </row>
    <row r="98" spans="1:19" ht="0.2" customHeight="1">
      <c r="A98" s="1083"/>
      <c r="B98" s="1079"/>
      <c r="C98" s="1079"/>
      <c r="D98" s="540"/>
      <c r="E98" s="539"/>
      <c r="F98" s="546"/>
      <c r="G98" s="566"/>
      <c r="H98" s="539"/>
      <c r="I98" s="539"/>
      <c r="J98" s="541"/>
      <c r="K98" s="538"/>
      <c r="L98" s="538"/>
      <c r="M98" s="537"/>
      <c r="N98" s="537"/>
      <c r="O98" s="537"/>
      <c r="P98" s="537"/>
      <c r="Q98" s="537"/>
      <c r="R98" s="537"/>
      <c r="S98" s="537"/>
    </row>
    <row r="99" spans="1:19" ht="0.2" customHeight="1">
      <c r="A99" s="1083"/>
      <c r="B99" s="1079"/>
      <c r="C99" s="1080"/>
      <c r="D99" s="551"/>
      <c r="E99" s="550"/>
      <c r="F99" s="569">
        <v>0.1</v>
      </c>
      <c r="G99" s="569"/>
      <c r="H99" s="550"/>
      <c r="I99" s="550"/>
      <c r="J99" s="541"/>
      <c r="K99" s="548"/>
      <c r="L99" s="548"/>
      <c r="M99" s="547"/>
      <c r="N99" s="547"/>
      <c r="O99" s="547"/>
      <c r="P99" s="547"/>
      <c r="Q99" s="547"/>
      <c r="R99" s="547"/>
      <c r="S99" s="547"/>
    </row>
    <row r="100" spans="1:19" ht="0.2" customHeight="1">
      <c r="A100" s="1083"/>
      <c r="B100" s="1079"/>
      <c r="C100" s="1078" t="s">
        <v>720</v>
      </c>
      <c r="D100" s="545"/>
      <c r="E100" s="544"/>
      <c r="F100" s="544"/>
      <c r="G100" s="544"/>
      <c r="H100" s="544"/>
      <c r="I100" s="544"/>
      <c r="J100" s="542"/>
      <c r="K100" s="542"/>
      <c r="L100" s="542"/>
      <c r="M100" s="542"/>
      <c r="N100" s="542"/>
      <c r="O100" s="542"/>
      <c r="P100" s="542"/>
      <c r="Q100" s="542"/>
      <c r="R100" s="542"/>
      <c r="S100" s="542"/>
    </row>
    <row r="101" spans="1:19" ht="0.2" customHeight="1">
      <c r="A101" s="1083"/>
      <c r="B101" s="1079"/>
      <c r="C101" s="1079"/>
      <c r="D101" s="540"/>
      <c r="E101" s="546"/>
      <c r="F101" s="539"/>
      <c r="G101" s="539"/>
      <c r="H101" s="546"/>
      <c r="I101" s="539"/>
      <c r="J101" s="541"/>
      <c r="K101" s="538"/>
      <c r="L101" s="538"/>
      <c r="M101" s="537"/>
      <c r="N101" s="537"/>
      <c r="O101" s="537"/>
      <c r="P101" s="537"/>
      <c r="Q101" s="537"/>
      <c r="R101" s="537"/>
      <c r="S101" s="537"/>
    </row>
    <row r="102" spans="1:19" ht="0.2" customHeight="1">
      <c r="A102" s="1083"/>
      <c r="B102" s="1079"/>
      <c r="C102" s="1079"/>
      <c r="D102" s="540"/>
      <c r="E102" s="546"/>
      <c r="F102" s="546"/>
      <c r="G102" s="567">
        <v>0.28999999999999998</v>
      </c>
      <c r="H102" s="546"/>
      <c r="I102" s="539"/>
      <c r="J102" s="537" t="s">
        <v>692</v>
      </c>
      <c r="K102" s="538">
        <v>0</v>
      </c>
      <c r="L102" s="538">
        <v>2</v>
      </c>
      <c r="M102" s="537">
        <f>+G102+G104</f>
        <v>0.39</v>
      </c>
      <c r="N102" s="537">
        <f t="shared" ref="N102:S102" si="18">IF(+$J102=N$9,+$K102*$L102*$M102,0)</f>
        <v>0</v>
      </c>
      <c r="O102" s="537">
        <f t="shared" si="18"/>
        <v>0</v>
      </c>
      <c r="P102" s="537">
        <f t="shared" si="18"/>
        <v>0</v>
      </c>
      <c r="Q102" s="537">
        <f t="shared" si="18"/>
        <v>0</v>
      </c>
      <c r="R102" s="537">
        <f t="shared" si="18"/>
        <v>0</v>
      </c>
      <c r="S102" s="537">
        <f t="shared" si="18"/>
        <v>0</v>
      </c>
    </row>
    <row r="103" spans="1:19" ht="0.2" customHeight="1">
      <c r="A103" s="1083"/>
      <c r="B103" s="1079"/>
      <c r="C103" s="1079"/>
      <c r="D103" s="540"/>
      <c r="E103" s="539"/>
      <c r="F103" s="546"/>
      <c r="G103" s="566"/>
      <c r="H103" s="539"/>
      <c r="I103" s="539"/>
      <c r="J103" s="541"/>
      <c r="K103" s="538"/>
      <c r="L103" s="538"/>
      <c r="M103" s="537"/>
      <c r="N103" s="537"/>
      <c r="O103" s="537"/>
      <c r="P103" s="537"/>
      <c r="Q103" s="537"/>
      <c r="R103" s="537"/>
      <c r="S103" s="537"/>
    </row>
    <row r="104" spans="1:19" ht="0.2" customHeight="1">
      <c r="A104" s="1083"/>
      <c r="B104" s="1079"/>
      <c r="C104" s="1080"/>
      <c r="D104" s="551"/>
      <c r="E104" s="550"/>
      <c r="F104" s="546"/>
      <c r="G104" s="569">
        <v>0.1</v>
      </c>
      <c r="H104" s="550"/>
      <c r="I104" s="550"/>
      <c r="J104" s="541"/>
      <c r="K104" s="548"/>
      <c r="L104" s="548"/>
      <c r="M104" s="547"/>
      <c r="N104" s="547"/>
      <c r="O104" s="547"/>
      <c r="P104" s="547"/>
      <c r="Q104" s="547"/>
      <c r="R104" s="547"/>
      <c r="S104" s="547"/>
    </row>
    <row r="105" spans="1:19" ht="0.2" customHeight="1">
      <c r="A105" s="1083"/>
      <c r="B105" s="1079"/>
      <c r="C105" s="1078" t="s">
        <v>719</v>
      </c>
      <c r="D105" s="545"/>
      <c r="E105" s="544"/>
      <c r="F105" s="544"/>
      <c r="G105" s="544"/>
      <c r="H105" s="544"/>
      <c r="I105" s="544"/>
      <c r="J105" s="542"/>
      <c r="K105" s="542"/>
      <c r="L105" s="542"/>
      <c r="M105" s="542"/>
      <c r="N105" s="542"/>
      <c r="O105" s="542"/>
      <c r="P105" s="542"/>
      <c r="Q105" s="542"/>
      <c r="R105" s="542"/>
      <c r="S105" s="542"/>
    </row>
    <row r="106" spans="1:19" ht="0.2" customHeight="1">
      <c r="A106" s="1083"/>
      <c r="B106" s="1079"/>
      <c r="C106" s="1079"/>
      <c r="D106" s="540"/>
      <c r="E106" s="546"/>
      <c r="F106" s="539"/>
      <c r="G106" s="539"/>
      <c r="H106" s="546"/>
      <c r="I106" s="539"/>
      <c r="J106" s="541"/>
      <c r="K106" s="538"/>
      <c r="L106" s="538"/>
      <c r="M106" s="537"/>
      <c r="N106" s="537"/>
      <c r="O106" s="537"/>
      <c r="P106" s="537"/>
      <c r="Q106" s="537"/>
      <c r="R106" s="537"/>
      <c r="S106" s="537"/>
    </row>
    <row r="107" spans="1:19" ht="0.2" customHeight="1">
      <c r="A107" s="1083"/>
      <c r="B107" s="1079"/>
      <c r="C107" s="1079"/>
      <c r="D107" s="540"/>
      <c r="E107" s="546"/>
      <c r="F107" s="546"/>
      <c r="G107" s="567">
        <v>0.8</v>
      </c>
      <c r="H107" s="546"/>
      <c r="I107" s="539"/>
      <c r="J107" s="537" t="s">
        <v>692</v>
      </c>
      <c r="K107" s="538">
        <v>0</v>
      </c>
      <c r="L107" s="538">
        <v>2</v>
      </c>
      <c r="M107" s="537">
        <f>+G107+F109</f>
        <v>0.8</v>
      </c>
      <c r="N107" s="537">
        <f t="shared" ref="N107:S107" si="19">IF(+$J107=N$9,+$K107*$L107*$M107,0)</f>
        <v>0</v>
      </c>
      <c r="O107" s="537">
        <f t="shared" si="19"/>
        <v>0</v>
      </c>
      <c r="P107" s="537">
        <f t="shared" si="19"/>
        <v>0</v>
      </c>
      <c r="Q107" s="537">
        <f t="shared" si="19"/>
        <v>0</v>
      </c>
      <c r="R107" s="537">
        <f t="shared" si="19"/>
        <v>0</v>
      </c>
      <c r="S107" s="537">
        <f t="shared" si="19"/>
        <v>0</v>
      </c>
    </row>
    <row r="108" spans="1:19" ht="0.2" customHeight="1">
      <c r="A108" s="1083"/>
      <c r="B108" s="1079"/>
      <c r="C108" s="1079"/>
      <c r="D108" s="540"/>
      <c r="E108" s="539"/>
      <c r="F108" s="546"/>
      <c r="G108" s="566"/>
      <c r="H108" s="539"/>
      <c r="I108" s="539"/>
      <c r="J108" s="541"/>
      <c r="K108" s="538"/>
      <c r="L108" s="538"/>
      <c r="M108" s="537"/>
      <c r="N108" s="537"/>
      <c r="O108" s="537"/>
      <c r="P108" s="537"/>
      <c r="Q108" s="537"/>
      <c r="R108" s="537"/>
      <c r="S108" s="537"/>
    </row>
    <row r="109" spans="1:19" ht="0.2" customHeight="1">
      <c r="A109" s="1083"/>
      <c r="B109" s="1079"/>
      <c r="C109" s="1080"/>
      <c r="D109" s="551"/>
      <c r="E109" s="550"/>
      <c r="F109" s="569"/>
      <c r="G109" s="569"/>
      <c r="H109" s="550"/>
      <c r="I109" s="550"/>
      <c r="J109" s="541"/>
      <c r="K109" s="548"/>
      <c r="L109" s="548"/>
      <c r="M109" s="547"/>
      <c r="N109" s="547"/>
      <c r="O109" s="547"/>
      <c r="P109" s="547"/>
      <c r="Q109" s="547"/>
      <c r="R109" s="547"/>
      <c r="S109" s="547"/>
    </row>
    <row r="110" spans="1:19" ht="0.2" customHeight="1">
      <c r="A110" s="1083"/>
      <c r="B110" s="1079"/>
      <c r="C110" s="1078" t="s">
        <v>718</v>
      </c>
      <c r="D110" s="545"/>
      <c r="E110" s="544"/>
      <c r="F110" s="544">
        <v>0.223</v>
      </c>
      <c r="G110" s="544"/>
      <c r="H110" s="544"/>
      <c r="I110" s="544"/>
      <c r="J110" s="542"/>
      <c r="K110" s="542"/>
      <c r="L110" s="542"/>
      <c r="M110" s="542"/>
      <c r="N110" s="542"/>
      <c r="O110" s="542"/>
      <c r="P110" s="542"/>
      <c r="Q110" s="542"/>
      <c r="R110" s="542"/>
      <c r="S110" s="542"/>
    </row>
    <row r="111" spans="1:19" ht="0.2" customHeight="1">
      <c r="A111" s="1083"/>
      <c r="B111" s="1079"/>
      <c r="C111" s="1079"/>
      <c r="D111" s="540"/>
      <c r="E111" s="546"/>
      <c r="F111" s="539"/>
      <c r="G111" s="539"/>
      <c r="H111" s="546"/>
      <c r="I111" s="539"/>
      <c r="J111" s="541"/>
      <c r="K111" s="538"/>
      <c r="L111" s="538"/>
      <c r="M111" s="537"/>
      <c r="N111" s="537"/>
      <c r="O111" s="537"/>
      <c r="P111" s="537"/>
      <c r="Q111" s="537"/>
      <c r="R111" s="537"/>
      <c r="S111" s="537"/>
    </row>
    <row r="112" spans="1:19" ht="0.2" customHeight="1">
      <c r="A112" s="1083"/>
      <c r="B112" s="1079"/>
      <c r="C112" s="1079"/>
      <c r="D112" s="540"/>
      <c r="E112" s="546"/>
      <c r="F112" s="546"/>
      <c r="G112" s="567">
        <v>0.155</v>
      </c>
      <c r="H112" s="546"/>
      <c r="I112" s="539"/>
      <c r="J112" s="537" t="s">
        <v>692</v>
      </c>
      <c r="K112" s="538">
        <v>0</v>
      </c>
      <c r="L112" s="538">
        <v>11</v>
      </c>
      <c r="M112" s="537">
        <f>+G112+G114+F110</f>
        <v>0.73199999999999998</v>
      </c>
      <c r="N112" s="537">
        <f t="shared" ref="N112:S112" si="20">IF(+$J112=N$9,+$K112*$L112*$M112,0)</f>
        <v>0</v>
      </c>
      <c r="O112" s="537">
        <f t="shared" si="20"/>
        <v>0</v>
      </c>
      <c r="P112" s="537">
        <f t="shared" si="20"/>
        <v>0</v>
      </c>
      <c r="Q112" s="537">
        <f t="shared" si="20"/>
        <v>0</v>
      </c>
      <c r="R112" s="537">
        <f t="shared" si="20"/>
        <v>0</v>
      </c>
      <c r="S112" s="537">
        <f t="shared" si="20"/>
        <v>0</v>
      </c>
    </row>
    <row r="113" spans="1:19" ht="0.2" customHeight="1">
      <c r="A113" s="1083"/>
      <c r="B113" s="1079"/>
      <c r="C113" s="1079"/>
      <c r="D113" s="540"/>
      <c r="E113" s="539"/>
      <c r="F113" s="546"/>
      <c r="G113" s="566"/>
      <c r="H113" s="539"/>
      <c r="I113" s="539"/>
      <c r="J113" s="541"/>
      <c r="K113" s="538"/>
      <c r="L113" s="538"/>
      <c r="M113" s="537"/>
      <c r="N113" s="537"/>
      <c r="O113" s="537"/>
      <c r="P113" s="537"/>
      <c r="Q113" s="537"/>
      <c r="R113" s="537"/>
      <c r="S113" s="537"/>
    </row>
    <row r="114" spans="1:19" ht="0.2" customHeight="1">
      <c r="A114" s="1083"/>
      <c r="B114" s="1079"/>
      <c r="C114" s="1080"/>
      <c r="D114" s="551"/>
      <c r="E114" s="550"/>
      <c r="F114" s="546"/>
      <c r="G114" s="569">
        <v>0.35399999999999998</v>
      </c>
      <c r="H114" s="550"/>
      <c r="I114" s="550"/>
      <c r="J114" s="541"/>
      <c r="K114" s="548"/>
      <c r="L114" s="548"/>
      <c r="M114" s="547"/>
      <c r="N114" s="547"/>
      <c r="O114" s="547"/>
      <c r="P114" s="547"/>
      <c r="Q114" s="547"/>
      <c r="R114" s="547"/>
      <c r="S114" s="547"/>
    </row>
    <row r="115" spans="1:19" ht="0.2" customHeight="1">
      <c r="A115" s="1083"/>
      <c r="B115" s="1079"/>
      <c r="C115" s="1078" t="s">
        <v>717</v>
      </c>
      <c r="D115" s="545"/>
      <c r="E115" s="544"/>
      <c r="F115" s="544"/>
      <c r="G115" s="544"/>
      <c r="H115" s="544"/>
      <c r="I115" s="544"/>
      <c r="J115" s="542"/>
      <c r="K115" s="542"/>
      <c r="L115" s="542"/>
      <c r="M115" s="542"/>
      <c r="N115" s="542"/>
      <c r="O115" s="542"/>
      <c r="P115" s="542"/>
      <c r="Q115" s="542"/>
      <c r="R115" s="542"/>
      <c r="S115" s="542"/>
    </row>
    <row r="116" spans="1:19" ht="0.2" customHeight="1">
      <c r="A116" s="1083"/>
      <c r="B116" s="1079"/>
      <c r="C116" s="1079"/>
      <c r="D116" s="540"/>
      <c r="E116" s="546"/>
      <c r="F116" s="539"/>
      <c r="G116" s="539"/>
      <c r="H116" s="546"/>
      <c r="I116" s="539"/>
      <c r="J116" s="541"/>
      <c r="K116" s="538"/>
      <c r="L116" s="538"/>
      <c r="M116" s="537"/>
      <c r="N116" s="537"/>
      <c r="O116" s="537"/>
      <c r="P116" s="537"/>
      <c r="Q116" s="537"/>
      <c r="R116" s="537"/>
      <c r="S116" s="537"/>
    </row>
    <row r="117" spans="1:19" ht="0.2" customHeight="1">
      <c r="A117" s="1083"/>
      <c r="B117" s="1079"/>
      <c r="C117" s="1079"/>
      <c r="D117" s="540"/>
      <c r="E117" s="546"/>
      <c r="F117" s="546"/>
      <c r="G117" s="567">
        <v>2.2999999999999998</v>
      </c>
      <c r="H117" s="546"/>
      <c r="I117" s="539"/>
      <c r="J117" s="537" t="s">
        <v>692</v>
      </c>
      <c r="K117" s="538">
        <v>0</v>
      </c>
      <c r="L117" s="538">
        <v>2</v>
      </c>
      <c r="M117" s="537">
        <f>+G117+F119+F115</f>
        <v>2.2999999999999998</v>
      </c>
      <c r="N117" s="537">
        <f t="shared" ref="N117:S117" si="21">IF(+$J117=N$9,+$K117*$L117*$M117,0)</f>
        <v>0</v>
      </c>
      <c r="O117" s="537">
        <f t="shared" si="21"/>
        <v>0</v>
      </c>
      <c r="P117" s="537">
        <f t="shared" si="21"/>
        <v>0</v>
      </c>
      <c r="Q117" s="537">
        <f t="shared" si="21"/>
        <v>0</v>
      </c>
      <c r="R117" s="537">
        <f t="shared" si="21"/>
        <v>0</v>
      </c>
      <c r="S117" s="537">
        <f t="shared" si="21"/>
        <v>0</v>
      </c>
    </row>
    <row r="118" spans="1:19" ht="0.2" customHeight="1">
      <c r="A118" s="1083"/>
      <c r="B118" s="1079"/>
      <c r="C118" s="1079"/>
      <c r="D118" s="540"/>
      <c r="E118" s="539"/>
      <c r="F118" s="546"/>
      <c r="G118" s="566"/>
      <c r="H118" s="539"/>
      <c r="I118" s="539"/>
      <c r="J118" s="541"/>
      <c r="K118" s="538"/>
      <c r="L118" s="538"/>
      <c r="M118" s="537"/>
      <c r="N118" s="537"/>
      <c r="O118" s="537"/>
      <c r="P118" s="537"/>
      <c r="Q118" s="537"/>
      <c r="R118" s="537"/>
      <c r="S118" s="537"/>
    </row>
    <row r="119" spans="1:19" ht="0.2" customHeight="1">
      <c r="A119" s="1083"/>
      <c r="B119" s="1079"/>
      <c r="C119" s="1080"/>
      <c r="D119" s="551"/>
      <c r="E119" s="550"/>
      <c r="F119" s="569"/>
      <c r="G119" s="569"/>
      <c r="H119" s="550"/>
      <c r="I119" s="550"/>
      <c r="J119" s="541"/>
      <c r="K119" s="548"/>
      <c r="L119" s="548"/>
      <c r="M119" s="547"/>
      <c r="N119" s="547"/>
      <c r="O119" s="547"/>
      <c r="P119" s="547"/>
      <c r="Q119" s="547"/>
      <c r="R119" s="547"/>
      <c r="S119" s="547"/>
    </row>
    <row r="120" spans="1:19" ht="0.2" customHeight="1">
      <c r="A120" s="1083"/>
      <c r="B120" s="1079"/>
      <c r="C120" s="1078" t="s">
        <v>716</v>
      </c>
      <c r="D120" s="545"/>
      <c r="E120" s="544"/>
      <c r="F120" s="568"/>
      <c r="G120" s="568"/>
      <c r="H120" s="544"/>
      <c r="I120" s="544"/>
      <c r="J120" s="542"/>
      <c r="K120" s="542"/>
      <c r="L120" s="542"/>
      <c r="M120" s="542"/>
      <c r="N120" s="542"/>
      <c r="O120" s="542"/>
      <c r="P120" s="542"/>
      <c r="Q120" s="542"/>
      <c r="R120" s="542"/>
      <c r="S120" s="542"/>
    </row>
    <row r="121" spans="1:19" ht="0.2" customHeight="1">
      <c r="A121" s="1083"/>
      <c r="B121" s="1079"/>
      <c r="C121" s="1079"/>
      <c r="D121" s="540"/>
      <c r="E121" s="546"/>
      <c r="F121" s="567"/>
      <c r="G121" s="567"/>
      <c r="H121" s="546"/>
      <c r="I121" s="539"/>
      <c r="J121" s="537"/>
      <c r="K121" s="538"/>
      <c r="L121" s="538"/>
      <c r="M121" s="537"/>
      <c r="N121" s="537"/>
      <c r="O121" s="537"/>
      <c r="P121" s="537"/>
      <c r="Q121" s="537"/>
      <c r="R121" s="537"/>
      <c r="S121" s="537"/>
    </row>
    <row r="122" spans="1:19" ht="0.2" customHeight="1">
      <c r="A122" s="1083"/>
      <c r="B122" s="1079"/>
      <c r="C122" s="1079"/>
      <c r="D122" s="540"/>
      <c r="E122" s="546"/>
      <c r="F122" s="546"/>
      <c r="G122" s="566">
        <v>0.28499999999999998</v>
      </c>
      <c r="H122" s="546"/>
      <c r="I122" s="539"/>
      <c r="J122" s="537" t="s">
        <v>710</v>
      </c>
      <c r="K122" s="538">
        <v>0</v>
      </c>
      <c r="L122" s="538">
        <v>2</v>
      </c>
      <c r="M122" s="537">
        <f>+G122</f>
        <v>0.28499999999999998</v>
      </c>
      <c r="N122" s="537">
        <f t="shared" ref="N122:S122" si="22">IF(+$J122=N$9,+$K122*$L122*$M122,0)</f>
        <v>0</v>
      </c>
      <c r="O122" s="537">
        <f t="shared" si="22"/>
        <v>0</v>
      </c>
      <c r="P122" s="537">
        <f t="shared" si="22"/>
        <v>0</v>
      </c>
      <c r="Q122" s="537">
        <f t="shared" si="22"/>
        <v>0</v>
      </c>
      <c r="R122" s="537">
        <f t="shared" si="22"/>
        <v>0</v>
      </c>
      <c r="S122" s="537">
        <f t="shared" si="22"/>
        <v>0</v>
      </c>
    </row>
    <row r="123" spans="1:19" ht="0.2" customHeight="1">
      <c r="A123" s="1083"/>
      <c r="B123" s="1079"/>
      <c r="C123" s="1079"/>
      <c r="D123" s="540"/>
      <c r="E123" s="539"/>
      <c r="F123" s="546"/>
      <c r="G123" s="566"/>
      <c r="H123" s="539"/>
      <c r="I123" s="539"/>
      <c r="J123" s="537"/>
      <c r="K123" s="538"/>
      <c r="L123" s="538"/>
      <c r="M123" s="537"/>
      <c r="N123" s="537"/>
      <c r="O123" s="537"/>
      <c r="P123" s="537"/>
      <c r="Q123" s="537"/>
      <c r="R123" s="537"/>
      <c r="S123" s="537"/>
    </row>
    <row r="124" spans="1:19" ht="0.2" customHeight="1" thickBot="1">
      <c r="A124" s="1084"/>
      <c r="B124" s="1081"/>
      <c r="C124" s="1081"/>
      <c r="D124" s="536"/>
      <c r="E124" s="535"/>
      <c r="F124" s="535"/>
      <c r="G124" s="535">
        <v>0.1</v>
      </c>
      <c r="H124" s="535"/>
      <c r="I124" s="535"/>
      <c r="J124" s="534"/>
      <c r="K124" s="533"/>
      <c r="L124" s="533"/>
      <c r="M124" s="532"/>
      <c r="N124" s="532"/>
      <c r="O124" s="532"/>
      <c r="P124" s="532"/>
      <c r="Q124" s="532"/>
      <c r="R124" s="532"/>
      <c r="S124" s="532"/>
    </row>
    <row r="125" spans="1:19" ht="0.2" customHeight="1" thickTop="1">
      <c r="A125" s="1087" t="s">
        <v>715</v>
      </c>
      <c r="B125" s="1091" t="s">
        <v>481</v>
      </c>
      <c r="C125" s="1092" t="s">
        <v>714</v>
      </c>
      <c r="D125" s="565"/>
      <c r="E125" s="564"/>
      <c r="F125" s="564"/>
      <c r="G125" s="564"/>
      <c r="H125" s="564"/>
      <c r="I125" s="564"/>
      <c r="J125" s="563"/>
      <c r="K125" s="563"/>
      <c r="L125" s="563"/>
      <c r="M125" s="563"/>
      <c r="N125" s="563"/>
      <c r="O125" s="563"/>
      <c r="P125" s="563"/>
      <c r="Q125" s="563"/>
      <c r="R125" s="563"/>
      <c r="S125" s="563"/>
    </row>
    <row r="126" spans="1:19" ht="0.2" customHeight="1">
      <c r="A126" s="1088"/>
      <c r="B126" s="1083"/>
      <c r="C126" s="1079"/>
      <c r="D126" s="540"/>
      <c r="E126" s="546"/>
      <c r="F126" s="554">
        <v>4.266</v>
      </c>
      <c r="G126" s="554"/>
      <c r="H126" s="546"/>
      <c r="I126" s="539"/>
      <c r="J126" s="541"/>
      <c r="K126" s="541"/>
      <c r="L126" s="541"/>
      <c r="M126" s="541"/>
      <c r="N126" s="541"/>
      <c r="O126" s="541"/>
      <c r="P126" s="541"/>
      <c r="Q126" s="541"/>
      <c r="R126" s="541"/>
      <c r="S126" s="541"/>
    </row>
    <row r="127" spans="1:19" ht="0.2" customHeight="1">
      <c r="A127" s="1089"/>
      <c r="B127" s="1083"/>
      <c r="C127" s="1079"/>
      <c r="D127" s="540"/>
      <c r="E127" s="539">
        <v>0.5</v>
      </c>
      <c r="F127" s="546"/>
      <c r="G127" s="546"/>
      <c r="H127" s="539">
        <v>0.5</v>
      </c>
      <c r="I127" s="539"/>
      <c r="J127" s="537" t="s">
        <v>692</v>
      </c>
      <c r="K127" s="538">
        <v>0</v>
      </c>
      <c r="L127" s="538">
        <v>10</v>
      </c>
      <c r="M127" s="537">
        <f>F126+H127+E127</f>
        <v>5.266</v>
      </c>
      <c r="N127" s="537">
        <f t="shared" ref="N127:S127" si="23">IF(+$J127=N$9,+$K127*$L127*$M127,0)</f>
        <v>0</v>
      </c>
      <c r="O127" s="537">
        <f t="shared" si="23"/>
        <v>0</v>
      </c>
      <c r="P127" s="537">
        <f t="shared" si="23"/>
        <v>0</v>
      </c>
      <c r="Q127" s="537">
        <f t="shared" si="23"/>
        <v>0</v>
      </c>
      <c r="R127" s="537">
        <f t="shared" si="23"/>
        <v>0</v>
      </c>
      <c r="S127" s="537">
        <f t="shared" si="23"/>
        <v>0</v>
      </c>
    </row>
    <row r="128" spans="1:19" ht="0.2" customHeight="1">
      <c r="A128" s="1089"/>
      <c r="B128" s="1083"/>
      <c r="C128" s="1079"/>
      <c r="D128" s="540"/>
      <c r="E128" s="546"/>
      <c r="F128" s="546"/>
      <c r="G128" s="546"/>
      <c r="H128" s="546"/>
      <c r="I128" s="539"/>
      <c r="J128" s="541"/>
      <c r="K128" s="538"/>
      <c r="L128" s="538"/>
      <c r="M128" s="537"/>
      <c r="N128" s="537"/>
      <c r="O128" s="537"/>
      <c r="P128" s="537"/>
      <c r="Q128" s="537"/>
      <c r="R128" s="537"/>
      <c r="S128" s="537"/>
    </row>
    <row r="129" spans="1:19" ht="0.2" customHeight="1">
      <c r="A129" s="1089"/>
      <c r="B129" s="1083"/>
      <c r="C129" s="1080"/>
      <c r="D129" s="551"/>
      <c r="E129" s="550"/>
      <c r="F129" s="550"/>
      <c r="G129" s="550"/>
      <c r="H129" s="550"/>
      <c r="I129" s="550"/>
      <c r="J129" s="549"/>
      <c r="K129" s="548"/>
      <c r="L129" s="548"/>
      <c r="M129" s="547"/>
      <c r="N129" s="547"/>
      <c r="O129" s="547"/>
      <c r="P129" s="547"/>
      <c r="Q129" s="547"/>
      <c r="R129" s="547"/>
      <c r="S129" s="547"/>
    </row>
    <row r="130" spans="1:19" ht="0.2" customHeight="1">
      <c r="A130" s="1089"/>
      <c r="B130" s="1083"/>
      <c r="C130" s="1078" t="s">
        <v>712</v>
      </c>
      <c r="D130" s="545"/>
      <c r="E130" s="544"/>
      <c r="F130" s="544"/>
      <c r="G130" s="544">
        <v>0.25</v>
      </c>
      <c r="H130" s="544"/>
      <c r="I130" s="544"/>
      <c r="J130" s="542"/>
      <c r="K130" s="542"/>
      <c r="L130" s="542"/>
      <c r="M130" s="542"/>
      <c r="N130" s="542"/>
      <c r="O130" s="542"/>
      <c r="P130" s="542"/>
      <c r="Q130" s="542"/>
      <c r="R130" s="542"/>
      <c r="S130" s="542"/>
    </row>
    <row r="131" spans="1:19" ht="0.2" customHeight="1">
      <c r="A131" s="1089"/>
      <c r="B131" s="1083"/>
      <c r="C131" s="1079"/>
      <c r="D131" s="540"/>
      <c r="E131" s="539"/>
      <c r="F131" s="539"/>
      <c r="G131" s="539"/>
      <c r="H131" s="539"/>
      <c r="I131" s="539"/>
      <c r="J131" s="541"/>
      <c r="K131" s="541"/>
      <c r="L131" s="541"/>
      <c r="M131" s="541"/>
      <c r="N131" s="541"/>
      <c r="O131" s="541"/>
      <c r="P131" s="541"/>
      <c r="Q131" s="541"/>
      <c r="R131" s="541"/>
      <c r="S131" s="541"/>
    </row>
    <row r="132" spans="1:19" ht="0.2" customHeight="1">
      <c r="A132" s="1089"/>
      <c r="B132" s="1083"/>
      <c r="C132" s="1079"/>
      <c r="D132" s="540"/>
      <c r="E132" s="546"/>
      <c r="F132" s="539"/>
      <c r="G132" s="539"/>
      <c r="H132" s="546"/>
      <c r="I132" s="539"/>
      <c r="J132" s="537" t="s">
        <v>692</v>
      </c>
      <c r="K132" s="538">
        <v>0</v>
      </c>
      <c r="L132" s="538">
        <v>22</v>
      </c>
      <c r="M132" s="537">
        <f>F133+G130+G134</f>
        <v>2.9089999999999998</v>
      </c>
      <c r="N132" s="537">
        <f t="shared" ref="N132:S132" si="24">IF(+$J132=N$9,+$K132*$L132*$M132,0)</f>
        <v>0</v>
      </c>
      <c r="O132" s="537">
        <f t="shared" si="24"/>
        <v>0</v>
      </c>
      <c r="P132" s="537">
        <f t="shared" si="24"/>
        <v>0</v>
      </c>
      <c r="Q132" s="537">
        <f t="shared" si="24"/>
        <v>0</v>
      </c>
      <c r="R132" s="537">
        <f t="shared" si="24"/>
        <v>0</v>
      </c>
      <c r="S132" s="537">
        <f t="shared" si="24"/>
        <v>0</v>
      </c>
    </row>
    <row r="133" spans="1:19" ht="0.2" customHeight="1">
      <c r="A133" s="1089"/>
      <c r="B133" s="1083"/>
      <c r="C133" s="1079"/>
      <c r="D133" s="540"/>
      <c r="E133" s="539"/>
      <c r="F133" s="1086">
        <v>2.4089999999999998</v>
      </c>
      <c r="G133" s="1086"/>
      <c r="H133" s="539"/>
      <c r="I133" s="539"/>
      <c r="J133" s="541"/>
      <c r="K133" s="538"/>
      <c r="L133" s="538"/>
      <c r="M133" s="537"/>
      <c r="N133" s="537"/>
      <c r="O133" s="537"/>
      <c r="P133" s="537"/>
      <c r="Q133" s="537"/>
      <c r="R133" s="537"/>
      <c r="S133" s="537"/>
    </row>
    <row r="134" spans="1:19" ht="0.2" customHeight="1">
      <c r="A134" s="1089"/>
      <c r="B134" s="1088"/>
      <c r="C134" s="1080"/>
      <c r="D134" s="551"/>
      <c r="E134" s="550"/>
      <c r="F134" s="550"/>
      <c r="G134" s="550">
        <v>0.25</v>
      </c>
      <c r="H134" s="550"/>
      <c r="I134" s="550"/>
      <c r="J134" s="549"/>
      <c r="K134" s="548"/>
      <c r="L134" s="548"/>
      <c r="M134" s="547"/>
      <c r="N134" s="547"/>
      <c r="O134" s="547"/>
      <c r="P134" s="547"/>
      <c r="Q134" s="547"/>
      <c r="R134" s="547"/>
      <c r="S134" s="547"/>
    </row>
    <row r="135" spans="1:19" ht="0.2" customHeight="1">
      <c r="A135" s="1089"/>
      <c r="B135" s="1082" t="s">
        <v>713</v>
      </c>
      <c r="C135" s="1079" t="s">
        <v>712</v>
      </c>
      <c r="D135" s="540"/>
      <c r="E135" s="539"/>
      <c r="F135" s="539"/>
      <c r="G135" s="539"/>
      <c r="H135" s="539"/>
      <c r="I135" s="539"/>
      <c r="J135" s="541"/>
      <c r="K135" s="541"/>
      <c r="L135" s="541"/>
      <c r="M135" s="541"/>
      <c r="N135" s="541"/>
      <c r="O135" s="541"/>
      <c r="P135" s="541"/>
      <c r="Q135" s="541"/>
      <c r="R135" s="541"/>
      <c r="S135" s="541"/>
    </row>
    <row r="136" spans="1:19" ht="0.2" customHeight="1">
      <c r="A136" s="1089"/>
      <c r="B136" s="1083"/>
      <c r="C136" s="1079"/>
      <c r="D136" s="540"/>
      <c r="E136" s="546"/>
      <c r="F136" s="1086"/>
      <c r="G136" s="1086"/>
      <c r="H136" s="546"/>
      <c r="I136" s="539"/>
      <c r="J136" s="537"/>
      <c r="K136" s="538"/>
      <c r="L136" s="538"/>
      <c r="M136" s="537"/>
      <c r="N136" s="537"/>
      <c r="O136" s="537"/>
      <c r="P136" s="537"/>
      <c r="Q136" s="537"/>
      <c r="R136" s="537"/>
      <c r="S136" s="537"/>
    </row>
    <row r="137" spans="1:19" ht="0.2" customHeight="1">
      <c r="A137" s="1089"/>
      <c r="B137" s="1083"/>
      <c r="C137" s="1079"/>
      <c r="D137" s="540"/>
      <c r="E137" s="546"/>
      <c r="F137" s="546"/>
      <c r="G137" s="539">
        <v>0.47499999999999998</v>
      </c>
      <c r="H137" s="546"/>
      <c r="I137" s="539"/>
      <c r="J137" s="537" t="s">
        <v>710</v>
      </c>
      <c r="K137" s="538">
        <v>0</v>
      </c>
      <c r="L137" s="538">
        <v>10</v>
      </c>
      <c r="M137" s="537">
        <f>G137</f>
        <v>0.47499999999999998</v>
      </c>
      <c r="N137" s="537">
        <f t="shared" ref="N137:S137" si="25">IF(+$J137=N$9,+$K137*$L137*$M137,0)</f>
        <v>0</v>
      </c>
      <c r="O137" s="537">
        <f t="shared" si="25"/>
        <v>0</v>
      </c>
      <c r="P137" s="537">
        <f t="shared" si="25"/>
        <v>0</v>
      </c>
      <c r="Q137" s="537">
        <f t="shared" si="25"/>
        <v>0</v>
      </c>
      <c r="R137" s="537">
        <f t="shared" si="25"/>
        <v>0</v>
      </c>
      <c r="S137" s="537">
        <f t="shared" si="25"/>
        <v>0</v>
      </c>
    </row>
    <row r="138" spans="1:19" ht="0.2" customHeight="1">
      <c r="A138" s="1089"/>
      <c r="B138" s="1083"/>
      <c r="C138" s="1079"/>
      <c r="D138" s="540"/>
      <c r="E138" s="546"/>
      <c r="F138" s="546"/>
      <c r="G138" s="539"/>
      <c r="H138" s="546"/>
      <c r="I138" s="539"/>
      <c r="J138" s="537"/>
      <c r="K138" s="538"/>
      <c r="L138" s="538"/>
      <c r="M138" s="537"/>
      <c r="N138" s="537"/>
      <c r="O138" s="537"/>
      <c r="P138" s="537"/>
      <c r="Q138" s="537"/>
      <c r="R138" s="537"/>
      <c r="S138" s="537"/>
    </row>
    <row r="139" spans="1:19" ht="0.2" customHeight="1">
      <c r="A139" s="1089"/>
      <c r="B139" s="1083"/>
      <c r="C139" s="1080"/>
      <c r="D139" s="551"/>
      <c r="E139" s="550"/>
      <c r="F139" s="550"/>
      <c r="G139" s="550"/>
      <c r="H139" s="550"/>
      <c r="I139" s="550"/>
      <c r="J139" s="549"/>
      <c r="K139" s="548"/>
      <c r="L139" s="548"/>
      <c r="M139" s="547"/>
      <c r="N139" s="547"/>
      <c r="O139" s="547"/>
      <c r="P139" s="547"/>
      <c r="Q139" s="547"/>
      <c r="R139" s="547"/>
      <c r="S139" s="547"/>
    </row>
    <row r="140" spans="1:19" ht="0.2" customHeight="1">
      <c r="A140" s="1089"/>
      <c r="B140" s="1083"/>
      <c r="C140" s="1078" t="s">
        <v>711</v>
      </c>
      <c r="D140" s="545"/>
      <c r="E140" s="544"/>
      <c r="F140" s="544"/>
      <c r="G140" s="544"/>
      <c r="H140" s="544"/>
      <c r="I140" s="544"/>
      <c r="J140" s="542"/>
      <c r="K140" s="542"/>
      <c r="L140" s="542"/>
      <c r="M140" s="542"/>
      <c r="N140" s="542"/>
      <c r="O140" s="542"/>
      <c r="P140" s="542"/>
      <c r="Q140" s="542"/>
      <c r="R140" s="542"/>
      <c r="S140" s="542"/>
    </row>
    <row r="141" spans="1:19" ht="0.2" customHeight="1">
      <c r="A141" s="1089"/>
      <c r="B141" s="1083"/>
      <c r="C141" s="1079"/>
      <c r="D141" s="540"/>
      <c r="E141" s="546"/>
      <c r="F141" s="539"/>
      <c r="G141" s="539"/>
      <c r="H141" s="546"/>
      <c r="I141" s="539"/>
      <c r="J141" s="537"/>
      <c r="K141" s="538"/>
      <c r="L141" s="538"/>
      <c r="M141" s="537"/>
      <c r="N141" s="537"/>
      <c r="O141" s="537"/>
      <c r="P141" s="537"/>
      <c r="Q141" s="537"/>
      <c r="R141" s="537"/>
      <c r="S141" s="537"/>
    </row>
    <row r="142" spans="1:19" ht="0.2" customHeight="1">
      <c r="A142" s="1089"/>
      <c r="B142" s="1083"/>
      <c r="C142" s="1079"/>
      <c r="D142" s="540"/>
      <c r="E142" s="539"/>
      <c r="F142" s="1086">
        <v>2.34</v>
      </c>
      <c r="G142" s="1086"/>
      <c r="H142" s="539"/>
      <c r="I142" s="539"/>
      <c r="J142" s="537" t="s">
        <v>710</v>
      </c>
      <c r="K142" s="538">
        <v>0</v>
      </c>
      <c r="L142" s="538">
        <v>3</v>
      </c>
      <c r="M142" s="537">
        <f>F142</f>
        <v>2.34</v>
      </c>
      <c r="N142" s="537">
        <f t="shared" ref="N142:S142" si="26">IF(+$J142=N$9,+$K142*$L142*$M142,0)</f>
        <v>0</v>
      </c>
      <c r="O142" s="537">
        <f t="shared" si="26"/>
        <v>0</v>
      </c>
      <c r="P142" s="537">
        <f t="shared" si="26"/>
        <v>0</v>
      </c>
      <c r="Q142" s="537">
        <f t="shared" si="26"/>
        <v>0</v>
      </c>
      <c r="R142" s="537">
        <f t="shared" si="26"/>
        <v>0</v>
      </c>
      <c r="S142" s="537">
        <f t="shared" si="26"/>
        <v>0</v>
      </c>
    </row>
    <row r="143" spans="1:19" ht="0.2" customHeight="1">
      <c r="A143" s="1082"/>
      <c r="B143" s="1083"/>
      <c r="C143" s="1079"/>
      <c r="D143" s="540"/>
      <c r="E143" s="539"/>
      <c r="F143" s="539"/>
      <c r="G143" s="539"/>
      <c r="H143" s="539"/>
      <c r="I143" s="539"/>
      <c r="J143" s="537"/>
      <c r="K143" s="538"/>
      <c r="L143" s="538"/>
      <c r="M143" s="537"/>
      <c r="N143" s="537"/>
      <c r="O143" s="537"/>
      <c r="P143" s="537"/>
      <c r="Q143" s="537"/>
      <c r="R143" s="537"/>
      <c r="S143" s="537"/>
    </row>
    <row r="144" spans="1:19" ht="0.2" customHeight="1" thickBot="1">
      <c r="A144" s="1090"/>
      <c r="B144" s="1084"/>
      <c r="C144" s="1081"/>
      <c r="D144" s="536"/>
      <c r="E144" s="535"/>
      <c r="F144" s="535"/>
      <c r="G144" s="535"/>
      <c r="H144" s="535"/>
      <c r="I144" s="535"/>
      <c r="J144" s="534"/>
      <c r="K144" s="533"/>
      <c r="L144" s="533"/>
      <c r="M144" s="532"/>
      <c r="N144" s="532"/>
      <c r="O144" s="532"/>
      <c r="P144" s="532"/>
      <c r="Q144" s="532"/>
      <c r="R144" s="532"/>
      <c r="S144" s="532"/>
    </row>
    <row r="145" spans="1:19" ht="0.2" customHeight="1">
      <c r="A145" s="1083" t="s">
        <v>709</v>
      </c>
      <c r="B145" s="1079" t="s">
        <v>466</v>
      </c>
      <c r="C145" s="1079" t="s">
        <v>708</v>
      </c>
      <c r="D145" s="540"/>
      <c r="E145" s="539"/>
      <c r="F145" s="539"/>
      <c r="G145" s="539"/>
      <c r="H145" s="539"/>
      <c r="I145" s="539"/>
      <c r="J145" s="541"/>
      <c r="K145" s="541"/>
      <c r="L145" s="541"/>
      <c r="M145" s="541"/>
      <c r="N145" s="541"/>
      <c r="O145" s="541"/>
      <c r="P145" s="541"/>
      <c r="Q145" s="541"/>
      <c r="R145" s="541"/>
      <c r="S145" s="541"/>
    </row>
    <row r="146" spans="1:19" ht="0.2" customHeight="1">
      <c r="A146" s="1083"/>
      <c r="B146" s="1079"/>
      <c r="C146" s="1079"/>
      <c r="D146" s="540"/>
      <c r="E146" s="546"/>
      <c r="F146" s="539"/>
      <c r="G146" s="546"/>
      <c r="H146" s="539">
        <f>+E148</f>
        <v>8.5000000000000006E-2</v>
      </c>
      <c r="I146" s="539"/>
      <c r="J146" s="541"/>
      <c r="K146" s="537"/>
      <c r="L146" s="537"/>
      <c r="M146" s="537"/>
      <c r="N146" s="537"/>
      <c r="O146" s="537"/>
      <c r="P146" s="537"/>
      <c r="Q146" s="537"/>
      <c r="R146" s="537"/>
      <c r="S146" s="537"/>
    </row>
    <row r="147" spans="1:19" ht="0.2" customHeight="1">
      <c r="A147" s="1083"/>
      <c r="B147" s="1079"/>
      <c r="C147" s="1079"/>
      <c r="D147" s="540"/>
      <c r="E147" s="546"/>
      <c r="F147" s="539"/>
      <c r="G147" s="539"/>
      <c r="H147" s="546"/>
      <c r="I147" s="539"/>
      <c r="J147" s="537" t="s">
        <v>692</v>
      </c>
      <c r="K147" s="538">
        <v>0</v>
      </c>
      <c r="L147" s="538">
        <v>9</v>
      </c>
      <c r="M147" s="537">
        <f>+E148+F148+H146</f>
        <v>1.3199999999999998</v>
      </c>
      <c r="N147" s="537">
        <f t="shared" ref="N147:S147" si="27">IF(+$J147=N$9,+$K147*$L147*$M147,0)</f>
        <v>0</v>
      </c>
      <c r="O147" s="537">
        <f t="shared" si="27"/>
        <v>0</v>
      </c>
      <c r="P147" s="537">
        <f t="shared" si="27"/>
        <v>0</v>
      </c>
      <c r="Q147" s="537">
        <f t="shared" si="27"/>
        <v>0</v>
      </c>
      <c r="R147" s="537">
        <f t="shared" si="27"/>
        <v>0</v>
      </c>
      <c r="S147" s="537">
        <f t="shared" si="27"/>
        <v>0</v>
      </c>
    </row>
    <row r="148" spans="1:19" ht="0.2" customHeight="1">
      <c r="A148" s="1083"/>
      <c r="B148" s="1079"/>
      <c r="C148" s="1079"/>
      <c r="D148" s="540"/>
      <c r="E148" s="554">
        <v>8.5000000000000006E-2</v>
      </c>
      <c r="F148" s="1086">
        <v>1.1499999999999999</v>
      </c>
      <c r="G148" s="1086"/>
      <c r="H148" s="539"/>
      <c r="I148" s="539"/>
      <c r="J148" s="541"/>
      <c r="K148" s="538"/>
      <c r="L148" s="538"/>
      <c r="M148" s="537"/>
      <c r="N148" s="537"/>
      <c r="O148" s="537"/>
      <c r="P148" s="537"/>
      <c r="Q148" s="537"/>
      <c r="R148" s="537"/>
      <c r="S148" s="537"/>
    </row>
    <row r="149" spans="1:19" ht="0.2" customHeight="1">
      <c r="A149" s="1083"/>
      <c r="B149" s="1079"/>
      <c r="C149" s="1080"/>
      <c r="D149" s="551"/>
      <c r="E149" s="550"/>
      <c r="F149" s="550"/>
      <c r="G149" s="550"/>
      <c r="H149" s="550"/>
      <c r="I149" s="550"/>
      <c r="J149" s="549"/>
      <c r="K149" s="548"/>
      <c r="L149" s="548"/>
      <c r="M149" s="547"/>
      <c r="N149" s="547"/>
      <c r="O149" s="547"/>
      <c r="P149" s="547"/>
      <c r="Q149" s="547"/>
      <c r="R149" s="547"/>
      <c r="S149" s="547"/>
    </row>
    <row r="150" spans="1:19" ht="0.2" customHeight="1">
      <c r="A150" s="1083"/>
      <c r="B150" s="1079"/>
      <c r="C150" s="1078" t="s">
        <v>707</v>
      </c>
      <c r="D150" s="545"/>
      <c r="E150" s="544"/>
      <c r="F150" s="544"/>
      <c r="G150" s="554">
        <v>0.1</v>
      </c>
      <c r="H150" s="544"/>
      <c r="I150" s="544"/>
      <c r="J150" s="542"/>
      <c r="K150" s="542"/>
      <c r="L150" s="542"/>
      <c r="M150" s="542"/>
      <c r="N150" s="542"/>
      <c r="O150" s="542"/>
      <c r="P150" s="542"/>
      <c r="Q150" s="542"/>
      <c r="R150" s="542"/>
      <c r="S150" s="542"/>
    </row>
    <row r="151" spans="1:19" ht="0.2" customHeight="1">
      <c r="A151" s="1083"/>
      <c r="B151" s="1079"/>
      <c r="C151" s="1079"/>
      <c r="D151" s="540"/>
      <c r="E151" s="546"/>
      <c r="F151" s="539"/>
      <c r="G151" s="546"/>
      <c r="H151" s="539"/>
      <c r="I151" s="539"/>
      <c r="J151" s="541"/>
      <c r="K151" s="537"/>
      <c r="L151" s="537"/>
      <c r="M151" s="537"/>
      <c r="N151" s="537"/>
      <c r="O151" s="537"/>
      <c r="P151" s="537"/>
      <c r="Q151" s="537"/>
      <c r="R151" s="537"/>
      <c r="S151" s="537"/>
    </row>
    <row r="152" spans="1:19" ht="0.2" customHeight="1">
      <c r="A152" s="1083"/>
      <c r="B152" s="1079"/>
      <c r="C152" s="1079"/>
      <c r="D152" s="540"/>
      <c r="E152" s="546"/>
      <c r="F152" s="539"/>
      <c r="G152" s="554">
        <v>1.64</v>
      </c>
      <c r="H152" s="546"/>
      <c r="I152" s="539"/>
      <c r="J152" s="537" t="s">
        <v>692</v>
      </c>
      <c r="K152" s="538">
        <v>0</v>
      </c>
      <c r="L152" s="538">
        <v>6</v>
      </c>
      <c r="M152" s="537">
        <f>+G150+F154+G152</f>
        <v>1.8399999999999999</v>
      </c>
      <c r="N152" s="537">
        <f t="shared" ref="N152:S152" si="28">IF(+$J152=N$9,+$K152*$L152*$M152,0)</f>
        <v>0</v>
      </c>
      <c r="O152" s="537">
        <f t="shared" si="28"/>
        <v>0</v>
      </c>
      <c r="P152" s="537">
        <f t="shared" si="28"/>
        <v>0</v>
      </c>
      <c r="Q152" s="537">
        <f t="shared" si="28"/>
        <v>0</v>
      </c>
      <c r="R152" s="537">
        <f t="shared" si="28"/>
        <v>0</v>
      </c>
      <c r="S152" s="537">
        <f t="shared" si="28"/>
        <v>0</v>
      </c>
    </row>
    <row r="153" spans="1:19" ht="0.2" customHeight="1">
      <c r="A153" s="1083"/>
      <c r="B153" s="1079"/>
      <c r="C153" s="1079"/>
      <c r="D153" s="540"/>
      <c r="E153" s="539"/>
      <c r="F153" s="546"/>
      <c r="G153" s="553"/>
      <c r="H153" s="539"/>
      <c r="I153" s="539"/>
      <c r="J153" s="541"/>
      <c r="K153" s="538"/>
      <c r="L153" s="538"/>
      <c r="M153" s="537"/>
      <c r="N153" s="537"/>
      <c r="O153" s="537"/>
      <c r="P153" s="537"/>
      <c r="Q153" s="537"/>
      <c r="R153" s="537"/>
      <c r="S153" s="537"/>
    </row>
    <row r="154" spans="1:19" ht="0.2" customHeight="1">
      <c r="A154" s="1083"/>
      <c r="B154" s="1079"/>
      <c r="C154" s="1080"/>
      <c r="D154" s="551"/>
      <c r="E154" s="550"/>
      <c r="F154" s="553">
        <v>0.1</v>
      </c>
      <c r="G154" s="550"/>
      <c r="H154" s="550"/>
      <c r="I154" s="550"/>
      <c r="J154" s="549"/>
      <c r="K154" s="548"/>
      <c r="L154" s="548"/>
      <c r="M154" s="547"/>
      <c r="N154" s="547"/>
      <c r="O154" s="547"/>
      <c r="P154" s="547"/>
      <c r="Q154" s="547"/>
      <c r="R154" s="547"/>
      <c r="S154" s="547"/>
    </row>
    <row r="155" spans="1:19" ht="0.2" customHeight="1">
      <c r="A155" s="1083"/>
      <c r="B155" s="1079"/>
      <c r="C155" s="1078" t="s">
        <v>706</v>
      </c>
      <c r="D155" s="545"/>
      <c r="E155" s="544"/>
      <c r="F155" s="544"/>
      <c r="G155" s="544"/>
      <c r="H155" s="544"/>
      <c r="I155" s="544"/>
      <c r="J155" s="542"/>
      <c r="K155" s="543"/>
      <c r="L155" s="543"/>
      <c r="M155" s="562"/>
      <c r="N155" s="562"/>
      <c r="O155" s="562"/>
      <c r="P155" s="562"/>
      <c r="Q155" s="562"/>
      <c r="R155" s="562"/>
      <c r="S155" s="562"/>
    </row>
    <row r="156" spans="1:19" ht="0.2" customHeight="1">
      <c r="A156" s="1083"/>
      <c r="B156" s="1079"/>
      <c r="C156" s="1079"/>
      <c r="D156" s="540"/>
      <c r="E156" s="554">
        <v>0.1</v>
      </c>
      <c r="F156" s="539"/>
      <c r="G156" s="546"/>
      <c r="H156" s="539">
        <f>+E156</f>
        <v>0.1</v>
      </c>
      <c r="I156" s="539"/>
      <c r="J156" s="541"/>
      <c r="K156" s="537"/>
      <c r="L156" s="537"/>
      <c r="M156" s="537"/>
      <c r="N156" s="537"/>
      <c r="O156" s="537"/>
      <c r="P156" s="537"/>
      <c r="Q156" s="537"/>
      <c r="R156" s="537"/>
      <c r="S156" s="537"/>
    </row>
    <row r="157" spans="1:19" ht="0.2" customHeight="1">
      <c r="A157" s="1083"/>
      <c r="B157" s="1079"/>
      <c r="C157" s="1079"/>
      <c r="D157" s="540"/>
      <c r="E157" s="546"/>
      <c r="F157" s="539"/>
      <c r="G157" s="539"/>
      <c r="H157" s="546"/>
      <c r="I157" s="539"/>
      <c r="J157" s="537" t="s">
        <v>692</v>
      </c>
      <c r="K157" s="538">
        <v>0</v>
      </c>
      <c r="L157" s="538">
        <v>9</v>
      </c>
      <c r="M157" s="537">
        <f>+E156+F158+H156</f>
        <v>1.7200000000000002</v>
      </c>
      <c r="N157" s="541"/>
      <c r="O157" s="541"/>
      <c r="P157" s="541"/>
      <c r="Q157" s="541"/>
      <c r="R157" s="541"/>
      <c r="S157" s="541"/>
    </row>
    <row r="158" spans="1:19" ht="0.2" customHeight="1">
      <c r="A158" s="1083"/>
      <c r="B158" s="1079"/>
      <c r="C158" s="1079"/>
      <c r="D158" s="540"/>
      <c r="E158" s="539"/>
      <c r="F158" s="1086">
        <v>1.52</v>
      </c>
      <c r="G158" s="1086"/>
      <c r="H158" s="539"/>
      <c r="I158" s="539"/>
      <c r="J158" s="541"/>
      <c r="K158" s="538"/>
      <c r="L158" s="538"/>
      <c r="M158" s="537"/>
      <c r="N158" s="537">
        <f t="shared" ref="N158:S158" si="29">IF(+$J158=N$9,+$K158*$L158*$M158,0)</f>
        <v>0</v>
      </c>
      <c r="O158" s="537">
        <f t="shared" si="29"/>
        <v>0</v>
      </c>
      <c r="P158" s="537">
        <f t="shared" si="29"/>
        <v>0</v>
      </c>
      <c r="Q158" s="537">
        <f t="shared" si="29"/>
        <v>0</v>
      </c>
      <c r="R158" s="537">
        <f t="shared" si="29"/>
        <v>0</v>
      </c>
      <c r="S158" s="537">
        <f t="shared" si="29"/>
        <v>0</v>
      </c>
    </row>
    <row r="159" spans="1:19" ht="0.2" customHeight="1">
      <c r="A159" s="1083"/>
      <c r="B159" s="1079"/>
      <c r="C159" s="1080"/>
      <c r="D159" s="551"/>
      <c r="E159" s="550"/>
      <c r="F159" s="550"/>
      <c r="G159" s="550"/>
      <c r="H159" s="550"/>
      <c r="I159" s="550"/>
      <c r="J159" s="549"/>
      <c r="K159" s="548"/>
      <c r="L159" s="548"/>
      <c r="M159" s="547"/>
      <c r="N159" s="547"/>
      <c r="O159" s="547"/>
      <c r="P159" s="547"/>
      <c r="Q159" s="547"/>
      <c r="R159" s="547"/>
      <c r="S159" s="547"/>
    </row>
    <row r="160" spans="1:19" ht="0.2" customHeight="1">
      <c r="A160" s="1083"/>
      <c r="B160" s="1079"/>
      <c r="C160" s="1078" t="s">
        <v>705</v>
      </c>
      <c r="D160" s="545"/>
      <c r="E160" s="544"/>
      <c r="F160" s="544"/>
      <c r="G160" s="555">
        <f>F164</f>
        <v>0.1</v>
      </c>
      <c r="H160" s="544"/>
      <c r="I160" s="544"/>
      <c r="J160" s="542"/>
      <c r="K160" s="543"/>
      <c r="L160" s="543"/>
      <c r="M160" s="562"/>
      <c r="N160" s="562"/>
      <c r="O160" s="562"/>
      <c r="P160" s="562"/>
      <c r="Q160" s="562"/>
      <c r="R160" s="562"/>
      <c r="S160" s="562"/>
    </row>
    <row r="161" spans="1:19" ht="0.2" customHeight="1">
      <c r="A161" s="1083"/>
      <c r="B161" s="1079"/>
      <c r="C161" s="1079"/>
      <c r="D161" s="540"/>
      <c r="E161" s="539"/>
      <c r="F161" s="539"/>
      <c r="G161" s="539"/>
      <c r="H161" s="539"/>
      <c r="I161" s="539"/>
      <c r="J161" s="541"/>
      <c r="K161" s="538"/>
      <c r="L161" s="538"/>
      <c r="M161" s="537"/>
      <c r="N161" s="537"/>
      <c r="O161" s="537"/>
      <c r="P161" s="537"/>
      <c r="Q161" s="537"/>
      <c r="R161" s="537"/>
      <c r="S161" s="537"/>
    </row>
    <row r="162" spans="1:19" ht="0.2" customHeight="1">
      <c r="A162" s="1083"/>
      <c r="B162" s="1079"/>
      <c r="C162" s="1079"/>
      <c r="D162" s="540"/>
      <c r="E162" s="546"/>
      <c r="F162" s="546"/>
      <c r="G162" s="561">
        <v>1.64</v>
      </c>
      <c r="H162" s="546"/>
      <c r="I162" s="539"/>
      <c r="J162" s="537" t="s">
        <v>692</v>
      </c>
      <c r="K162" s="538">
        <v>0</v>
      </c>
      <c r="L162" s="538">
        <v>6</v>
      </c>
      <c r="M162" s="537">
        <f>+G162+F164+G160</f>
        <v>1.84</v>
      </c>
      <c r="N162" s="537">
        <f t="shared" ref="N162:S162" si="30">IF(+$J162=N$9,+$K162*$L162*$M162,0)</f>
        <v>0</v>
      </c>
      <c r="O162" s="537">
        <f t="shared" si="30"/>
        <v>0</v>
      </c>
      <c r="P162" s="537">
        <f t="shared" si="30"/>
        <v>0</v>
      </c>
      <c r="Q162" s="537">
        <f t="shared" si="30"/>
        <v>0</v>
      </c>
      <c r="R162" s="537">
        <f t="shared" si="30"/>
        <v>0</v>
      </c>
      <c r="S162" s="537">
        <f t="shared" si="30"/>
        <v>0</v>
      </c>
    </row>
    <row r="163" spans="1:19" ht="0.2" customHeight="1">
      <c r="A163" s="1083"/>
      <c r="B163" s="1079"/>
      <c r="C163" s="1079"/>
      <c r="D163" s="540"/>
      <c r="E163" s="539"/>
      <c r="F163" s="546"/>
      <c r="G163" s="546"/>
      <c r="H163" s="539"/>
      <c r="I163" s="539"/>
      <c r="J163" s="537"/>
      <c r="K163" s="538"/>
      <c r="L163" s="538"/>
      <c r="M163" s="537"/>
      <c r="N163" s="537"/>
      <c r="O163" s="537"/>
      <c r="P163" s="537"/>
      <c r="Q163" s="537"/>
      <c r="R163" s="537"/>
      <c r="S163" s="537"/>
    </row>
    <row r="164" spans="1:19" ht="0.2" customHeight="1">
      <c r="A164" s="1083"/>
      <c r="B164" s="1080"/>
      <c r="C164" s="1080"/>
      <c r="D164" s="551"/>
      <c r="E164" s="550"/>
      <c r="F164" s="550">
        <v>0.1</v>
      </c>
      <c r="G164" s="550"/>
      <c r="H164" s="550"/>
      <c r="I164" s="550"/>
      <c r="J164" s="549"/>
      <c r="K164" s="548"/>
      <c r="L164" s="548"/>
      <c r="M164" s="547"/>
      <c r="N164" s="547"/>
      <c r="O164" s="547"/>
      <c r="P164" s="547"/>
      <c r="Q164" s="547"/>
      <c r="R164" s="547"/>
      <c r="S164" s="547"/>
    </row>
    <row r="165" spans="1:19" ht="0.2" customHeight="1">
      <c r="A165" s="1083"/>
      <c r="B165" s="1078" t="s">
        <v>586</v>
      </c>
      <c r="C165" s="1079" t="s">
        <v>704</v>
      </c>
      <c r="D165" s="540"/>
      <c r="E165" s="539"/>
      <c r="F165" s="539"/>
      <c r="G165" s="539"/>
      <c r="H165" s="539"/>
      <c r="I165" s="539"/>
      <c r="J165" s="541"/>
      <c r="K165" s="541"/>
      <c r="L165" s="541"/>
      <c r="M165" s="541"/>
      <c r="N165" s="541"/>
      <c r="O165" s="541"/>
      <c r="P165" s="541"/>
      <c r="Q165" s="541"/>
      <c r="R165" s="541"/>
      <c r="S165" s="541"/>
    </row>
    <row r="166" spans="1:19" ht="0.2" customHeight="1">
      <c r="A166" s="1083"/>
      <c r="B166" s="1079"/>
      <c r="C166" s="1079"/>
      <c r="D166" s="540"/>
      <c r="E166" s="546"/>
      <c r="F166" s="546"/>
      <c r="G166" s="539"/>
      <c r="H166" s="539"/>
      <c r="I166" s="539"/>
      <c r="J166" s="541"/>
      <c r="K166" s="537"/>
      <c r="L166" s="537"/>
      <c r="M166" s="537"/>
      <c r="N166" s="537"/>
      <c r="O166" s="537"/>
      <c r="P166" s="537"/>
      <c r="Q166" s="537"/>
      <c r="R166" s="537"/>
      <c r="S166" s="537"/>
    </row>
    <row r="167" spans="1:19" ht="0.2" customHeight="1">
      <c r="A167" s="1083"/>
      <c r="B167" s="1079"/>
      <c r="C167" s="1079"/>
      <c r="D167" s="540"/>
      <c r="E167" s="539">
        <v>0.1</v>
      </c>
      <c r="F167" s="546"/>
      <c r="G167" s="546"/>
      <c r="H167" s="552">
        <v>0.1</v>
      </c>
      <c r="I167" s="539"/>
      <c r="J167" s="537" t="s">
        <v>692</v>
      </c>
      <c r="K167" s="538">
        <v>0</v>
      </c>
      <c r="L167" s="538">
        <v>2</v>
      </c>
      <c r="M167" s="537">
        <f>+E167+F168</f>
        <v>1.2000000000000002</v>
      </c>
      <c r="N167" s="537">
        <f t="shared" ref="N167:S167" si="31">IF(+$J167=N$9,+$K167*$L167*$M167,0)</f>
        <v>0</v>
      </c>
      <c r="O167" s="537">
        <f t="shared" si="31"/>
        <v>0</v>
      </c>
      <c r="P167" s="537">
        <f t="shared" si="31"/>
        <v>0</v>
      </c>
      <c r="Q167" s="537">
        <f t="shared" si="31"/>
        <v>0</v>
      </c>
      <c r="R167" s="537">
        <f t="shared" si="31"/>
        <v>0</v>
      </c>
      <c r="S167" s="537">
        <f t="shared" si="31"/>
        <v>0</v>
      </c>
    </row>
    <row r="168" spans="1:19" ht="0.2" customHeight="1">
      <c r="A168" s="1083"/>
      <c r="B168" s="1079"/>
      <c r="C168" s="1079"/>
      <c r="D168" s="540"/>
      <c r="E168" s="539"/>
      <c r="F168" s="559">
        <v>1.1000000000000001</v>
      </c>
      <c r="G168" s="560"/>
      <c r="H168" s="539"/>
      <c r="I168" s="539"/>
      <c r="J168" s="541"/>
      <c r="K168" s="538"/>
      <c r="L168" s="538"/>
      <c r="M168" s="537"/>
      <c r="N168" s="537"/>
      <c r="O168" s="537"/>
      <c r="P168" s="537"/>
      <c r="Q168" s="537"/>
      <c r="R168" s="537"/>
      <c r="S168" s="537"/>
    </row>
    <row r="169" spans="1:19" ht="0.2" customHeight="1">
      <c r="A169" s="1083"/>
      <c r="B169" s="1079"/>
      <c r="C169" s="1079"/>
      <c r="D169" s="540"/>
      <c r="E169" s="539"/>
      <c r="F169" s="539"/>
      <c r="G169" s="539"/>
      <c r="H169" s="539"/>
      <c r="I169" s="539"/>
      <c r="J169" s="541"/>
      <c r="K169" s="538"/>
      <c r="L169" s="538"/>
      <c r="M169" s="537"/>
      <c r="N169" s="537"/>
      <c r="O169" s="537"/>
      <c r="P169" s="537"/>
      <c r="Q169" s="537"/>
      <c r="R169" s="537"/>
      <c r="S169" s="537"/>
    </row>
    <row r="170" spans="1:19" ht="0.2" customHeight="1">
      <c r="A170" s="1083"/>
      <c r="B170" s="1079"/>
      <c r="C170" s="1078" t="s">
        <v>703</v>
      </c>
      <c r="D170" s="545"/>
      <c r="E170" s="544"/>
      <c r="F170" s="544"/>
      <c r="G170" s="544"/>
      <c r="H170" s="544"/>
      <c r="I170" s="544"/>
      <c r="J170" s="542"/>
      <c r="K170" s="542"/>
      <c r="L170" s="542"/>
      <c r="M170" s="542"/>
      <c r="N170" s="542"/>
      <c r="O170" s="542"/>
      <c r="P170" s="542"/>
      <c r="Q170" s="542"/>
      <c r="R170" s="542"/>
      <c r="S170" s="542"/>
    </row>
    <row r="171" spans="1:19" ht="0.2" customHeight="1">
      <c r="A171" s="1083"/>
      <c r="B171" s="1079"/>
      <c r="C171" s="1079"/>
      <c r="D171" s="540"/>
      <c r="E171" s="539"/>
      <c r="F171" s="539"/>
      <c r="G171" s="539"/>
      <c r="H171" s="539"/>
      <c r="I171" s="539"/>
      <c r="J171" s="541"/>
      <c r="K171" s="537"/>
      <c r="L171" s="537"/>
      <c r="M171" s="537"/>
      <c r="N171" s="537"/>
      <c r="O171" s="537"/>
      <c r="P171" s="537"/>
      <c r="Q171" s="537"/>
      <c r="R171" s="537"/>
      <c r="S171" s="537"/>
    </row>
    <row r="172" spans="1:19" ht="0.2" customHeight="1">
      <c r="A172" s="1083"/>
      <c r="B172" s="1079"/>
      <c r="C172" s="1079"/>
      <c r="D172" s="540"/>
      <c r="E172" s="546"/>
      <c r="F172" s="546"/>
      <c r="G172" s="539">
        <v>0.66</v>
      </c>
      <c r="H172" s="546"/>
      <c r="I172" s="539"/>
      <c r="J172" s="537" t="s">
        <v>692</v>
      </c>
      <c r="K172" s="538">
        <v>0</v>
      </c>
      <c r="L172" s="538">
        <v>6</v>
      </c>
      <c r="M172" s="537">
        <f>+F174+G172</f>
        <v>0.91</v>
      </c>
      <c r="N172" s="537">
        <f t="shared" ref="N172:S172" si="32">IF(+$J172=N$9,+$K172*$L172*$M172,0)</f>
        <v>0</v>
      </c>
      <c r="O172" s="537">
        <f t="shared" si="32"/>
        <v>0</v>
      </c>
      <c r="P172" s="537">
        <f t="shared" si="32"/>
        <v>0</v>
      </c>
      <c r="Q172" s="537">
        <f t="shared" si="32"/>
        <v>0</v>
      </c>
      <c r="R172" s="537">
        <f t="shared" si="32"/>
        <v>0</v>
      </c>
      <c r="S172" s="537">
        <f t="shared" si="32"/>
        <v>0</v>
      </c>
    </row>
    <row r="173" spans="1:19" ht="0.2" customHeight="1">
      <c r="A173" s="1083"/>
      <c r="B173" s="1079"/>
      <c r="C173" s="1079"/>
      <c r="D173" s="540"/>
      <c r="E173" s="546"/>
      <c r="F173" s="546"/>
      <c r="G173" s="539"/>
      <c r="H173" s="546"/>
      <c r="I173" s="539"/>
      <c r="J173" s="537"/>
      <c r="K173" s="538"/>
      <c r="L173" s="538"/>
      <c r="M173" s="537"/>
      <c r="N173" s="537"/>
      <c r="O173" s="537"/>
      <c r="P173" s="537"/>
      <c r="Q173" s="537"/>
      <c r="R173" s="537"/>
      <c r="S173" s="537"/>
    </row>
    <row r="174" spans="1:19" ht="0.2" customHeight="1">
      <c r="A174" s="1083"/>
      <c r="B174" s="1079"/>
      <c r="C174" s="1080"/>
      <c r="D174" s="551"/>
      <c r="E174" s="550"/>
      <c r="F174" s="559">
        <v>0.25</v>
      </c>
      <c r="G174" s="558"/>
      <c r="H174" s="550"/>
      <c r="I174" s="550"/>
      <c r="J174" s="549"/>
      <c r="K174" s="548"/>
      <c r="L174" s="548"/>
      <c r="M174" s="547"/>
      <c r="N174" s="547"/>
      <c r="O174" s="547"/>
      <c r="P174" s="547"/>
      <c r="Q174" s="547"/>
      <c r="R174" s="547"/>
      <c r="S174" s="547"/>
    </row>
    <row r="175" spans="1:19" ht="0.2" customHeight="1">
      <c r="A175" s="1083"/>
      <c r="B175" s="1079"/>
      <c r="C175" s="1078" t="s">
        <v>702</v>
      </c>
      <c r="D175" s="545"/>
      <c r="E175" s="544"/>
      <c r="F175" s="544"/>
      <c r="G175" s="544"/>
      <c r="H175" s="544"/>
      <c r="I175" s="544"/>
      <c r="J175" s="542"/>
      <c r="K175" s="542"/>
      <c r="L175" s="542"/>
      <c r="M175" s="542"/>
      <c r="N175" s="542"/>
      <c r="O175" s="542"/>
      <c r="P175" s="542"/>
      <c r="Q175" s="542"/>
      <c r="R175" s="542"/>
      <c r="S175" s="542"/>
    </row>
    <row r="176" spans="1:19" ht="0.2" customHeight="1">
      <c r="A176" s="1083"/>
      <c r="B176" s="1079"/>
      <c r="C176" s="1079"/>
      <c r="D176" s="540"/>
      <c r="E176" s="539"/>
      <c r="F176" s="539"/>
      <c r="G176" s="539"/>
      <c r="H176" s="539"/>
      <c r="I176" s="539"/>
      <c r="J176" s="541"/>
      <c r="K176" s="537"/>
      <c r="L176" s="537"/>
      <c r="M176" s="537"/>
      <c r="N176" s="537"/>
      <c r="O176" s="537"/>
      <c r="P176" s="537"/>
      <c r="Q176" s="537"/>
      <c r="R176" s="537"/>
      <c r="S176" s="537"/>
    </row>
    <row r="177" spans="1:19" ht="0.2" customHeight="1">
      <c r="A177" s="1083"/>
      <c r="B177" s="1079"/>
      <c r="C177" s="1079"/>
      <c r="D177" s="540"/>
      <c r="E177" s="554">
        <v>1.1499999999999999</v>
      </c>
      <c r="F177" s="539"/>
      <c r="G177" s="546"/>
      <c r="H177" s="539"/>
      <c r="I177" s="539"/>
      <c r="J177" s="537" t="s">
        <v>692</v>
      </c>
      <c r="K177" s="538">
        <v>0</v>
      </c>
      <c r="L177" s="538">
        <v>8</v>
      </c>
      <c r="M177" s="537">
        <f>+E177+F179+F175</f>
        <v>1.4</v>
      </c>
      <c r="N177" s="537">
        <f t="shared" ref="N177:S177" si="33">IF(+$J177=N$9,+$K177*$L177*$M177,0)</f>
        <v>0</v>
      </c>
      <c r="O177" s="537">
        <f t="shared" si="33"/>
        <v>0</v>
      </c>
      <c r="P177" s="537">
        <f t="shared" si="33"/>
        <v>0</v>
      </c>
      <c r="Q177" s="537">
        <f t="shared" si="33"/>
        <v>0</v>
      </c>
      <c r="R177" s="537">
        <f t="shared" si="33"/>
        <v>0</v>
      </c>
      <c r="S177" s="537">
        <f t="shared" si="33"/>
        <v>0</v>
      </c>
    </row>
    <row r="178" spans="1:19" ht="0.2" customHeight="1">
      <c r="A178" s="1083"/>
      <c r="B178" s="1079"/>
      <c r="C178" s="1079"/>
      <c r="D178" s="540"/>
      <c r="E178" s="546"/>
      <c r="F178" s="539"/>
      <c r="G178" s="539"/>
      <c r="H178" s="546"/>
      <c r="I178" s="539"/>
      <c r="J178" s="537"/>
      <c r="K178" s="538"/>
      <c r="L178" s="538"/>
      <c r="M178" s="537"/>
      <c r="N178" s="537"/>
      <c r="O178" s="537"/>
      <c r="P178" s="537"/>
      <c r="Q178" s="537"/>
      <c r="R178" s="537"/>
      <c r="S178" s="537"/>
    </row>
    <row r="179" spans="1:19" ht="0.2" customHeight="1">
      <c r="A179" s="1083"/>
      <c r="B179" s="1079"/>
      <c r="C179" s="1080"/>
      <c r="D179" s="551"/>
      <c r="E179" s="550"/>
      <c r="F179" s="556">
        <v>0.25</v>
      </c>
      <c r="G179" s="550"/>
      <c r="H179" s="550"/>
      <c r="I179" s="550"/>
      <c r="J179" s="549"/>
      <c r="K179" s="548"/>
      <c r="L179" s="548"/>
      <c r="M179" s="547"/>
      <c r="N179" s="547"/>
      <c r="O179" s="547"/>
      <c r="P179" s="547"/>
      <c r="Q179" s="547"/>
      <c r="R179" s="547"/>
      <c r="S179" s="547"/>
    </row>
    <row r="180" spans="1:19" ht="0.2" customHeight="1">
      <c r="A180" s="1083"/>
      <c r="B180" s="1079"/>
      <c r="C180" s="1078" t="s">
        <v>701</v>
      </c>
      <c r="D180" s="545"/>
      <c r="E180" s="539"/>
      <c r="F180" s="554">
        <f>F184</f>
        <v>0.25</v>
      </c>
      <c r="G180" s="539"/>
      <c r="H180" s="544"/>
      <c r="I180" s="544"/>
      <c r="J180" s="542"/>
      <c r="K180" s="542"/>
      <c r="L180" s="542"/>
      <c r="M180" s="542"/>
      <c r="N180" s="542"/>
      <c r="O180" s="542"/>
      <c r="P180" s="542"/>
      <c r="Q180" s="542"/>
      <c r="R180" s="542"/>
      <c r="S180" s="542"/>
    </row>
    <row r="181" spans="1:19" ht="0.2" customHeight="1">
      <c r="A181" s="1083"/>
      <c r="B181" s="1079"/>
      <c r="C181" s="1079"/>
      <c r="D181" s="540"/>
      <c r="E181" s="546"/>
      <c r="F181" s="546"/>
      <c r="G181" s="539"/>
      <c r="H181" s="539"/>
      <c r="I181" s="539"/>
      <c r="J181" s="541"/>
      <c r="K181" s="537"/>
      <c r="L181" s="537"/>
      <c r="M181" s="537"/>
      <c r="N181" s="537"/>
      <c r="O181" s="537"/>
      <c r="P181" s="537"/>
      <c r="Q181" s="537"/>
      <c r="R181" s="537"/>
      <c r="S181" s="537"/>
    </row>
    <row r="182" spans="1:19" ht="0.2" customHeight="1">
      <c r="A182" s="1083"/>
      <c r="B182" s="1079"/>
      <c r="C182" s="1079"/>
      <c r="D182" s="540"/>
      <c r="E182" s="546"/>
      <c r="F182" s="546"/>
      <c r="G182" s="546"/>
      <c r="H182" s="546"/>
      <c r="I182" s="539"/>
      <c r="J182" s="537" t="s">
        <v>692</v>
      </c>
      <c r="K182" s="538">
        <v>0</v>
      </c>
      <c r="L182" s="538">
        <v>6</v>
      </c>
      <c r="M182" s="537">
        <f>+G183+F184+F180</f>
        <v>2.0469999999999997</v>
      </c>
      <c r="N182" s="537">
        <f t="shared" ref="N182:S182" si="34">IF(+$J182=N$9,+$K182*$L182*$M182,0)</f>
        <v>0</v>
      </c>
      <c r="O182" s="537">
        <f t="shared" si="34"/>
        <v>0</v>
      </c>
      <c r="P182" s="537">
        <f t="shared" si="34"/>
        <v>0</v>
      </c>
      <c r="Q182" s="537">
        <f t="shared" si="34"/>
        <v>0</v>
      </c>
      <c r="R182" s="537">
        <f t="shared" si="34"/>
        <v>0</v>
      </c>
      <c r="S182" s="537">
        <f t="shared" si="34"/>
        <v>0</v>
      </c>
    </row>
    <row r="183" spans="1:19" ht="0.2" customHeight="1">
      <c r="A183" s="1083"/>
      <c r="B183" s="1079"/>
      <c r="C183" s="1079"/>
      <c r="D183" s="540"/>
      <c r="E183" s="539"/>
      <c r="F183" s="546"/>
      <c r="G183" s="554">
        <v>1.5469999999999999</v>
      </c>
      <c r="H183" s="546"/>
      <c r="I183" s="539"/>
      <c r="J183" s="537"/>
      <c r="K183" s="538"/>
      <c r="L183" s="538"/>
      <c r="M183" s="537"/>
      <c r="N183" s="537"/>
      <c r="O183" s="537"/>
      <c r="P183" s="537"/>
      <c r="Q183" s="537"/>
      <c r="R183" s="537"/>
      <c r="S183" s="537"/>
    </row>
    <row r="184" spans="1:19" ht="0.2" customHeight="1">
      <c r="A184" s="1083"/>
      <c r="B184" s="1079"/>
      <c r="C184" s="1080"/>
      <c r="D184" s="551"/>
      <c r="E184" s="550"/>
      <c r="F184" s="557">
        <v>0.25</v>
      </c>
      <c r="G184" s="550"/>
      <c r="H184" s="550"/>
      <c r="I184" s="550"/>
      <c r="J184" s="549"/>
      <c r="K184" s="548"/>
      <c r="L184" s="548"/>
      <c r="M184" s="547"/>
      <c r="N184" s="547"/>
      <c r="O184" s="547"/>
      <c r="P184" s="547"/>
      <c r="Q184" s="547"/>
      <c r="R184" s="547"/>
      <c r="S184" s="547"/>
    </row>
    <row r="185" spans="1:19" ht="0.2" customHeight="1">
      <c r="A185" s="1083"/>
      <c r="B185" s="1079"/>
      <c r="C185" s="1078" t="s">
        <v>700</v>
      </c>
      <c r="D185" s="545"/>
      <c r="E185" s="544"/>
      <c r="F185" s="544"/>
      <c r="G185" s="544"/>
      <c r="H185" s="544"/>
      <c r="I185" s="544"/>
      <c r="J185" s="542"/>
      <c r="K185" s="542"/>
      <c r="L185" s="542"/>
      <c r="M185" s="542"/>
      <c r="N185" s="542"/>
      <c r="O185" s="542"/>
      <c r="P185" s="542"/>
      <c r="Q185" s="542"/>
      <c r="R185" s="542"/>
      <c r="S185" s="542"/>
    </row>
    <row r="186" spans="1:19" ht="0.2" customHeight="1">
      <c r="A186" s="1083"/>
      <c r="B186" s="1079"/>
      <c r="C186" s="1079"/>
      <c r="D186" s="540"/>
      <c r="E186" s="539"/>
      <c r="F186" s="539"/>
      <c r="G186" s="539"/>
      <c r="H186" s="539"/>
      <c r="I186" s="539"/>
      <c r="J186" s="541"/>
      <c r="K186" s="537"/>
      <c r="L186" s="537"/>
      <c r="M186" s="537"/>
      <c r="N186" s="537"/>
      <c r="O186" s="537"/>
      <c r="P186" s="537"/>
      <c r="Q186" s="537"/>
      <c r="R186" s="537"/>
      <c r="S186" s="537"/>
    </row>
    <row r="187" spans="1:19" ht="0.2" customHeight="1">
      <c r="A187" s="1083"/>
      <c r="B187" s="1079"/>
      <c r="C187" s="1079"/>
      <c r="D187" s="540"/>
      <c r="E187" s="554">
        <v>1.1499999999999999</v>
      </c>
      <c r="F187" s="539"/>
      <c r="G187" s="546"/>
      <c r="H187" s="539"/>
      <c r="I187" s="539"/>
      <c r="J187" s="537" t="s">
        <v>692</v>
      </c>
      <c r="K187" s="538">
        <v>0</v>
      </c>
      <c r="L187" s="538">
        <v>8</v>
      </c>
      <c r="M187" s="537">
        <f>+E187+F189+F185</f>
        <v>1.4</v>
      </c>
      <c r="N187" s="537">
        <f t="shared" ref="N187:S187" si="35">IF(+$J187=N$9,+$K187*$L187*$M187,0)</f>
        <v>0</v>
      </c>
      <c r="O187" s="537">
        <f t="shared" si="35"/>
        <v>0</v>
      </c>
      <c r="P187" s="537">
        <f t="shared" si="35"/>
        <v>0</v>
      </c>
      <c r="Q187" s="537">
        <f t="shared" si="35"/>
        <v>0</v>
      </c>
      <c r="R187" s="537">
        <f t="shared" si="35"/>
        <v>0</v>
      </c>
      <c r="S187" s="537">
        <f t="shared" si="35"/>
        <v>0</v>
      </c>
    </row>
    <row r="188" spans="1:19" ht="0.2" customHeight="1">
      <c r="A188" s="1083"/>
      <c r="B188" s="1079"/>
      <c r="C188" s="1079"/>
      <c r="D188" s="540"/>
      <c r="E188" s="546"/>
      <c r="F188" s="539"/>
      <c r="G188" s="539"/>
      <c r="H188" s="546"/>
      <c r="I188" s="539"/>
      <c r="J188" s="537"/>
      <c r="K188" s="538"/>
      <c r="L188" s="538"/>
      <c r="M188" s="537"/>
      <c r="N188" s="537"/>
      <c r="O188" s="537"/>
      <c r="P188" s="537"/>
      <c r="Q188" s="537"/>
      <c r="R188" s="537"/>
      <c r="S188" s="537"/>
    </row>
    <row r="189" spans="1:19" ht="0.2" customHeight="1">
      <c r="A189" s="1083"/>
      <c r="B189" s="1079"/>
      <c r="C189" s="1080"/>
      <c r="D189" s="551"/>
      <c r="E189" s="550"/>
      <c r="F189" s="556">
        <v>0.25</v>
      </c>
      <c r="G189" s="550"/>
      <c r="H189" s="550"/>
      <c r="I189" s="550"/>
      <c r="J189" s="549"/>
      <c r="K189" s="548"/>
      <c r="L189" s="548"/>
      <c r="M189" s="547"/>
      <c r="N189" s="547"/>
      <c r="O189" s="547"/>
      <c r="P189" s="547"/>
      <c r="Q189" s="547"/>
      <c r="R189" s="547"/>
      <c r="S189" s="547"/>
    </row>
    <row r="190" spans="1:19" ht="0.2" customHeight="1">
      <c r="A190" s="1083"/>
      <c r="B190" s="1079"/>
      <c r="C190" s="1078" t="s">
        <v>699</v>
      </c>
      <c r="D190" s="545"/>
      <c r="E190" s="539"/>
      <c r="F190" s="539"/>
      <c r="G190" s="539"/>
      <c r="H190" s="544"/>
      <c r="I190" s="544"/>
      <c r="J190" s="542"/>
      <c r="K190" s="542"/>
      <c r="L190" s="542"/>
      <c r="M190" s="542"/>
      <c r="N190" s="542"/>
      <c r="O190" s="542"/>
      <c r="P190" s="542"/>
      <c r="Q190" s="542"/>
      <c r="R190" s="542"/>
      <c r="S190" s="542"/>
    </row>
    <row r="191" spans="1:19" ht="0.2" customHeight="1">
      <c r="A191" s="1083"/>
      <c r="B191" s="1079"/>
      <c r="C191" s="1079"/>
      <c r="D191" s="540"/>
      <c r="E191" s="546"/>
      <c r="F191" s="546"/>
      <c r="G191" s="539"/>
      <c r="H191" s="539"/>
      <c r="I191" s="539"/>
      <c r="J191" s="541"/>
      <c r="K191" s="537"/>
      <c r="L191" s="537"/>
      <c r="M191" s="537"/>
      <c r="N191" s="537"/>
      <c r="O191" s="537"/>
      <c r="P191" s="537"/>
      <c r="Q191" s="537"/>
      <c r="R191" s="537"/>
      <c r="S191" s="537"/>
    </row>
    <row r="192" spans="1:19" ht="0.2" customHeight="1">
      <c r="A192" s="1083"/>
      <c r="B192" s="1079"/>
      <c r="C192" s="1079"/>
      <c r="D192" s="540"/>
      <c r="E192" s="539">
        <v>0.25</v>
      </c>
      <c r="F192" s="546"/>
      <c r="G192" s="546"/>
      <c r="H192" s="555">
        <f>E192</f>
        <v>0.25</v>
      </c>
      <c r="I192" s="539"/>
      <c r="J192" s="537" t="s">
        <v>692</v>
      </c>
      <c r="K192" s="538">
        <v>0</v>
      </c>
      <c r="L192" s="538">
        <v>6</v>
      </c>
      <c r="M192" s="537">
        <f>+E192+F193+H192</f>
        <v>1.5489999999999999</v>
      </c>
      <c r="N192" s="537">
        <f t="shared" ref="N192:S192" si="36">IF(+$J192=N$9,+$K192*$L192*$M192,0)</f>
        <v>0</v>
      </c>
      <c r="O192" s="537">
        <f t="shared" si="36"/>
        <v>0</v>
      </c>
      <c r="P192" s="537">
        <f t="shared" si="36"/>
        <v>0</v>
      </c>
      <c r="Q192" s="537">
        <f t="shared" si="36"/>
        <v>0</v>
      </c>
      <c r="R192" s="537">
        <f t="shared" si="36"/>
        <v>0</v>
      </c>
      <c r="S192" s="537">
        <f t="shared" si="36"/>
        <v>0</v>
      </c>
    </row>
    <row r="193" spans="1:19" ht="0.2" customHeight="1">
      <c r="A193" s="1083"/>
      <c r="B193" s="1079"/>
      <c r="C193" s="1079"/>
      <c r="D193" s="540"/>
      <c r="E193" s="539"/>
      <c r="F193" s="1085">
        <v>1.0489999999999999</v>
      </c>
      <c r="G193" s="1085"/>
      <c r="H193" s="539"/>
      <c r="I193" s="539"/>
      <c r="J193" s="541"/>
      <c r="K193" s="538"/>
      <c r="L193" s="538"/>
      <c r="M193" s="537"/>
      <c r="N193" s="537"/>
      <c r="O193" s="537"/>
      <c r="P193" s="537"/>
      <c r="Q193" s="537"/>
      <c r="R193" s="537"/>
      <c r="S193" s="537"/>
    </row>
    <row r="194" spans="1:19" ht="0.2" customHeight="1">
      <c r="A194" s="1083"/>
      <c r="B194" s="1079"/>
      <c r="C194" s="1080"/>
      <c r="D194" s="551"/>
      <c r="E194" s="550"/>
      <c r="F194" s="550"/>
      <c r="G194" s="550"/>
      <c r="H194" s="550"/>
      <c r="I194" s="550"/>
      <c r="J194" s="549"/>
      <c r="K194" s="548"/>
      <c r="L194" s="548"/>
      <c r="M194" s="547"/>
      <c r="N194" s="547"/>
      <c r="O194" s="547"/>
      <c r="P194" s="547"/>
      <c r="Q194" s="547"/>
      <c r="R194" s="547"/>
      <c r="S194" s="547"/>
    </row>
    <row r="195" spans="1:19" ht="0.2" customHeight="1">
      <c r="A195" s="1083"/>
      <c r="B195" s="1079"/>
      <c r="C195" s="1078" t="s">
        <v>698</v>
      </c>
      <c r="D195" s="545"/>
      <c r="E195" s="544"/>
      <c r="F195" s="544">
        <v>0.25</v>
      </c>
      <c r="G195" s="544"/>
      <c r="H195" s="544"/>
      <c r="I195" s="544"/>
      <c r="J195" s="542"/>
      <c r="K195" s="542"/>
      <c r="L195" s="542"/>
      <c r="M195" s="542"/>
      <c r="N195" s="542"/>
      <c r="O195" s="542"/>
      <c r="P195" s="542"/>
      <c r="Q195" s="542"/>
      <c r="R195" s="542"/>
      <c r="S195" s="542"/>
    </row>
    <row r="196" spans="1:19" ht="0.2" customHeight="1">
      <c r="A196" s="1083"/>
      <c r="B196" s="1079"/>
      <c r="C196" s="1079"/>
      <c r="D196" s="540"/>
      <c r="E196" s="554">
        <v>1.3029999999999999</v>
      </c>
      <c r="F196" s="539"/>
      <c r="G196" s="546"/>
      <c r="H196" s="539"/>
      <c r="I196" s="539"/>
      <c r="J196" s="541"/>
      <c r="K196" s="537"/>
      <c r="L196" s="537"/>
      <c r="M196" s="537"/>
      <c r="N196" s="537"/>
      <c r="O196" s="537"/>
      <c r="P196" s="537"/>
      <c r="Q196" s="537"/>
      <c r="R196" s="537"/>
      <c r="S196" s="537"/>
    </row>
    <row r="197" spans="1:19" ht="0.2" customHeight="1">
      <c r="A197" s="1083"/>
      <c r="B197" s="1079"/>
      <c r="C197" s="1079"/>
      <c r="D197" s="540"/>
      <c r="E197" s="546"/>
      <c r="F197" s="539"/>
      <c r="G197" s="539"/>
      <c r="H197" s="546"/>
      <c r="I197" s="539"/>
      <c r="J197" s="537" t="s">
        <v>692</v>
      </c>
      <c r="K197" s="538">
        <v>0</v>
      </c>
      <c r="L197" s="538">
        <v>8</v>
      </c>
      <c r="M197" s="537">
        <f>+E196+F198</f>
        <v>1.5529999999999999</v>
      </c>
      <c r="N197" s="537">
        <f t="shared" ref="N197:S197" si="37">IF(+$J197=N$9,+$K197*$L197*$M197,0)</f>
        <v>0</v>
      </c>
      <c r="O197" s="537">
        <f t="shared" si="37"/>
        <v>0</v>
      </c>
      <c r="P197" s="537">
        <f t="shared" si="37"/>
        <v>0</v>
      </c>
      <c r="Q197" s="537">
        <f t="shared" si="37"/>
        <v>0</v>
      </c>
      <c r="R197" s="537">
        <f t="shared" si="37"/>
        <v>0</v>
      </c>
      <c r="S197" s="537">
        <f t="shared" si="37"/>
        <v>0</v>
      </c>
    </row>
    <row r="198" spans="1:19" ht="0.2" customHeight="1">
      <c r="A198" s="1083"/>
      <c r="B198" s="1079"/>
      <c r="C198" s="1079"/>
      <c r="D198" s="540"/>
      <c r="E198" s="539"/>
      <c r="F198" s="553">
        <v>0.25</v>
      </c>
      <c r="G198" s="553"/>
      <c r="H198" s="539"/>
      <c r="I198" s="539"/>
      <c r="J198" s="541"/>
      <c r="K198" s="538"/>
      <c r="L198" s="538"/>
      <c r="M198" s="537"/>
      <c r="N198" s="537"/>
      <c r="O198" s="537"/>
      <c r="P198" s="537"/>
      <c r="Q198" s="537"/>
      <c r="R198" s="537"/>
      <c r="S198" s="537"/>
    </row>
    <row r="199" spans="1:19" ht="0.2" customHeight="1">
      <c r="A199" s="1083"/>
      <c r="B199" s="1079"/>
      <c r="C199" s="1080"/>
      <c r="D199" s="551"/>
      <c r="E199" s="550"/>
      <c r="F199" s="550"/>
      <c r="G199" s="550"/>
      <c r="H199" s="550"/>
      <c r="I199" s="550"/>
      <c r="J199" s="549"/>
      <c r="K199" s="548"/>
      <c r="L199" s="548"/>
      <c r="M199" s="547"/>
      <c r="N199" s="547"/>
      <c r="O199" s="547"/>
      <c r="P199" s="547"/>
      <c r="Q199" s="547"/>
      <c r="R199" s="547"/>
      <c r="S199" s="547"/>
    </row>
    <row r="200" spans="1:19" ht="0.2" customHeight="1">
      <c r="A200" s="1083"/>
      <c r="B200" s="1079"/>
      <c r="C200" s="1078" t="s">
        <v>697</v>
      </c>
      <c r="D200" s="545"/>
      <c r="E200" s="1069">
        <v>0.25</v>
      </c>
      <c r="F200" s="1069"/>
      <c r="G200" s="1070">
        <v>0.25</v>
      </c>
      <c r="H200" s="1070"/>
      <c r="I200" s="544"/>
      <c r="J200" s="542"/>
      <c r="K200" s="542"/>
      <c r="L200" s="542"/>
      <c r="M200" s="542"/>
      <c r="N200" s="542"/>
      <c r="O200" s="542"/>
      <c r="P200" s="542"/>
      <c r="Q200" s="542"/>
      <c r="R200" s="542"/>
      <c r="S200" s="542"/>
    </row>
    <row r="201" spans="1:19" ht="0.2" customHeight="1">
      <c r="A201" s="1083"/>
      <c r="B201" s="1079"/>
      <c r="C201" s="1079"/>
      <c r="D201" s="540"/>
      <c r="E201" s="539">
        <f>H201</f>
        <v>1.546</v>
      </c>
      <c r="F201" s="546"/>
      <c r="G201" s="539"/>
      <c r="H201" s="552">
        <v>1.546</v>
      </c>
      <c r="I201" s="539"/>
      <c r="J201" s="541"/>
      <c r="K201" s="537"/>
      <c r="L201" s="537"/>
      <c r="M201" s="537"/>
      <c r="N201" s="537"/>
      <c r="O201" s="537"/>
      <c r="P201" s="537"/>
      <c r="Q201" s="537"/>
      <c r="R201" s="537"/>
      <c r="S201" s="537"/>
    </row>
    <row r="202" spans="1:19" ht="0.2" customHeight="1">
      <c r="A202" s="1083"/>
      <c r="B202" s="1079"/>
      <c r="C202" s="1079"/>
      <c r="D202" s="540"/>
      <c r="E202" s="546"/>
      <c r="F202" s="546"/>
      <c r="G202" s="546"/>
      <c r="H202" s="546"/>
      <c r="I202" s="539"/>
      <c r="J202" s="537" t="s">
        <v>692</v>
      </c>
      <c r="K202" s="538">
        <v>0</v>
      </c>
      <c r="L202" s="538">
        <v>6</v>
      </c>
      <c r="M202" s="537">
        <f>+E200+G200+H201+E201+F203</f>
        <v>4.8920000000000003</v>
      </c>
      <c r="N202" s="537">
        <f t="shared" ref="N202:S202" si="38">IF(+$J202=N$9,+$K202*$L202*$M202,0)</f>
        <v>0</v>
      </c>
      <c r="O202" s="537">
        <f t="shared" si="38"/>
        <v>0</v>
      </c>
      <c r="P202" s="537">
        <f t="shared" si="38"/>
        <v>0</v>
      </c>
      <c r="Q202" s="537">
        <f t="shared" si="38"/>
        <v>0</v>
      </c>
      <c r="R202" s="537">
        <f t="shared" si="38"/>
        <v>0</v>
      </c>
      <c r="S202" s="537">
        <f t="shared" si="38"/>
        <v>0</v>
      </c>
    </row>
    <row r="203" spans="1:19" ht="0.2" customHeight="1">
      <c r="A203" s="1083"/>
      <c r="B203" s="1079"/>
      <c r="C203" s="1079"/>
      <c r="D203" s="540"/>
      <c r="E203" s="539"/>
      <c r="F203" s="1071">
        <v>1.3</v>
      </c>
      <c r="G203" s="1071"/>
      <c r="H203" s="539"/>
      <c r="I203" s="539"/>
      <c r="J203" s="541"/>
      <c r="K203" s="538"/>
      <c r="L203" s="538"/>
      <c r="M203" s="537"/>
      <c r="N203" s="537"/>
      <c r="O203" s="537"/>
      <c r="P203" s="537"/>
      <c r="Q203" s="537"/>
      <c r="R203" s="537"/>
      <c r="S203" s="537"/>
    </row>
    <row r="204" spans="1:19" ht="0.2" customHeight="1">
      <c r="A204" s="1083"/>
      <c r="B204" s="1080"/>
      <c r="C204" s="1080"/>
      <c r="D204" s="551"/>
      <c r="E204" s="550"/>
      <c r="F204" s="550"/>
      <c r="G204" s="550"/>
      <c r="H204" s="550"/>
      <c r="I204" s="550"/>
      <c r="J204" s="549"/>
      <c r="K204" s="548"/>
      <c r="L204" s="548"/>
      <c r="M204" s="547"/>
      <c r="N204" s="547"/>
      <c r="O204" s="547"/>
      <c r="P204" s="547"/>
      <c r="Q204" s="547"/>
      <c r="R204" s="547"/>
      <c r="S204" s="547"/>
    </row>
    <row r="205" spans="1:19" ht="0.2" customHeight="1">
      <c r="A205" s="1083"/>
      <c r="B205" s="1078" t="s">
        <v>696</v>
      </c>
      <c r="C205" s="1082" t="s">
        <v>695</v>
      </c>
      <c r="D205" s="545"/>
      <c r="E205" s="544"/>
      <c r="F205" s="544"/>
      <c r="G205" s="544"/>
      <c r="H205" s="544"/>
      <c r="I205" s="544"/>
      <c r="J205" s="542"/>
      <c r="K205" s="543"/>
      <c r="L205" s="543"/>
      <c r="M205" s="542"/>
      <c r="N205" s="542"/>
      <c r="O205" s="542"/>
      <c r="P205" s="542"/>
      <c r="Q205" s="542"/>
      <c r="R205" s="542"/>
      <c r="S205" s="542"/>
    </row>
    <row r="206" spans="1:19" ht="0.2" customHeight="1">
      <c r="A206" s="1083"/>
      <c r="B206" s="1079"/>
      <c r="C206" s="1083"/>
      <c r="D206" s="540"/>
      <c r="E206" s="539"/>
      <c r="F206" s="539">
        <v>2.46</v>
      </c>
      <c r="G206" s="539"/>
      <c r="H206" s="539"/>
      <c r="I206" s="539"/>
      <c r="J206" s="541"/>
      <c r="K206" s="538"/>
      <c r="L206" s="538"/>
      <c r="M206" s="537"/>
      <c r="N206" s="537"/>
      <c r="O206" s="537"/>
      <c r="P206" s="537"/>
      <c r="Q206" s="537"/>
      <c r="R206" s="537"/>
      <c r="S206" s="537"/>
    </row>
    <row r="207" spans="1:19" ht="0.2" customHeight="1">
      <c r="A207" s="1083"/>
      <c r="B207" s="1079"/>
      <c r="C207" s="1083"/>
      <c r="D207" s="540"/>
      <c r="E207" s="539"/>
      <c r="F207" s="546"/>
      <c r="G207" s="539"/>
      <c r="H207" s="539"/>
      <c r="I207" s="539"/>
      <c r="J207" s="537" t="s">
        <v>692</v>
      </c>
      <c r="K207" s="538">
        <v>0</v>
      </c>
      <c r="L207" s="538">
        <v>8</v>
      </c>
      <c r="M207" s="537">
        <f>+F206</f>
        <v>2.46</v>
      </c>
      <c r="N207" s="537">
        <f t="shared" ref="N207:S207" si="39">IF(+$J207=N$9,+$K207*$L207*$M207,0)</f>
        <v>0</v>
      </c>
      <c r="O207" s="537">
        <f t="shared" si="39"/>
        <v>0</v>
      </c>
      <c r="P207" s="537">
        <f t="shared" si="39"/>
        <v>0</v>
      </c>
      <c r="Q207" s="537">
        <f t="shared" si="39"/>
        <v>0</v>
      </c>
      <c r="R207" s="537">
        <f t="shared" si="39"/>
        <v>0</v>
      </c>
      <c r="S207" s="537">
        <f t="shared" si="39"/>
        <v>0</v>
      </c>
    </row>
    <row r="208" spans="1:19" ht="0.2" customHeight="1">
      <c r="A208" s="1083"/>
      <c r="B208" s="1079"/>
      <c r="C208" s="1083"/>
      <c r="D208" s="540"/>
      <c r="E208" s="539"/>
      <c r="F208" s="546"/>
      <c r="G208" s="539"/>
      <c r="H208" s="539"/>
      <c r="I208" s="539"/>
      <c r="J208" s="537"/>
      <c r="K208" s="538"/>
      <c r="L208" s="538"/>
      <c r="M208" s="537"/>
      <c r="N208" s="537"/>
      <c r="O208" s="537"/>
      <c r="P208" s="537"/>
      <c r="Q208" s="537"/>
      <c r="R208" s="537"/>
      <c r="S208" s="537"/>
    </row>
    <row r="209" spans="1:19" ht="0.2" customHeight="1">
      <c r="A209" s="1083"/>
      <c r="B209" s="1079"/>
      <c r="C209" s="1083"/>
      <c r="D209" s="540"/>
      <c r="E209" s="539"/>
      <c r="F209" s="539"/>
      <c r="G209" s="539"/>
      <c r="H209" s="539"/>
      <c r="I209" s="539"/>
      <c r="J209" s="541"/>
      <c r="K209" s="537"/>
      <c r="L209" s="538"/>
      <c r="M209" s="537"/>
      <c r="N209" s="537"/>
      <c r="O209" s="537"/>
      <c r="P209" s="537"/>
      <c r="Q209" s="537"/>
      <c r="R209" s="537"/>
      <c r="S209" s="537"/>
    </row>
    <row r="210" spans="1:19" ht="0.2" customHeight="1">
      <c r="A210" s="1083"/>
      <c r="B210" s="1079"/>
      <c r="C210" s="1082" t="s">
        <v>695</v>
      </c>
      <c r="D210" s="545"/>
      <c r="E210" s="544"/>
      <c r="F210" s="544"/>
      <c r="G210" s="544"/>
      <c r="H210" s="544"/>
      <c r="I210" s="544"/>
      <c r="J210" s="542"/>
      <c r="K210" s="543"/>
      <c r="L210" s="543"/>
      <c r="M210" s="542"/>
      <c r="N210" s="542"/>
      <c r="O210" s="542"/>
      <c r="P210" s="542"/>
      <c r="Q210" s="542"/>
      <c r="R210" s="542"/>
      <c r="S210" s="542"/>
    </row>
    <row r="211" spans="1:19" ht="0.2" customHeight="1">
      <c r="A211" s="1083"/>
      <c r="B211" s="1079"/>
      <c r="C211" s="1083"/>
      <c r="D211" s="540"/>
      <c r="E211" s="539"/>
      <c r="F211" s="539">
        <v>1.528</v>
      </c>
      <c r="G211" s="539"/>
      <c r="H211" s="539"/>
      <c r="I211" s="539"/>
      <c r="J211" s="541"/>
      <c r="K211" s="538"/>
      <c r="L211" s="538"/>
      <c r="M211" s="537"/>
      <c r="N211" s="537"/>
      <c r="O211" s="537"/>
      <c r="P211" s="537"/>
      <c r="Q211" s="537"/>
      <c r="R211" s="537"/>
      <c r="S211" s="537"/>
    </row>
    <row r="212" spans="1:19" ht="0.2" customHeight="1">
      <c r="A212" s="1083"/>
      <c r="B212" s="1079"/>
      <c r="C212" s="1083"/>
      <c r="D212" s="540"/>
      <c r="E212" s="539"/>
      <c r="F212" s="546"/>
      <c r="G212" s="539"/>
      <c r="H212" s="539"/>
      <c r="I212" s="539"/>
      <c r="J212" s="537" t="s">
        <v>692</v>
      </c>
      <c r="K212" s="538">
        <v>0</v>
      </c>
      <c r="L212" s="538">
        <v>13</v>
      </c>
      <c r="M212" s="537">
        <f>+F211</f>
        <v>1.528</v>
      </c>
      <c r="N212" s="537">
        <f t="shared" ref="N212:S212" si="40">IF(+$J212=N$9,+$K212*$L212*$M212,0)</f>
        <v>0</v>
      </c>
      <c r="O212" s="537">
        <f t="shared" si="40"/>
        <v>0</v>
      </c>
      <c r="P212" s="537">
        <f t="shared" si="40"/>
        <v>0</v>
      </c>
      <c r="Q212" s="537">
        <f t="shared" si="40"/>
        <v>0</v>
      </c>
      <c r="R212" s="537">
        <f t="shared" si="40"/>
        <v>0</v>
      </c>
      <c r="S212" s="537">
        <f t="shared" si="40"/>
        <v>0</v>
      </c>
    </row>
    <row r="213" spans="1:19" ht="0.2" customHeight="1">
      <c r="A213" s="1083"/>
      <c r="B213" s="1079"/>
      <c r="C213" s="1083"/>
      <c r="D213" s="540"/>
      <c r="E213" s="539"/>
      <c r="F213" s="546"/>
      <c r="G213" s="539"/>
      <c r="H213" s="539"/>
      <c r="I213" s="539"/>
      <c r="J213" s="537"/>
      <c r="K213" s="538"/>
      <c r="L213" s="538"/>
      <c r="M213" s="537"/>
      <c r="N213" s="537"/>
      <c r="O213" s="537"/>
      <c r="P213" s="537"/>
      <c r="Q213" s="537"/>
      <c r="R213" s="537"/>
      <c r="S213" s="537"/>
    </row>
    <row r="214" spans="1:19" ht="0.2" customHeight="1">
      <c r="A214" s="1083"/>
      <c r="B214" s="1079"/>
      <c r="C214" s="1083"/>
      <c r="D214" s="540"/>
      <c r="E214" s="539"/>
      <c r="F214" s="539"/>
      <c r="G214" s="539"/>
      <c r="H214" s="539"/>
      <c r="I214" s="539"/>
      <c r="J214" s="541"/>
      <c r="K214" s="537"/>
      <c r="L214" s="538"/>
      <c r="M214" s="537"/>
      <c r="N214" s="537"/>
      <c r="O214" s="537"/>
      <c r="P214" s="537"/>
      <c r="Q214" s="537"/>
      <c r="R214" s="537"/>
      <c r="S214" s="537"/>
    </row>
    <row r="215" spans="1:19" ht="0.2" customHeight="1">
      <c r="A215" s="1083"/>
      <c r="B215" s="1079"/>
      <c r="C215" s="1078" t="s">
        <v>694</v>
      </c>
      <c r="D215" s="545"/>
      <c r="E215" s="544"/>
      <c r="F215" s="544"/>
      <c r="G215" s="544"/>
      <c r="H215" s="544"/>
      <c r="I215" s="544"/>
      <c r="J215" s="542"/>
      <c r="K215" s="543"/>
      <c r="L215" s="543"/>
      <c r="M215" s="542"/>
      <c r="N215" s="542"/>
      <c r="O215" s="542"/>
      <c r="P215" s="542"/>
      <c r="Q215" s="542"/>
      <c r="R215" s="542"/>
      <c r="S215" s="542"/>
    </row>
    <row r="216" spans="1:19" ht="0.2" customHeight="1">
      <c r="A216" s="1083"/>
      <c r="B216" s="1079"/>
      <c r="C216" s="1079"/>
      <c r="D216" s="540"/>
      <c r="E216" s="539"/>
      <c r="F216" s="539">
        <v>0.6</v>
      </c>
      <c r="G216" s="539"/>
      <c r="H216" s="539"/>
      <c r="I216" s="539"/>
      <c r="J216" s="541"/>
      <c r="K216" s="538"/>
      <c r="L216" s="538"/>
      <c r="M216" s="537"/>
      <c r="N216" s="537"/>
      <c r="O216" s="537"/>
      <c r="P216" s="537"/>
      <c r="Q216" s="537"/>
      <c r="R216" s="537"/>
      <c r="S216" s="537"/>
    </row>
    <row r="217" spans="1:19" ht="0.2" customHeight="1">
      <c r="A217" s="1083"/>
      <c r="B217" s="1079"/>
      <c r="C217" s="1079"/>
      <c r="D217" s="540"/>
      <c r="E217" s="539"/>
      <c r="F217" s="546"/>
      <c r="G217" s="539"/>
      <c r="H217" s="539"/>
      <c r="I217" s="539"/>
      <c r="J217" s="537" t="s">
        <v>692</v>
      </c>
      <c r="K217" s="538">
        <v>0</v>
      </c>
      <c r="L217" s="538">
        <v>8</v>
      </c>
      <c r="M217" s="537">
        <f>+F216</f>
        <v>0.6</v>
      </c>
      <c r="N217" s="537">
        <f t="shared" ref="N217:S217" si="41">IF(+$J217=N$9,+$K217*$L217*$M217,0)</f>
        <v>0</v>
      </c>
      <c r="O217" s="537">
        <f t="shared" si="41"/>
        <v>0</v>
      </c>
      <c r="P217" s="537">
        <f t="shared" si="41"/>
        <v>0</v>
      </c>
      <c r="Q217" s="537">
        <f t="shared" si="41"/>
        <v>0</v>
      </c>
      <c r="R217" s="537">
        <f t="shared" si="41"/>
        <v>0</v>
      </c>
      <c r="S217" s="537">
        <f t="shared" si="41"/>
        <v>0</v>
      </c>
    </row>
    <row r="218" spans="1:19" ht="0.2" customHeight="1">
      <c r="A218" s="1083"/>
      <c r="B218" s="1079"/>
      <c r="C218" s="1079"/>
      <c r="D218" s="540"/>
      <c r="E218" s="539"/>
      <c r="F218" s="546"/>
      <c r="G218" s="539"/>
      <c r="H218" s="539"/>
      <c r="I218" s="539"/>
      <c r="J218" s="537"/>
      <c r="K218" s="538"/>
      <c r="L218" s="538"/>
      <c r="M218" s="537"/>
      <c r="N218" s="537"/>
      <c r="O218" s="537"/>
      <c r="P218" s="537"/>
      <c r="Q218" s="537"/>
      <c r="R218" s="537"/>
      <c r="S218" s="537"/>
    </row>
    <row r="219" spans="1:19" ht="0.2" customHeight="1">
      <c r="A219" s="1083"/>
      <c r="B219" s="1079"/>
      <c r="C219" s="1079"/>
      <c r="D219" s="540"/>
      <c r="E219" s="539"/>
      <c r="F219" s="539"/>
      <c r="G219" s="539"/>
      <c r="H219" s="539"/>
      <c r="I219" s="539"/>
      <c r="J219" s="541"/>
      <c r="K219" s="537"/>
      <c r="L219" s="538"/>
      <c r="M219" s="537"/>
      <c r="N219" s="537"/>
      <c r="O219" s="537"/>
      <c r="P219" s="537"/>
      <c r="Q219" s="537"/>
      <c r="R219" s="537"/>
      <c r="S219" s="537"/>
    </row>
    <row r="220" spans="1:19" ht="0.2" customHeight="1">
      <c r="A220" s="1083"/>
      <c r="B220" s="1079"/>
      <c r="C220" s="1082" t="s">
        <v>693</v>
      </c>
      <c r="D220" s="545"/>
      <c r="E220" s="544"/>
      <c r="F220" s="544"/>
      <c r="G220" s="544"/>
      <c r="H220" s="544"/>
      <c r="I220" s="544"/>
      <c r="J220" s="542"/>
      <c r="K220" s="543"/>
      <c r="L220" s="543"/>
      <c r="M220" s="542"/>
      <c r="N220" s="542"/>
      <c r="O220" s="542"/>
      <c r="P220" s="542"/>
      <c r="Q220" s="542"/>
      <c r="R220" s="542"/>
      <c r="S220" s="542"/>
    </row>
    <row r="221" spans="1:19" ht="0.2" customHeight="1">
      <c r="A221" s="1083"/>
      <c r="B221" s="1079"/>
      <c r="C221" s="1083"/>
      <c r="D221" s="540"/>
      <c r="E221" s="539"/>
      <c r="F221" s="539"/>
      <c r="G221" s="539"/>
      <c r="H221" s="539"/>
      <c r="I221" s="539"/>
      <c r="J221" s="541"/>
      <c r="K221" s="538"/>
      <c r="L221" s="538"/>
      <c r="M221" s="537"/>
      <c r="N221" s="537"/>
      <c r="O221" s="537"/>
      <c r="P221" s="537"/>
      <c r="Q221" s="537"/>
      <c r="R221" s="537"/>
      <c r="S221" s="537"/>
    </row>
    <row r="222" spans="1:19" ht="0.2" customHeight="1">
      <c r="A222" s="1083"/>
      <c r="B222" s="1079"/>
      <c r="C222" s="1083"/>
      <c r="D222" s="540"/>
      <c r="E222" s="539"/>
      <c r="F222" s="539">
        <v>0.6</v>
      </c>
      <c r="G222" s="539"/>
      <c r="H222" s="539"/>
      <c r="I222" s="539"/>
      <c r="J222" s="537" t="s">
        <v>692</v>
      </c>
      <c r="K222" s="538">
        <v>0</v>
      </c>
      <c r="L222" s="538">
        <v>13</v>
      </c>
      <c r="M222" s="537">
        <f>+F222</f>
        <v>0.6</v>
      </c>
      <c r="N222" s="537">
        <f t="shared" ref="N222:S222" si="42">IF(+$J222=N$9,+$K222*$L222*$M222,0)</f>
        <v>0</v>
      </c>
      <c r="O222" s="537">
        <f t="shared" si="42"/>
        <v>0</v>
      </c>
      <c r="P222" s="537">
        <f t="shared" si="42"/>
        <v>0</v>
      </c>
      <c r="Q222" s="537">
        <f t="shared" si="42"/>
        <v>0</v>
      </c>
      <c r="R222" s="537">
        <f t="shared" si="42"/>
        <v>0</v>
      </c>
      <c r="S222" s="537">
        <f t="shared" si="42"/>
        <v>0</v>
      </c>
    </row>
    <row r="223" spans="1:19" ht="0.2" customHeight="1">
      <c r="A223" s="1083"/>
      <c r="B223" s="1079"/>
      <c r="C223" s="1083"/>
      <c r="D223" s="540"/>
      <c r="E223" s="539"/>
      <c r="F223" s="539"/>
      <c r="G223" s="539"/>
      <c r="H223" s="539"/>
      <c r="I223" s="539"/>
      <c r="J223" s="537"/>
      <c r="K223" s="538"/>
      <c r="L223" s="538"/>
      <c r="M223" s="537"/>
      <c r="N223" s="537"/>
      <c r="O223" s="537"/>
      <c r="P223" s="537"/>
      <c r="Q223" s="537"/>
      <c r="R223" s="537"/>
      <c r="S223" s="537"/>
    </row>
    <row r="224" spans="1:19" ht="0.2" customHeight="1" thickBot="1">
      <c r="A224" s="1084"/>
      <c r="B224" s="1081"/>
      <c r="C224" s="1084"/>
      <c r="D224" s="536"/>
      <c r="E224" s="535"/>
      <c r="F224" s="535"/>
      <c r="G224" s="535"/>
      <c r="H224" s="535"/>
      <c r="I224" s="535"/>
      <c r="J224" s="534"/>
      <c r="K224" s="532"/>
      <c r="L224" s="533"/>
      <c r="M224" s="532"/>
      <c r="N224" s="532"/>
      <c r="O224" s="532"/>
      <c r="P224" s="532"/>
      <c r="Q224" s="532"/>
      <c r="R224" s="532"/>
      <c r="S224" s="532"/>
    </row>
    <row r="225" spans="1:19">
      <c r="A225" s="527"/>
      <c r="B225" s="527"/>
      <c r="C225" s="527"/>
      <c r="D225" s="526"/>
      <c r="E225" s="529"/>
      <c r="F225" s="529"/>
      <c r="G225" s="529"/>
      <c r="H225" s="529"/>
      <c r="I225" s="529"/>
      <c r="J225" s="1072" t="s">
        <v>691</v>
      </c>
      <c r="K225" s="1073"/>
      <c r="L225" s="1073"/>
      <c r="M225" s="1074"/>
      <c r="N225" s="531">
        <f t="shared" ref="N225:S225" si="43">SUM(N11:N224)</f>
        <v>0</v>
      </c>
      <c r="O225" s="531">
        <f t="shared" si="43"/>
        <v>45.92</v>
      </c>
      <c r="P225" s="531">
        <f t="shared" si="43"/>
        <v>0</v>
      </c>
      <c r="Q225" s="531">
        <f t="shared" si="43"/>
        <v>0</v>
      </c>
      <c r="R225" s="531">
        <f t="shared" si="43"/>
        <v>0</v>
      </c>
      <c r="S225" s="531">
        <f t="shared" si="43"/>
        <v>0</v>
      </c>
    </row>
    <row r="226" spans="1:19">
      <c r="A226" s="527"/>
      <c r="B226" s="527"/>
      <c r="C226" s="527"/>
      <c r="D226" s="526"/>
      <c r="E226" s="529"/>
      <c r="F226" s="529"/>
      <c r="G226" s="529"/>
      <c r="H226" s="529"/>
      <c r="I226" s="529"/>
      <c r="J226" s="1075" t="s">
        <v>690</v>
      </c>
      <c r="K226" s="1076"/>
      <c r="L226" s="1076"/>
      <c r="M226" s="1077"/>
      <c r="N226" s="530">
        <v>0.222</v>
      </c>
      <c r="O226" s="530">
        <v>0.56000000000000005</v>
      </c>
      <c r="P226" s="530">
        <v>0.99399999999999999</v>
      </c>
      <c r="Q226" s="530">
        <v>1.552</v>
      </c>
      <c r="R226" s="530">
        <v>2.2349999999999999</v>
      </c>
      <c r="S226" s="530">
        <v>3.9729999999999999</v>
      </c>
    </row>
    <row r="227" spans="1:19">
      <c r="A227" s="527"/>
      <c r="B227" s="527"/>
      <c r="C227" s="527"/>
      <c r="D227" s="526"/>
      <c r="E227" s="529"/>
      <c r="F227" s="529"/>
      <c r="G227" s="529"/>
      <c r="H227" s="529"/>
      <c r="I227" s="529"/>
      <c r="J227" s="1075" t="s">
        <v>689</v>
      </c>
      <c r="K227" s="1076"/>
      <c r="L227" s="1076"/>
      <c r="M227" s="1077"/>
      <c r="N227" s="528">
        <f>+N225*N226</f>
        <v>0</v>
      </c>
      <c r="O227" s="528">
        <f>+O225*O226</f>
        <v>25.715200000000003</v>
      </c>
      <c r="P227" s="528">
        <f>+P225*P226</f>
        <v>0</v>
      </c>
      <c r="Q227" s="528">
        <f>+Q225*Q226</f>
        <v>0</v>
      </c>
      <c r="R227" s="528">
        <f>+R226*R225</f>
        <v>0</v>
      </c>
      <c r="S227" s="528">
        <f>+S226*S225</f>
        <v>0</v>
      </c>
    </row>
    <row r="228" spans="1:19" ht="16.5">
      <c r="A228" s="527"/>
      <c r="B228" s="527"/>
      <c r="C228" s="527"/>
      <c r="D228" s="526"/>
      <c r="E228" s="526"/>
      <c r="F228" s="526"/>
      <c r="G228" s="526"/>
      <c r="H228" s="526"/>
      <c r="I228" s="526"/>
      <c r="J228" s="1067" t="s">
        <v>688</v>
      </c>
      <c r="K228" s="1067"/>
      <c r="L228" s="1067"/>
      <c r="M228" s="1067"/>
      <c r="N228" s="1068">
        <f>SUM(N227:S227)</f>
        <v>25.715200000000003</v>
      </c>
      <c r="O228" s="1068"/>
      <c r="P228" s="1068"/>
      <c r="Q228" s="1068"/>
      <c r="R228" s="1068"/>
      <c r="S228" s="1068"/>
    </row>
  </sheetData>
  <mergeCells count="93">
    <mergeCell ref="A10:A59"/>
    <mergeCell ref="F22:G22"/>
    <mergeCell ref="C25:C29"/>
    <mergeCell ref="F27:G27"/>
    <mergeCell ref="A2:S2"/>
    <mergeCell ref="A3:S3"/>
    <mergeCell ref="A4:S4"/>
    <mergeCell ref="A8:C9"/>
    <mergeCell ref="D8:I9"/>
    <mergeCell ref="J8:J9"/>
    <mergeCell ref="K8:K9"/>
    <mergeCell ref="L8:L9"/>
    <mergeCell ref="M8:M9"/>
    <mergeCell ref="N8:S8"/>
    <mergeCell ref="C80:C84"/>
    <mergeCell ref="F82:G82"/>
    <mergeCell ref="C55:C59"/>
    <mergeCell ref="F57:G57"/>
    <mergeCell ref="A60:A124"/>
    <mergeCell ref="B60:B79"/>
    <mergeCell ref="C60:C64"/>
    <mergeCell ref="C66:C69"/>
    <mergeCell ref="F67:G67"/>
    <mergeCell ref="C70:C74"/>
    <mergeCell ref="F72:G72"/>
    <mergeCell ref="C75:C79"/>
    <mergeCell ref="B40:B59"/>
    <mergeCell ref="C40:C44"/>
    <mergeCell ref="C45:C49"/>
    <mergeCell ref="F48:G48"/>
    <mergeCell ref="F77:G77"/>
    <mergeCell ref="B10:B39"/>
    <mergeCell ref="C10:C14"/>
    <mergeCell ref="C15:C19"/>
    <mergeCell ref="F16:G16"/>
    <mergeCell ref="F19:G19"/>
    <mergeCell ref="C20:C24"/>
    <mergeCell ref="C30:C34"/>
    <mergeCell ref="F32:G32"/>
    <mergeCell ref="C35:C39"/>
    <mergeCell ref="F37:G37"/>
    <mergeCell ref="C50:C54"/>
    <mergeCell ref="F53:G53"/>
    <mergeCell ref="B85:B124"/>
    <mergeCell ref="C85:C89"/>
    <mergeCell ref="C90:C94"/>
    <mergeCell ref="C95:C99"/>
    <mergeCell ref="C100:C104"/>
    <mergeCell ref="C105:C109"/>
    <mergeCell ref="C110:C114"/>
    <mergeCell ref="C115:C119"/>
    <mergeCell ref="C120:C124"/>
    <mergeCell ref="A125:A144"/>
    <mergeCell ref="B125:B134"/>
    <mergeCell ref="C125:C129"/>
    <mergeCell ref="C130:C134"/>
    <mergeCell ref="F133:G133"/>
    <mergeCell ref="B135:B144"/>
    <mergeCell ref="C135:C139"/>
    <mergeCell ref="F136:G136"/>
    <mergeCell ref="C140:C144"/>
    <mergeCell ref="F142:G142"/>
    <mergeCell ref="F193:G193"/>
    <mergeCell ref="A145:A224"/>
    <mergeCell ref="B145:B164"/>
    <mergeCell ref="C145:C149"/>
    <mergeCell ref="F148:G148"/>
    <mergeCell ref="C150:C154"/>
    <mergeCell ref="C155:C159"/>
    <mergeCell ref="F158:G158"/>
    <mergeCell ref="C160:C164"/>
    <mergeCell ref="B165:B204"/>
    <mergeCell ref="C195:C199"/>
    <mergeCell ref="C200:C204"/>
    <mergeCell ref="C165:C169"/>
    <mergeCell ref="C170:C174"/>
    <mergeCell ref="C175:C179"/>
    <mergeCell ref="C180:C184"/>
    <mergeCell ref="C185:C189"/>
    <mergeCell ref="C190:C194"/>
    <mergeCell ref="B205:B224"/>
    <mergeCell ref="C205:C209"/>
    <mergeCell ref="C210:C214"/>
    <mergeCell ref="C215:C219"/>
    <mergeCell ref="C220:C224"/>
    <mergeCell ref="J228:M228"/>
    <mergeCell ref="N228:S228"/>
    <mergeCell ref="E200:F200"/>
    <mergeCell ref="G200:H200"/>
    <mergeCell ref="F203:G203"/>
    <mergeCell ref="J225:M225"/>
    <mergeCell ref="J226:M226"/>
    <mergeCell ref="J227:M227"/>
  </mergeCells>
  <dataValidations count="1">
    <dataValidation type="list" allowBlank="1" showInputMessage="1" showErrorMessage="1" sqref="J12 J212:J213 J217:J218 J82 J112 J117 J107 J97 J32 J27 J207:J208 J197 J202 J187 J192 J172:J173 J177 J152 J157 J147 J142:J143 J137:J138 J72 J77 J67 J62 J102 J122 J92 J87 J52 J57 J47 J42 J132 J127 J22 J37 J182 J167 J222:J223 J162 J17" xr:uid="{00000000-0002-0000-0100-000000000000}">
      <formula1>$N$9:$S$9</formula1>
    </dataValidation>
  </dataValidations>
  <pageMargins left="1.2598425196850394" right="0.55118110236220474" top="0.74803149606299213" bottom="0.74803149606299213" header="0.31496062992125984" footer="0.31496062992125984"/>
  <pageSetup paperSize="9" scale="53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D0C1-1B49-4CC4-8B20-ED94305802CC}">
  <sheetPr>
    <tabColor theme="7" tint="0.39997558519241921"/>
    <pageSetUpPr fitToPage="1"/>
  </sheetPr>
  <dimension ref="A1:P124"/>
  <sheetViews>
    <sheetView showGridLines="0" view="pageBreakPreview" zoomScale="68" zoomScaleNormal="85" zoomScaleSheetLayoutView="68" zoomScalePageLayoutView="70" workbookViewId="0">
      <selection activeCell="J72" sqref="J72"/>
    </sheetView>
  </sheetViews>
  <sheetFormatPr baseColWidth="10" defaultColWidth="13.33203125" defaultRowHeight="11.25"/>
  <cols>
    <col min="1" max="1" width="3.33203125" style="170" customWidth="1"/>
    <col min="2" max="2" width="15" style="510" customWidth="1"/>
    <col min="3" max="3" width="95.83203125" style="170" customWidth="1"/>
    <col min="4" max="4" width="7.83203125" style="170" customWidth="1"/>
    <col min="5" max="8" width="10.83203125" style="170" customWidth="1"/>
    <col min="9" max="9" width="12.33203125" style="170" customWidth="1"/>
    <col min="10" max="10" width="12" style="170" customWidth="1"/>
    <col min="11" max="11" width="3.33203125" style="170" customWidth="1"/>
    <col min="12" max="12" width="19.83203125" style="170" bestFit="1" customWidth="1"/>
    <col min="13" max="13" width="26.83203125" style="170" bestFit="1" customWidth="1"/>
    <col min="14" max="14" width="12.1640625" style="850" bestFit="1" customWidth="1"/>
    <col min="15" max="15" width="12.6640625" style="434" bestFit="1" customWidth="1"/>
    <col min="16" max="16" width="10.83203125" style="170" bestFit="1" customWidth="1"/>
    <col min="17" max="16384" width="13.33203125" style="170"/>
  </cols>
  <sheetData>
    <row r="1" spans="2:16" s="168" customFormat="1" ht="18" customHeight="1">
      <c r="B1" s="1016" t="s">
        <v>786</v>
      </c>
      <c r="C1" s="1017"/>
      <c r="D1" s="1017"/>
      <c r="E1" s="1017"/>
      <c r="F1" s="1017"/>
      <c r="G1" s="1017"/>
      <c r="H1" s="1017"/>
      <c r="I1" s="1017"/>
      <c r="J1" s="1018"/>
      <c r="K1" s="509"/>
      <c r="L1" s="508"/>
      <c r="N1" s="865"/>
      <c r="O1" s="500"/>
    </row>
    <row r="2" spans="2:16" s="168" customFormat="1" ht="40.9" customHeight="1">
      <c r="B2" s="1049" t="s">
        <v>1086</v>
      </c>
      <c r="C2" s="1023"/>
      <c r="D2" s="1023"/>
      <c r="E2" s="1023"/>
      <c r="F2" s="1023"/>
      <c r="G2" s="1023"/>
      <c r="H2" s="1023"/>
      <c r="I2" s="1023"/>
      <c r="J2" s="1024"/>
      <c r="K2" s="507"/>
      <c r="L2" s="430"/>
      <c r="N2" s="865"/>
      <c r="O2" s="500"/>
    </row>
    <row r="3" spans="2:16" s="168" customFormat="1" ht="19.5" customHeight="1" thickBot="1">
      <c r="B3" s="1019" t="s">
        <v>1074</v>
      </c>
      <c r="C3" s="1020"/>
      <c r="D3" s="1020"/>
      <c r="E3" s="1020"/>
      <c r="F3" s="1020"/>
      <c r="G3" s="1020"/>
      <c r="H3" s="1020"/>
      <c r="I3" s="1020"/>
      <c r="J3" s="1021"/>
      <c r="K3" s="506"/>
      <c r="L3" s="430"/>
      <c r="N3" s="865"/>
      <c r="O3" s="500"/>
      <c r="P3" s="500"/>
    </row>
    <row r="4" spans="2:16" s="168" customFormat="1" ht="15" customHeight="1">
      <c r="B4" s="223"/>
      <c r="C4" s="431"/>
      <c r="D4" s="431"/>
      <c r="E4" s="222"/>
      <c r="F4" s="222"/>
      <c r="G4" s="222"/>
      <c r="H4" s="222"/>
      <c r="I4" s="221"/>
      <c r="J4" s="220"/>
      <c r="K4" s="222"/>
      <c r="L4" s="869" t="s">
        <v>652</v>
      </c>
      <c r="M4" s="869" t="s">
        <v>381</v>
      </c>
      <c r="N4" s="869" t="s">
        <v>325</v>
      </c>
      <c r="O4" s="500"/>
      <c r="P4" s="500"/>
    </row>
    <row r="5" spans="2:16" s="168" customFormat="1" ht="15" customHeight="1">
      <c r="B5" s="223"/>
      <c r="C5" s="1050"/>
      <c r="D5" s="1051"/>
      <c r="E5" s="1051"/>
      <c r="F5" s="1051"/>
      <c r="G5" s="1051"/>
      <c r="H5" s="1052"/>
      <c r="I5" s="221"/>
      <c r="J5" s="220"/>
      <c r="K5" s="222"/>
      <c r="L5" s="868">
        <v>1</v>
      </c>
      <c r="M5" s="867" t="s">
        <v>648</v>
      </c>
      <c r="N5" s="866">
        <v>1</v>
      </c>
      <c r="O5" s="500"/>
      <c r="P5" s="500"/>
    </row>
    <row r="6" spans="2:16" s="168" customFormat="1" ht="15" customHeight="1">
      <c r="B6" s="223"/>
      <c r="C6" s="1053"/>
      <c r="D6" s="1054"/>
      <c r="E6" s="1054"/>
      <c r="F6" s="1054"/>
      <c r="G6" s="1054"/>
      <c r="H6" s="1055"/>
      <c r="I6" s="221"/>
      <c r="J6" s="220"/>
      <c r="K6" s="222"/>
      <c r="L6" s="868">
        <v>2</v>
      </c>
      <c r="M6" s="867" t="s">
        <v>685</v>
      </c>
      <c r="N6" s="866">
        <v>2</v>
      </c>
      <c r="O6" s="500"/>
      <c r="P6" s="500"/>
    </row>
    <row r="7" spans="2:16" s="168" customFormat="1" ht="15" customHeight="1">
      <c r="B7" s="223"/>
      <c r="C7" s="1053"/>
      <c r="D7" s="1054"/>
      <c r="E7" s="1054"/>
      <c r="F7" s="1054"/>
      <c r="G7" s="1054"/>
      <c r="H7" s="1055"/>
      <c r="I7" s="221"/>
      <c r="J7" s="220"/>
      <c r="K7" s="222"/>
      <c r="L7" s="868">
        <v>3</v>
      </c>
      <c r="M7" s="867" t="s">
        <v>649</v>
      </c>
      <c r="N7" s="866">
        <v>2</v>
      </c>
      <c r="O7" s="500"/>
      <c r="P7" s="500"/>
    </row>
    <row r="8" spans="2:16" s="168" customFormat="1" ht="15" customHeight="1">
      <c r="B8" s="223"/>
      <c r="C8" s="1053"/>
      <c r="D8" s="1054"/>
      <c r="E8" s="1054"/>
      <c r="F8" s="1054"/>
      <c r="G8" s="1054"/>
      <c r="H8" s="1055"/>
      <c r="I8" s="221"/>
      <c r="J8" s="220"/>
      <c r="K8" s="222"/>
      <c r="L8" s="868">
        <v>4</v>
      </c>
      <c r="M8" s="867" t="s">
        <v>684</v>
      </c>
      <c r="N8" s="866">
        <v>2</v>
      </c>
      <c r="O8" s="500"/>
      <c r="P8" s="500"/>
    </row>
    <row r="9" spans="2:16" s="168" customFormat="1" ht="15" customHeight="1">
      <c r="B9" s="223"/>
      <c r="C9" s="1053"/>
      <c r="D9" s="1054"/>
      <c r="E9" s="1054"/>
      <c r="F9" s="1054"/>
      <c r="G9" s="1054"/>
      <c r="H9" s="1055"/>
      <c r="I9" s="221"/>
      <c r="J9" s="220"/>
      <c r="K9" s="222"/>
      <c r="L9" s="868">
        <v>5</v>
      </c>
      <c r="M9" s="867" t="s">
        <v>682</v>
      </c>
      <c r="N9" s="866">
        <v>4</v>
      </c>
      <c r="O9" s="500"/>
      <c r="P9" s="500"/>
    </row>
    <row r="10" spans="2:16" s="168" customFormat="1" ht="15" customHeight="1">
      <c r="B10" s="223"/>
      <c r="C10" s="1053"/>
      <c r="D10" s="1054"/>
      <c r="E10" s="1054"/>
      <c r="F10" s="1054"/>
      <c r="G10" s="1054"/>
      <c r="H10" s="1055"/>
      <c r="I10" s="221"/>
      <c r="J10" s="220"/>
      <c r="K10" s="222"/>
      <c r="L10" s="868">
        <v>6</v>
      </c>
      <c r="M10" s="867" t="s">
        <v>683</v>
      </c>
      <c r="N10" s="866">
        <v>2</v>
      </c>
      <c r="O10" s="500"/>
      <c r="P10" s="500"/>
    </row>
    <row r="11" spans="2:16" s="168" customFormat="1" ht="15" customHeight="1">
      <c r="B11" s="223"/>
      <c r="C11" s="1053"/>
      <c r="D11" s="1054"/>
      <c r="E11" s="1054"/>
      <c r="F11" s="1054"/>
      <c r="G11" s="1054"/>
      <c r="H11" s="1055"/>
      <c r="I11" s="221"/>
      <c r="J11" s="220"/>
      <c r="K11" s="222"/>
      <c r="L11" s="868">
        <v>7</v>
      </c>
      <c r="M11" s="867" t="s">
        <v>680</v>
      </c>
      <c r="N11" s="866">
        <v>2</v>
      </c>
      <c r="O11" s="500"/>
      <c r="P11" s="500"/>
    </row>
    <row r="12" spans="2:16" s="168" customFormat="1" ht="15" customHeight="1">
      <c r="B12" s="223"/>
      <c r="C12" s="1053"/>
      <c r="D12" s="1054"/>
      <c r="E12" s="1054"/>
      <c r="F12" s="1054"/>
      <c r="G12" s="1054"/>
      <c r="H12" s="1055"/>
      <c r="I12" s="221"/>
      <c r="J12" s="220"/>
      <c r="K12" s="222"/>
      <c r="L12" s="430"/>
      <c r="M12" s="500"/>
      <c r="N12" s="865"/>
      <c r="O12" s="500"/>
      <c r="P12" s="500"/>
    </row>
    <row r="13" spans="2:16" s="168" customFormat="1" ht="15" customHeight="1">
      <c r="B13" s="223"/>
      <c r="C13" s="1053"/>
      <c r="D13" s="1054"/>
      <c r="E13" s="1054"/>
      <c r="F13" s="1054"/>
      <c r="G13" s="1054"/>
      <c r="H13" s="1055"/>
      <c r="I13" s="221"/>
      <c r="J13" s="220"/>
      <c r="K13" s="222"/>
      <c r="L13" s="430"/>
      <c r="N13" s="865"/>
      <c r="O13" s="500"/>
      <c r="P13" s="500"/>
    </row>
    <row r="14" spans="2:16" s="168" customFormat="1" ht="15" customHeight="1">
      <c r="B14" s="223"/>
      <c r="C14" s="1053"/>
      <c r="D14" s="1054"/>
      <c r="E14" s="1054"/>
      <c r="F14" s="1054"/>
      <c r="G14" s="1054"/>
      <c r="H14" s="1055"/>
      <c r="I14" s="221"/>
      <c r="J14" s="220"/>
      <c r="K14" s="222"/>
      <c r="L14" s="430"/>
      <c r="N14" s="865"/>
      <c r="O14" s="500"/>
      <c r="P14" s="500"/>
    </row>
    <row r="15" spans="2:16" s="168" customFormat="1" ht="15" customHeight="1">
      <c r="B15" s="223"/>
      <c r="C15" s="1053"/>
      <c r="D15" s="1054"/>
      <c r="E15" s="1054"/>
      <c r="F15" s="1054"/>
      <c r="G15" s="1054"/>
      <c r="H15" s="1055"/>
      <c r="I15" s="221"/>
      <c r="J15" s="220"/>
      <c r="K15" s="222"/>
      <c r="L15" s="430"/>
      <c r="N15" s="865"/>
      <c r="O15" s="500"/>
    </row>
    <row r="16" spans="2:16" s="168" customFormat="1" ht="15" customHeight="1">
      <c r="B16" s="223"/>
      <c r="C16" s="1056"/>
      <c r="D16" s="1057"/>
      <c r="E16" s="1057"/>
      <c r="F16" s="1057"/>
      <c r="G16" s="1057"/>
      <c r="H16" s="1058"/>
      <c r="I16" s="221"/>
      <c r="J16" s="220"/>
      <c r="K16" s="222"/>
      <c r="L16" s="430"/>
      <c r="N16" s="865"/>
      <c r="O16" s="500"/>
    </row>
    <row r="17" spans="1:15" s="168" customFormat="1" ht="15" customHeight="1">
      <c r="B17" s="223"/>
      <c r="C17" s="431"/>
      <c r="D17" s="431"/>
      <c r="E17" s="222"/>
      <c r="F17" s="222"/>
      <c r="G17" s="222"/>
      <c r="H17" s="222"/>
      <c r="I17" s="221"/>
      <c r="J17" s="220"/>
      <c r="K17" s="222"/>
      <c r="L17" s="430" t="s">
        <v>1073</v>
      </c>
      <c r="N17" s="865"/>
      <c r="O17" s="500"/>
    </row>
    <row r="18" spans="1:15" ht="15" customHeight="1" thickBot="1">
      <c r="B18" s="525" t="s">
        <v>1</v>
      </c>
      <c r="C18" s="218" t="s">
        <v>2</v>
      </c>
      <c r="D18" s="217" t="s">
        <v>325</v>
      </c>
      <c r="E18" s="217" t="s">
        <v>3</v>
      </c>
      <c r="F18" s="217" t="s">
        <v>324</v>
      </c>
      <c r="G18" s="217" t="s">
        <v>5</v>
      </c>
      <c r="H18" s="217" t="s">
        <v>6</v>
      </c>
      <c r="I18" s="217" t="s">
        <v>7</v>
      </c>
      <c r="J18" s="216" t="s">
        <v>8</v>
      </c>
      <c r="K18" s="297"/>
      <c r="L18" s="423"/>
    </row>
    <row r="19" spans="1:15" s="487" customFormat="1" ht="15" customHeight="1" thickTop="1">
      <c r="A19" s="170"/>
      <c r="B19" s="524" t="str">
        <f>"01.09"</f>
        <v>01.09</v>
      </c>
      <c r="C19" s="496" t="str">
        <f>+B3&amp;" ("&amp;E19&amp;" und.)"</f>
        <v>VALVULA DE CONTROL (6 und.)</v>
      </c>
      <c r="D19" s="288"/>
      <c r="E19" s="495">
        <f>+SUM(E20:E21)</f>
        <v>6</v>
      </c>
      <c r="F19" s="494"/>
      <c r="G19" s="493"/>
      <c r="H19" s="493"/>
      <c r="I19" s="493"/>
      <c r="J19" s="492"/>
      <c r="K19" s="297"/>
      <c r="L19" s="489"/>
      <c r="M19" s="489"/>
      <c r="N19" s="864"/>
      <c r="O19" s="488"/>
    </row>
    <row r="20" spans="1:15" s="487" customFormat="1" ht="15" customHeight="1">
      <c r="A20" s="170"/>
      <c r="B20" s="595"/>
      <c r="C20" s="340" t="str">
        <f>+$B$3&amp;L20</f>
        <v>VALVULA DE CONTROL Ø = 1"</v>
      </c>
      <c r="D20" s="196"/>
      <c r="E20" s="490">
        <v>5</v>
      </c>
      <c r="F20" s="246"/>
      <c r="G20" s="246"/>
      <c r="H20" s="246"/>
      <c r="I20" s="246"/>
      <c r="J20" s="452"/>
      <c r="K20" s="297"/>
      <c r="L20" s="489" t="s">
        <v>759</v>
      </c>
      <c r="N20" s="864"/>
      <c r="O20" s="488"/>
    </row>
    <row r="21" spans="1:15" s="487" customFormat="1" ht="15" customHeight="1">
      <c r="A21" s="170"/>
      <c r="B21" s="595"/>
      <c r="C21" s="340" t="str">
        <f>+$B$3&amp;L21</f>
        <v>VALVULA DE CONTROL Ø = 3/4"</v>
      </c>
      <c r="D21" s="196"/>
      <c r="E21" s="490">
        <v>1</v>
      </c>
      <c r="F21" s="364"/>
      <c r="G21" s="246"/>
      <c r="H21" s="246"/>
      <c r="I21" s="246"/>
      <c r="J21" s="452"/>
      <c r="K21" s="297"/>
      <c r="L21" s="489" t="s">
        <v>645</v>
      </c>
    </row>
    <row r="22" spans="1:15" s="487" customFormat="1" ht="15" customHeight="1">
      <c r="A22" s="170"/>
      <c r="B22" s="595"/>
      <c r="C22" s="340"/>
      <c r="D22" s="196"/>
      <c r="E22" s="490"/>
      <c r="F22" s="364"/>
      <c r="G22" s="246"/>
      <c r="H22" s="246"/>
      <c r="I22" s="246"/>
      <c r="J22" s="452"/>
      <c r="K22" s="297"/>
      <c r="L22" s="489"/>
    </row>
    <row r="23" spans="1:15" ht="15" customHeight="1">
      <c r="B23" s="518" t="str">
        <f>B$19 &amp; ".01"</f>
        <v>01.09.01</v>
      </c>
      <c r="C23" s="454" t="s">
        <v>107</v>
      </c>
      <c r="D23" s="196"/>
      <c r="E23" s="21">
        <f>+$E$19</f>
        <v>6</v>
      </c>
      <c r="F23" s="364"/>
      <c r="G23" s="246"/>
      <c r="H23" s="246"/>
      <c r="I23" s="246"/>
      <c r="J23" s="452"/>
      <c r="K23" s="297"/>
      <c r="L23" s="486" t="s">
        <v>10</v>
      </c>
      <c r="M23" s="523" t="s">
        <v>644</v>
      </c>
      <c r="N23" s="486" t="s">
        <v>12</v>
      </c>
    </row>
    <row r="24" spans="1:15" ht="15" customHeight="1">
      <c r="B24" s="517" t="str">
        <f>B$23 &amp; ".01"</f>
        <v>01.09.01.01</v>
      </c>
      <c r="C24" s="474" t="s">
        <v>493</v>
      </c>
      <c r="D24" s="20" t="s">
        <v>55</v>
      </c>
      <c r="E24" s="105"/>
      <c r="F24" s="103"/>
      <c r="G24" s="103"/>
      <c r="H24" s="103"/>
      <c r="I24" s="280">
        <f>SUM(I25)</f>
        <v>2.33</v>
      </c>
      <c r="J24" s="447">
        <f>+I24*$E$23</f>
        <v>13.98</v>
      </c>
      <c r="K24" s="439"/>
      <c r="L24" s="1066" t="s">
        <v>643</v>
      </c>
      <c r="M24" s="1066"/>
      <c r="N24" s="1066"/>
    </row>
    <row r="25" spans="1:15" ht="15" customHeight="1">
      <c r="B25" s="517"/>
      <c r="C25" s="107" t="s">
        <v>637</v>
      </c>
      <c r="D25" s="20"/>
      <c r="E25" s="105">
        <v>1</v>
      </c>
      <c r="F25" s="103">
        <f>+M43</f>
        <v>1.5249999999999999</v>
      </c>
      <c r="G25" s="103">
        <f>+M42</f>
        <v>1.5249999999999999</v>
      </c>
      <c r="I25" s="448">
        <f>+ROUND(PRODUCT(E25:G25),2)</f>
        <v>2.33</v>
      </c>
      <c r="J25" s="482"/>
      <c r="K25" s="350"/>
      <c r="L25" s="479" t="s">
        <v>328</v>
      </c>
      <c r="M25" s="478">
        <v>0.6</v>
      </c>
      <c r="N25" s="477" t="s">
        <v>0</v>
      </c>
    </row>
    <row r="26" spans="1:15" s="168" customFormat="1" ht="15" customHeight="1">
      <c r="B26" s="521"/>
      <c r="C26" s="30"/>
      <c r="D26" s="20"/>
      <c r="E26" s="105"/>
      <c r="F26" s="103"/>
      <c r="G26" s="103"/>
      <c r="H26" s="103"/>
      <c r="I26" s="103"/>
      <c r="J26" s="459"/>
      <c r="K26" s="338"/>
      <c r="L26" s="481" t="s">
        <v>23</v>
      </c>
      <c r="M26" s="478">
        <v>0.6</v>
      </c>
      <c r="N26" s="477" t="s">
        <v>0</v>
      </c>
    </row>
    <row r="27" spans="1:15" s="168" customFormat="1" ht="15" customHeight="1">
      <c r="B27" s="517" t="str">
        <f>B$23 &amp; ".02"</f>
        <v>01.09.01.02</v>
      </c>
      <c r="C27" s="474" t="s">
        <v>642</v>
      </c>
      <c r="D27" s="20" t="s">
        <v>55</v>
      </c>
      <c r="E27" s="105"/>
      <c r="F27" s="103"/>
      <c r="G27" s="103"/>
      <c r="H27" s="103"/>
      <c r="I27" s="280">
        <f>SUM(I28)</f>
        <v>2.33</v>
      </c>
      <c r="J27" s="447">
        <f>+I27*$E$23</f>
        <v>13.98</v>
      </c>
      <c r="K27" s="439"/>
      <c r="L27" s="479" t="s">
        <v>329</v>
      </c>
      <c r="M27" s="478">
        <v>0.7</v>
      </c>
      <c r="N27" s="477" t="s">
        <v>0</v>
      </c>
    </row>
    <row r="28" spans="1:15" s="168" customFormat="1" ht="15" customHeight="1">
      <c r="B28" s="521"/>
      <c r="C28" s="107" t="s">
        <v>637</v>
      </c>
      <c r="D28" s="20"/>
      <c r="E28" s="105">
        <v>1</v>
      </c>
      <c r="F28" s="103">
        <f>+F25</f>
        <v>1.5249999999999999</v>
      </c>
      <c r="G28" s="103">
        <f>+G25</f>
        <v>1.5249999999999999</v>
      </c>
      <c r="I28" s="448">
        <f>+ROUND(PRODUCT(E28:G28),2)</f>
        <v>2.33</v>
      </c>
      <c r="J28" s="482"/>
      <c r="K28" s="350"/>
      <c r="L28" s="481" t="s">
        <v>641</v>
      </c>
      <c r="M28" s="478">
        <v>0.1</v>
      </c>
      <c r="N28" s="477" t="s">
        <v>0</v>
      </c>
    </row>
    <row r="29" spans="1:15" s="168" customFormat="1" ht="15" customHeight="1">
      <c r="B29" s="521"/>
      <c r="C29" s="340"/>
      <c r="D29" s="20"/>
      <c r="E29" s="105"/>
      <c r="F29" s="103"/>
      <c r="G29" s="103"/>
      <c r="I29" s="448"/>
      <c r="J29" s="482"/>
      <c r="K29" s="350"/>
      <c r="L29" s="481"/>
      <c r="M29" s="478"/>
      <c r="N29" s="477"/>
    </row>
    <row r="30" spans="1:15" s="168" customFormat="1" ht="15" customHeight="1">
      <c r="B30" s="517" t="str">
        <f>B$23 &amp; ".03"</f>
        <v>01.09.01.03</v>
      </c>
      <c r="C30" s="474" t="s">
        <v>639</v>
      </c>
      <c r="D30" s="20" t="s">
        <v>55</v>
      </c>
      <c r="E30" s="105"/>
      <c r="F30" s="103"/>
      <c r="G30" s="103"/>
      <c r="H30" s="103"/>
      <c r="I30" s="280">
        <f>SUM(I31)</f>
        <v>2.33</v>
      </c>
      <c r="J30" s="447">
        <f>+I30*$E$23</f>
        <v>13.98</v>
      </c>
      <c r="K30" s="338"/>
      <c r="L30" s="481" t="s">
        <v>640</v>
      </c>
      <c r="M30" s="478">
        <v>0.1</v>
      </c>
      <c r="N30" s="477" t="s">
        <v>0</v>
      </c>
    </row>
    <row r="31" spans="1:15" ht="15" customHeight="1">
      <c r="B31" s="521"/>
      <c r="C31" s="107" t="s">
        <v>637</v>
      </c>
      <c r="D31" s="20"/>
      <c r="E31" s="105">
        <v>1</v>
      </c>
      <c r="F31" s="103">
        <f>+F25</f>
        <v>1.5249999999999999</v>
      </c>
      <c r="G31" s="103">
        <f>+G25</f>
        <v>1.5249999999999999</v>
      </c>
      <c r="H31" s="168"/>
      <c r="I31" s="448">
        <f>+ROUND(PRODUCT(E31:G31),2)</f>
        <v>2.33</v>
      </c>
      <c r="J31" s="482"/>
      <c r="K31" s="297"/>
      <c r="L31" s="1066" t="s">
        <v>675</v>
      </c>
      <c r="M31" s="1066"/>
      <c r="N31" s="1066"/>
    </row>
    <row r="32" spans="1:15" s="168" customFormat="1" ht="15" customHeight="1">
      <c r="B32" s="521"/>
      <c r="C32" s="30"/>
      <c r="D32" s="20"/>
      <c r="E32" s="105"/>
      <c r="F32" s="103"/>
      <c r="G32" s="103"/>
      <c r="H32" s="103"/>
      <c r="I32" s="103"/>
      <c r="J32" s="459"/>
      <c r="K32" s="439"/>
      <c r="L32" s="481" t="s">
        <v>23</v>
      </c>
      <c r="M32" s="478">
        <f>+M26+2*M30+2*M28</f>
        <v>1</v>
      </c>
      <c r="N32" s="477" t="s">
        <v>0</v>
      </c>
    </row>
    <row r="33" spans="2:14" s="168" customFormat="1" ht="15" customHeight="1">
      <c r="B33" s="518" t="str">
        <f>B$19 &amp; ".02"</f>
        <v>01.09.02</v>
      </c>
      <c r="C33" s="454" t="s">
        <v>101</v>
      </c>
      <c r="D33" s="196"/>
      <c r="E33" s="21">
        <f>+$E$19</f>
        <v>6</v>
      </c>
      <c r="F33" s="364"/>
      <c r="G33" s="246"/>
      <c r="H33" s="246"/>
      <c r="I33" s="246"/>
      <c r="J33" s="452"/>
      <c r="K33" s="350"/>
      <c r="L33" s="481" t="s">
        <v>328</v>
      </c>
      <c r="M33" s="478">
        <f>+M25+2*M30+2*M28</f>
        <v>1</v>
      </c>
      <c r="N33" s="477" t="s">
        <v>0</v>
      </c>
    </row>
    <row r="34" spans="2:14" s="168" customFormat="1" ht="15" customHeight="1">
      <c r="B34" s="517" t="str">
        <f>B$33 &amp; ".01"</f>
        <v>01.09.02.01</v>
      </c>
      <c r="C34" s="474" t="s">
        <v>246</v>
      </c>
      <c r="D34" s="20" t="s">
        <v>93</v>
      </c>
      <c r="E34" s="105"/>
      <c r="F34" s="103"/>
      <c r="G34" s="103"/>
      <c r="H34" s="103"/>
      <c r="I34" s="280">
        <f>SUM(I35)</f>
        <v>1.21</v>
      </c>
      <c r="J34" s="447">
        <f>+I34*$E$33</f>
        <v>7.26</v>
      </c>
      <c r="K34" s="338"/>
      <c r="L34" s="481" t="s">
        <v>635</v>
      </c>
      <c r="M34" s="478">
        <v>0.1</v>
      </c>
      <c r="N34" s="477" t="s">
        <v>0</v>
      </c>
    </row>
    <row r="35" spans="2:14" s="168" customFormat="1" ht="15" customHeight="1">
      <c r="B35" s="521"/>
      <c r="C35" s="340" t="s">
        <v>637</v>
      </c>
      <c r="D35" s="20"/>
      <c r="E35" s="105">
        <v>1</v>
      </c>
      <c r="F35" s="103" t="s">
        <v>236</v>
      </c>
      <c r="G35" s="103"/>
      <c r="H35" s="103">
        <f>+G40/6*((2*G36+G38)*G37+(2*G38+G36)*G39)</f>
        <v>1.2123854166666665</v>
      </c>
      <c r="I35" s="448">
        <f>+ROUND(PRODUCT(E35:H35),2)</f>
        <v>1.21</v>
      </c>
      <c r="J35" s="482"/>
      <c r="K35" s="338"/>
      <c r="L35" s="1066" t="s">
        <v>615</v>
      </c>
      <c r="M35" s="1066"/>
      <c r="N35" s="1066"/>
    </row>
    <row r="36" spans="2:14" s="168" customFormat="1" ht="15" customHeight="1">
      <c r="B36" s="521"/>
      <c r="C36" s="484"/>
      <c r="D36" s="20"/>
      <c r="E36" s="105"/>
      <c r="F36" s="103" t="s">
        <v>636</v>
      </c>
      <c r="G36" s="103">
        <f>+M42</f>
        <v>1.5249999999999999</v>
      </c>
      <c r="H36" s="103"/>
      <c r="I36" s="103"/>
      <c r="J36" s="459"/>
      <c r="K36" s="338"/>
      <c r="L36" s="1066" t="s">
        <v>622</v>
      </c>
      <c r="M36" s="1066"/>
      <c r="N36" s="1066"/>
    </row>
    <row r="37" spans="2:14" s="168" customFormat="1" ht="15" customHeight="1">
      <c r="B37" s="521"/>
      <c r="C37" s="484"/>
      <c r="D37" s="20"/>
      <c r="E37" s="105"/>
      <c r="F37" s="103" t="s">
        <v>634</v>
      </c>
      <c r="G37" s="103">
        <f>+M43</f>
        <v>1.5249999999999999</v>
      </c>
      <c r="H37" s="103"/>
      <c r="I37" s="103"/>
      <c r="J37" s="459"/>
      <c r="K37" s="338"/>
      <c r="L37" s="481" t="s">
        <v>615</v>
      </c>
      <c r="M37" s="478">
        <v>0.1</v>
      </c>
      <c r="N37" s="477" t="s">
        <v>0</v>
      </c>
    </row>
    <row r="38" spans="2:14" s="168" customFormat="1" ht="15" customHeight="1">
      <c r="B38" s="521"/>
      <c r="C38" s="485" t="s">
        <v>633</v>
      </c>
      <c r="D38" s="20"/>
      <c r="E38" s="105"/>
      <c r="F38" s="103" t="s">
        <v>632</v>
      </c>
      <c r="G38" s="103">
        <f>+M38</f>
        <v>1.2</v>
      </c>
      <c r="H38" s="103"/>
      <c r="I38" s="103"/>
      <c r="J38" s="459"/>
      <c r="K38" s="338"/>
      <c r="L38" s="479" t="s">
        <v>619</v>
      </c>
      <c r="M38" s="478">
        <f>+M33+2*M37</f>
        <v>1.2</v>
      </c>
      <c r="N38" s="477" t="s">
        <v>0</v>
      </c>
    </row>
    <row r="39" spans="2:14" s="168" customFormat="1" ht="15" customHeight="1">
      <c r="B39" s="521"/>
      <c r="C39" s="485" t="s">
        <v>630</v>
      </c>
      <c r="D39" s="20"/>
      <c r="E39" s="105"/>
      <c r="F39" s="103" t="s">
        <v>629</v>
      </c>
      <c r="G39" s="103">
        <f>+M39</f>
        <v>1.2</v>
      </c>
      <c r="H39" s="103"/>
      <c r="I39" s="103"/>
      <c r="J39" s="459"/>
      <c r="K39" s="338"/>
      <c r="L39" s="481" t="s">
        <v>617</v>
      </c>
      <c r="M39" s="478">
        <f>+M32+2*M37</f>
        <v>1.2</v>
      </c>
      <c r="N39" s="477" t="s">
        <v>0</v>
      </c>
    </row>
    <row r="40" spans="2:14" ht="15" customHeight="1">
      <c r="B40" s="521"/>
      <c r="C40" s="484"/>
      <c r="D40" s="20"/>
      <c r="E40" s="105"/>
      <c r="F40" s="103" t="s">
        <v>627</v>
      </c>
      <c r="G40" s="103">
        <f>+M45</f>
        <v>0.64999999999999991</v>
      </c>
      <c r="H40" s="103"/>
      <c r="I40" s="103"/>
      <c r="J40" s="459"/>
      <c r="K40" s="350"/>
      <c r="L40" s="1066" t="s">
        <v>616</v>
      </c>
      <c r="M40" s="1066"/>
      <c r="N40" s="1066"/>
    </row>
    <row r="41" spans="2:14" ht="30" customHeight="1">
      <c r="B41" s="521"/>
      <c r="C41" s="484"/>
      <c r="D41" s="20"/>
      <c r="E41" s="105"/>
      <c r="F41" s="103"/>
      <c r="G41" s="103"/>
      <c r="H41" s="103"/>
      <c r="I41" s="103"/>
      <c r="J41" s="459"/>
      <c r="K41" s="439"/>
      <c r="L41" s="481" t="s">
        <v>615</v>
      </c>
      <c r="M41" s="480">
        <f>+M44*M45</f>
        <v>0.16249999999999998</v>
      </c>
      <c r="N41" s="477" t="s">
        <v>0</v>
      </c>
    </row>
    <row r="42" spans="2:14" ht="15" customHeight="1">
      <c r="B42" s="521"/>
      <c r="C42" s="30"/>
      <c r="D42" s="20"/>
      <c r="E42" s="105"/>
      <c r="F42" s="103"/>
      <c r="G42" s="103"/>
      <c r="H42" s="103"/>
      <c r="I42" s="103"/>
      <c r="J42" s="482"/>
      <c r="K42" s="338"/>
      <c r="L42" s="479" t="s">
        <v>614</v>
      </c>
      <c r="M42" s="478">
        <f>+M38+2*M41</f>
        <v>1.5249999999999999</v>
      </c>
      <c r="N42" s="477" t="s">
        <v>0</v>
      </c>
    </row>
    <row r="43" spans="2:14" ht="15" customHeight="1">
      <c r="B43" s="517" t="str">
        <f>B$33 &amp; ".02"</f>
        <v>01.09.02.02</v>
      </c>
      <c r="C43" s="842" t="s">
        <v>1075</v>
      </c>
      <c r="D43" s="20" t="s">
        <v>93</v>
      </c>
      <c r="E43" s="105"/>
      <c r="F43" s="103"/>
      <c r="G43" s="103"/>
      <c r="H43" s="103"/>
      <c r="I43" s="280">
        <f>SUM(I44:I46)</f>
        <v>0.66</v>
      </c>
      <c r="J43" s="447">
        <f>+I43*$E$33</f>
        <v>3.96</v>
      </c>
      <c r="K43" s="338"/>
      <c r="L43" s="481" t="s">
        <v>612</v>
      </c>
      <c r="M43" s="478">
        <f>+M39+2*M41</f>
        <v>1.5249999999999999</v>
      </c>
      <c r="N43" s="477" t="s">
        <v>0</v>
      </c>
    </row>
    <row r="44" spans="2:14" ht="15" customHeight="1">
      <c r="B44" s="521"/>
      <c r="C44" s="107" t="s">
        <v>621</v>
      </c>
      <c r="D44" s="20"/>
      <c r="E44" s="105">
        <v>1</v>
      </c>
      <c r="F44" s="476"/>
      <c r="G44" s="476"/>
      <c r="H44" s="103">
        <f>+H35</f>
        <v>1.2123854166666665</v>
      </c>
      <c r="I44" s="448">
        <f>+ROUND(PRODUCT(E44:H44),2)</f>
        <v>1.21</v>
      </c>
      <c r="J44" s="459"/>
      <c r="K44" s="338"/>
      <c r="L44" s="481" t="s">
        <v>611</v>
      </c>
      <c r="M44" s="478">
        <v>0.25</v>
      </c>
      <c r="N44" s="477" t="s">
        <v>0</v>
      </c>
    </row>
    <row r="45" spans="2:14" ht="15" customHeight="1">
      <c r="B45" s="521"/>
      <c r="C45" s="107" t="s">
        <v>620</v>
      </c>
      <c r="D45" s="20"/>
      <c r="E45" s="105">
        <v>-1</v>
      </c>
      <c r="F45" s="103">
        <f>+M26+2*M30</f>
        <v>0.8</v>
      </c>
      <c r="G45" s="103">
        <f>+M25+2*M30</f>
        <v>0.8</v>
      </c>
      <c r="H45" s="103">
        <f>+M27</f>
        <v>0.7</v>
      </c>
      <c r="I45" s="448">
        <f>+ROUND(PRODUCT(E45:H45),2)</f>
        <v>-0.45</v>
      </c>
      <c r="J45" s="459"/>
      <c r="K45" s="338"/>
      <c r="L45" s="479" t="s">
        <v>610</v>
      </c>
      <c r="M45" s="480">
        <f>+M27-M46</f>
        <v>0.64999999999999991</v>
      </c>
      <c r="N45" s="477" t="s">
        <v>0</v>
      </c>
    </row>
    <row r="46" spans="2:14" ht="15" customHeight="1">
      <c r="B46" s="521"/>
      <c r="C46" s="107" t="s">
        <v>618</v>
      </c>
      <c r="D46" s="20"/>
      <c r="E46" s="105">
        <v>-1</v>
      </c>
      <c r="F46" s="103">
        <f>+M33</f>
        <v>1</v>
      </c>
      <c r="G46" s="103">
        <f>+M32</f>
        <v>1</v>
      </c>
      <c r="H46" s="103">
        <f>+M34</f>
        <v>0.1</v>
      </c>
      <c r="I46" s="448">
        <f>+ROUND(PRODUCT(E46:H46),2)</f>
        <v>-0.1</v>
      </c>
      <c r="J46" s="459"/>
      <c r="K46" s="338"/>
      <c r="L46" s="479" t="s">
        <v>608</v>
      </c>
      <c r="M46" s="478">
        <v>0.05</v>
      </c>
      <c r="N46" s="477" t="s">
        <v>0</v>
      </c>
    </row>
    <row r="47" spans="2:14" ht="15" customHeight="1">
      <c r="B47" s="521"/>
      <c r="C47" s="340"/>
      <c r="D47" s="20"/>
      <c r="E47" s="105"/>
      <c r="F47" s="103"/>
      <c r="G47" s="103"/>
      <c r="H47" s="103"/>
      <c r="J47" s="459"/>
      <c r="K47" s="338"/>
      <c r="L47" s="479" t="s">
        <v>671</v>
      </c>
      <c r="M47" s="478">
        <v>0.2</v>
      </c>
      <c r="N47" s="477" t="s">
        <v>0</v>
      </c>
    </row>
    <row r="48" spans="2:14" ht="15" customHeight="1">
      <c r="B48" s="517" t="str">
        <f>B$33 &amp; ".03"</f>
        <v>01.09.02.03</v>
      </c>
      <c r="C48" s="842" t="s">
        <v>1062</v>
      </c>
      <c r="D48" s="20" t="s">
        <v>93</v>
      </c>
      <c r="E48" s="105"/>
      <c r="F48" s="103"/>
      <c r="G48" s="103"/>
      <c r="H48" s="103"/>
      <c r="I48" s="280">
        <f>SUM(I49:I50)</f>
        <v>0.54999999999999993</v>
      </c>
      <c r="J48" s="447">
        <f>+I48*$E$33</f>
        <v>3.3</v>
      </c>
      <c r="K48" s="297"/>
      <c r="L48" s="423"/>
    </row>
    <row r="49" spans="2:15" ht="15" customHeight="1">
      <c r="B49" s="521"/>
      <c r="C49" s="107" t="s">
        <v>238</v>
      </c>
      <c r="D49" s="20"/>
      <c r="E49" s="105">
        <v>1</v>
      </c>
      <c r="F49" s="103"/>
      <c r="G49" s="103"/>
      <c r="H49" s="103"/>
      <c r="I49" s="448">
        <f>I34-I43</f>
        <v>0.54999999999999993</v>
      </c>
      <c r="J49" s="482"/>
      <c r="K49" s="297"/>
      <c r="L49" s="423"/>
    </row>
    <row r="50" spans="2:15" ht="15" customHeight="1">
      <c r="B50" s="521"/>
      <c r="C50" s="340"/>
      <c r="D50" s="20"/>
      <c r="E50" s="105"/>
      <c r="F50" s="103"/>
      <c r="G50" s="103"/>
      <c r="H50" s="103"/>
      <c r="J50" s="459"/>
      <c r="K50" s="439"/>
      <c r="L50" s="423"/>
    </row>
    <row r="51" spans="2:15" ht="15" customHeight="1">
      <c r="B51" s="518" t="str">
        <f>B$19 &amp; ".03"</f>
        <v>01.09.03</v>
      </c>
      <c r="C51" s="454" t="s">
        <v>467</v>
      </c>
      <c r="D51" s="196"/>
      <c r="E51" s="21">
        <f>+$E$19</f>
        <v>6</v>
      </c>
      <c r="F51" s="364"/>
      <c r="G51" s="246"/>
      <c r="H51" s="246"/>
      <c r="I51" s="246"/>
      <c r="J51" s="452"/>
      <c r="K51" s="338"/>
      <c r="L51" s="423"/>
    </row>
    <row r="52" spans="2:15" ht="15" customHeight="1">
      <c r="B52" s="517" t="str">
        <f>B$51 &amp; ".01"</f>
        <v>01.09.03.01</v>
      </c>
      <c r="C52" s="474" t="s">
        <v>604</v>
      </c>
      <c r="D52" s="20" t="s">
        <v>93</v>
      </c>
      <c r="E52" s="105"/>
      <c r="F52" s="103"/>
      <c r="H52" s="103"/>
      <c r="I52" s="280">
        <f>SUM(I53:I54)</f>
        <v>0.19600000000000001</v>
      </c>
      <c r="J52" s="447">
        <f>+I52*$E$51</f>
        <v>1.1760000000000002</v>
      </c>
      <c r="K52" s="338"/>
      <c r="L52" s="423"/>
    </row>
    <row r="53" spans="2:15" ht="15" customHeight="1">
      <c r="B53" s="521"/>
      <c r="C53" s="107" t="s">
        <v>603</v>
      </c>
      <c r="D53" s="20"/>
      <c r="E53" s="105">
        <v>2</v>
      </c>
      <c r="F53" s="103">
        <f>+M25+2*M30</f>
        <v>0.8</v>
      </c>
      <c r="G53" s="103">
        <f>+M30</f>
        <v>0.1</v>
      </c>
      <c r="H53" s="103">
        <f>+$M$27</f>
        <v>0.7</v>
      </c>
      <c r="I53" s="448">
        <f>+ROUND(PRODUCT(E53:H53),3)</f>
        <v>0.112</v>
      </c>
      <c r="J53" s="459"/>
      <c r="K53" s="338"/>
      <c r="L53" s="423"/>
    </row>
    <row r="54" spans="2:15" ht="15" customHeight="1">
      <c r="B54" s="521"/>
      <c r="C54" s="107" t="s">
        <v>602</v>
      </c>
      <c r="D54" s="20"/>
      <c r="E54" s="105">
        <v>2</v>
      </c>
      <c r="F54" s="103">
        <f>+M25</f>
        <v>0.6</v>
      </c>
      <c r="G54" s="103">
        <f>+M30</f>
        <v>0.1</v>
      </c>
      <c r="H54" s="103">
        <f>+$M$27</f>
        <v>0.7</v>
      </c>
      <c r="I54" s="448">
        <f>+ROUND(PRODUCT(E54:H54),3)</f>
        <v>8.4000000000000005E-2</v>
      </c>
      <c r="J54" s="459"/>
      <c r="K54" s="338"/>
      <c r="L54" s="423"/>
    </row>
    <row r="55" spans="2:15" ht="15" customHeight="1">
      <c r="B55" s="521"/>
      <c r="C55" s="107"/>
      <c r="D55" s="20"/>
      <c r="E55" s="105"/>
      <c r="F55" s="103"/>
      <c r="G55" s="104"/>
      <c r="H55" s="103"/>
      <c r="I55" s="448"/>
      <c r="J55" s="459"/>
      <c r="K55" s="439"/>
      <c r="L55" s="465"/>
    </row>
    <row r="56" spans="2:15" ht="15" customHeight="1">
      <c r="B56" s="517" t="str">
        <f>B$51 &amp; ".02"</f>
        <v>01.09.03.02</v>
      </c>
      <c r="C56" s="474" t="s">
        <v>1072</v>
      </c>
      <c r="D56" s="20" t="s">
        <v>93</v>
      </c>
      <c r="E56" s="105"/>
      <c r="F56" s="103"/>
      <c r="G56" s="104"/>
      <c r="H56" s="103"/>
      <c r="I56" s="280">
        <f>SUM(I57:I58)</f>
        <v>6.4000000000000001E-2</v>
      </c>
      <c r="J56" s="447">
        <f>+I56*$E$51</f>
        <v>0.38400000000000001</v>
      </c>
      <c r="K56" s="439"/>
      <c r="L56" s="465"/>
    </row>
    <row r="57" spans="2:15" ht="15" customHeight="1">
      <c r="B57" s="521"/>
      <c r="C57" s="107" t="s">
        <v>466</v>
      </c>
      <c r="D57" s="20"/>
      <c r="E57" s="105">
        <v>1</v>
      </c>
      <c r="F57" s="103">
        <v>1</v>
      </c>
      <c r="G57" s="104">
        <v>1</v>
      </c>
      <c r="H57" s="103">
        <v>0.1</v>
      </c>
      <c r="I57" s="448">
        <f>+ROUND(PRODUCT(E57:H57),3)</f>
        <v>0.1</v>
      </c>
      <c r="J57" s="459"/>
      <c r="K57" s="439"/>
      <c r="L57" s="465"/>
    </row>
    <row r="58" spans="2:15" ht="15" customHeight="1">
      <c r="B58" s="521"/>
      <c r="C58" s="107" t="s">
        <v>667</v>
      </c>
      <c r="D58" s="20"/>
      <c r="E58" s="105">
        <v>-1</v>
      </c>
      <c r="F58" s="103">
        <v>0.6</v>
      </c>
      <c r="G58" s="104">
        <v>0.6</v>
      </c>
      <c r="H58" s="103">
        <v>0.1</v>
      </c>
      <c r="I58" s="448">
        <f>+ROUND(PRODUCT(E58:H58),3)</f>
        <v>-3.5999999999999997E-2</v>
      </c>
      <c r="J58" s="459"/>
      <c r="K58" s="439"/>
      <c r="L58" s="465"/>
    </row>
    <row r="59" spans="2:15" ht="15" customHeight="1">
      <c r="B59" s="521"/>
      <c r="C59" s="475"/>
      <c r="D59" s="20"/>
      <c r="E59" s="105"/>
      <c r="F59" s="103"/>
      <c r="H59" s="103"/>
      <c r="I59" s="103"/>
      <c r="J59" s="459"/>
      <c r="K59" s="338"/>
      <c r="L59" s="465"/>
      <c r="N59" s="434"/>
      <c r="O59" s="170"/>
    </row>
    <row r="60" spans="2:15" ht="15" customHeight="1">
      <c r="B60" s="517" t="str">
        <f>B$51 &amp; ".03"</f>
        <v>01.09.03.03</v>
      </c>
      <c r="C60" s="474" t="s">
        <v>599</v>
      </c>
      <c r="D60" s="20" t="s">
        <v>55</v>
      </c>
      <c r="E60" s="105"/>
      <c r="F60" s="103"/>
      <c r="G60" s="103"/>
      <c r="H60" s="103"/>
      <c r="I60" s="280">
        <f>SUM(I61:I64)</f>
        <v>3.92</v>
      </c>
      <c r="J60" s="447">
        <f>+I60*$E$51</f>
        <v>23.52</v>
      </c>
      <c r="K60" s="338"/>
      <c r="L60" s="465"/>
      <c r="N60" s="434"/>
      <c r="O60" s="170"/>
    </row>
    <row r="61" spans="2:15" ht="15" customHeight="1">
      <c r="B61" s="521"/>
      <c r="C61" s="107" t="s">
        <v>598</v>
      </c>
      <c r="D61" s="20"/>
      <c r="E61" s="105">
        <v>2</v>
      </c>
      <c r="F61" s="103">
        <f>+$M$26+2*$M$30</f>
        <v>0.8</v>
      </c>
      <c r="H61" s="103">
        <f>+$M$27</f>
        <v>0.7</v>
      </c>
      <c r="I61" s="448">
        <f>+ROUND(PRODUCT(E61:H61),2)</f>
        <v>1.1200000000000001</v>
      </c>
      <c r="J61" s="459"/>
      <c r="K61" s="338"/>
      <c r="L61" s="465"/>
      <c r="N61" s="434"/>
      <c r="O61" s="170"/>
    </row>
    <row r="62" spans="2:15" ht="15" customHeight="1">
      <c r="B62" s="521"/>
      <c r="C62" s="107" t="s">
        <v>597</v>
      </c>
      <c r="D62" s="20"/>
      <c r="E62" s="105">
        <v>2</v>
      </c>
      <c r="F62" s="103"/>
      <c r="G62" s="103">
        <f>+$M$25+2*$M$30</f>
        <v>0.8</v>
      </c>
      <c r="H62" s="103">
        <f>+$M$27</f>
        <v>0.7</v>
      </c>
      <c r="I62" s="448">
        <f>+ROUND(PRODUCT(E62:H62),2)</f>
        <v>1.1200000000000001</v>
      </c>
      <c r="J62" s="459"/>
      <c r="K62" s="338"/>
      <c r="L62" s="465"/>
      <c r="N62" s="434"/>
      <c r="O62" s="170"/>
    </row>
    <row r="63" spans="2:15" ht="15" customHeight="1">
      <c r="B63" s="521"/>
      <c r="C63" s="107" t="s">
        <v>581</v>
      </c>
      <c r="D63" s="20"/>
      <c r="E63" s="105">
        <v>2</v>
      </c>
      <c r="F63" s="103">
        <f>+$M$26</f>
        <v>0.6</v>
      </c>
      <c r="H63" s="103">
        <f>+$M$27</f>
        <v>0.7</v>
      </c>
      <c r="I63" s="448">
        <f>+ROUND(PRODUCT(E63:H63),2)</f>
        <v>0.84</v>
      </c>
      <c r="J63" s="459"/>
      <c r="K63" s="338"/>
      <c r="L63" s="465"/>
      <c r="N63" s="434"/>
      <c r="O63" s="170"/>
    </row>
    <row r="64" spans="2:15" ht="15" customHeight="1">
      <c r="B64" s="521"/>
      <c r="C64" s="107" t="s">
        <v>580</v>
      </c>
      <c r="D64" s="20"/>
      <c r="E64" s="105">
        <v>2</v>
      </c>
      <c r="F64" s="103"/>
      <c r="G64" s="103">
        <f>+$M$25</f>
        <v>0.6</v>
      </c>
      <c r="H64" s="103">
        <f>+$M$27</f>
        <v>0.7</v>
      </c>
      <c r="I64" s="448">
        <f>+ROUND(PRODUCT(E64:H64),2)</f>
        <v>0.84</v>
      </c>
      <c r="J64" s="459"/>
      <c r="K64" s="338"/>
      <c r="L64" s="465"/>
      <c r="N64" s="434"/>
      <c r="O64" s="170"/>
    </row>
    <row r="65" spans="2:15" ht="15" customHeight="1">
      <c r="B65" s="521"/>
      <c r="C65" s="859"/>
      <c r="D65" s="20"/>
      <c r="E65" s="862"/>
      <c r="F65" s="103"/>
      <c r="G65" s="103"/>
      <c r="H65" s="103"/>
      <c r="I65" s="448"/>
      <c r="J65" s="861"/>
      <c r="K65" s="350"/>
      <c r="L65" s="423"/>
    </row>
    <row r="66" spans="2:15" ht="15" customHeight="1">
      <c r="B66" s="517" t="str">
        <f>B$51 &amp; ".04"</f>
        <v>01.09.03.04</v>
      </c>
      <c r="C66" s="863" t="s">
        <v>1071</v>
      </c>
      <c r="D66" s="20" t="s">
        <v>55</v>
      </c>
      <c r="E66" s="862"/>
      <c r="F66" s="103"/>
      <c r="G66" s="103"/>
      <c r="H66" s="103"/>
      <c r="I66" s="280">
        <f>SUM(I67:I70)</f>
        <v>0.64</v>
      </c>
      <c r="J66" s="447">
        <f>+I66*$E$51</f>
        <v>3.84</v>
      </c>
      <c r="K66" s="350"/>
      <c r="L66" s="423"/>
    </row>
    <row r="67" spans="2:15" ht="15" customHeight="1">
      <c r="B67" s="521"/>
      <c r="C67" s="859" t="s">
        <v>596</v>
      </c>
      <c r="D67" s="20"/>
      <c r="E67" s="862">
        <v>2</v>
      </c>
      <c r="F67" s="103">
        <f>+$M$33</f>
        <v>1</v>
      </c>
      <c r="G67" s="103"/>
      <c r="H67" s="103">
        <f>+$M$34</f>
        <v>0.1</v>
      </c>
      <c r="I67" s="448">
        <f>+ROUND(PRODUCT(E67:H67),2)</f>
        <v>0.2</v>
      </c>
      <c r="J67" s="861"/>
      <c r="K67" s="350"/>
      <c r="L67" s="423"/>
    </row>
    <row r="68" spans="2:15" ht="15" customHeight="1">
      <c r="B68" s="521"/>
      <c r="C68" s="859" t="s">
        <v>595</v>
      </c>
      <c r="D68" s="20"/>
      <c r="E68" s="862">
        <v>2</v>
      </c>
      <c r="F68" s="103"/>
      <c r="G68" s="103">
        <f>+$M$32</f>
        <v>1</v>
      </c>
      <c r="H68" s="103">
        <f>+$M$34</f>
        <v>0.1</v>
      </c>
      <c r="I68" s="448">
        <f>+ROUND(PRODUCT(E68:H68),2)</f>
        <v>0.2</v>
      </c>
      <c r="J68" s="861"/>
      <c r="K68" s="350"/>
      <c r="L68" s="423"/>
    </row>
    <row r="69" spans="2:15" ht="15" customHeight="1">
      <c r="B69" s="521"/>
      <c r="C69" s="859" t="s">
        <v>660</v>
      </c>
      <c r="D69" s="20"/>
      <c r="E69" s="862">
        <v>2</v>
      </c>
      <c r="F69" s="103">
        <f>+$M$26</f>
        <v>0.6</v>
      </c>
      <c r="G69" s="103"/>
      <c r="H69" s="103">
        <f>+$M$34</f>
        <v>0.1</v>
      </c>
      <c r="I69" s="448">
        <f>+ROUND(PRODUCT(E69:H69),2)</f>
        <v>0.12</v>
      </c>
      <c r="J69" s="861"/>
      <c r="K69" s="350"/>
      <c r="L69" s="423"/>
    </row>
    <row r="70" spans="2:15" ht="15" customHeight="1">
      <c r="B70" s="521"/>
      <c r="C70" s="859" t="s">
        <v>659</v>
      </c>
      <c r="D70" s="20"/>
      <c r="E70" s="862">
        <v>2</v>
      </c>
      <c r="F70" s="103"/>
      <c r="G70" s="103">
        <f>+$M$25</f>
        <v>0.6</v>
      </c>
      <c r="H70" s="103">
        <f>+$M$34</f>
        <v>0.1</v>
      </c>
      <c r="I70" s="448">
        <f>+ROUND(PRODUCT(E70:H70),2)</f>
        <v>0.12</v>
      </c>
      <c r="J70" s="861"/>
      <c r="K70" s="350"/>
      <c r="L70" s="423"/>
    </row>
    <row r="71" spans="2:15" ht="15" customHeight="1">
      <c r="B71" s="521"/>
      <c r="C71" s="859"/>
      <c r="D71" s="20"/>
      <c r="E71" s="862"/>
      <c r="F71" s="103"/>
      <c r="G71" s="103"/>
      <c r="H71" s="103"/>
      <c r="I71" s="448"/>
      <c r="J71" s="861"/>
      <c r="K71" s="350"/>
      <c r="L71" s="423"/>
    </row>
    <row r="72" spans="2:15" ht="15" customHeight="1">
      <c r="B72" s="517" t="str">
        <f>B$51 &amp; ".05"</f>
        <v>01.09.03.05</v>
      </c>
      <c r="C72" s="863" t="s">
        <v>188</v>
      </c>
      <c r="D72" s="858" t="s">
        <v>187</v>
      </c>
      <c r="E72" s="105"/>
      <c r="F72" s="103"/>
      <c r="G72" s="103"/>
      <c r="H72" s="103"/>
      <c r="I72" s="358">
        <f>SUM(I73:I73)</f>
        <v>25.715200000000003</v>
      </c>
      <c r="J72" s="929">
        <f>+I72*$E$19</f>
        <v>154.2912</v>
      </c>
      <c r="K72" s="338"/>
      <c r="L72" s="423"/>
      <c r="N72" s="434"/>
      <c r="O72" s="170"/>
    </row>
    <row r="73" spans="2:15" ht="15" customHeight="1">
      <c r="B73" s="860"/>
      <c r="C73" s="859" t="s">
        <v>663</v>
      </c>
      <c r="D73" s="858"/>
      <c r="E73" s="857">
        <v>1</v>
      </c>
      <c r="F73" s="103"/>
      <c r="G73" s="103"/>
      <c r="H73" s="103"/>
      <c r="I73" s="448">
        <f>'1.9 M-Acero'!O231</f>
        <v>25.715200000000003</v>
      </c>
      <c r="J73" s="459"/>
      <c r="K73" s="338"/>
      <c r="L73" s="423"/>
      <c r="N73" s="434"/>
      <c r="O73" s="170"/>
    </row>
    <row r="74" spans="2:15" ht="15" customHeight="1">
      <c r="B74" s="521"/>
      <c r="C74" s="107"/>
      <c r="D74" s="20"/>
      <c r="E74" s="105"/>
      <c r="F74" s="103"/>
      <c r="G74" s="103"/>
      <c r="H74" s="103"/>
      <c r="I74" s="103"/>
      <c r="J74" s="459"/>
      <c r="K74" s="338"/>
      <c r="L74" s="423"/>
    </row>
    <row r="75" spans="2:15" ht="15" customHeight="1">
      <c r="B75" s="518" t="str">
        <f>B$19 &amp; ".04"</f>
        <v>01.09.04</v>
      </c>
      <c r="C75" s="454" t="s">
        <v>182</v>
      </c>
      <c r="D75" s="20"/>
      <c r="E75" s="21">
        <f>+$E$19</f>
        <v>6</v>
      </c>
      <c r="F75" s="103"/>
      <c r="G75" s="103"/>
      <c r="H75" s="103"/>
      <c r="I75" s="103"/>
      <c r="J75" s="459"/>
      <c r="K75" s="338"/>
      <c r="L75" s="423"/>
      <c r="N75" s="434"/>
      <c r="O75" s="170"/>
    </row>
    <row r="76" spans="2:15" ht="15" customHeight="1">
      <c r="B76" s="517" t="str">
        <f>B$75 &amp; ".01"</f>
        <v>01.09.04.01</v>
      </c>
      <c r="C76" s="369" t="s">
        <v>661</v>
      </c>
      <c r="D76" s="20" t="s">
        <v>55</v>
      </c>
      <c r="E76" s="105"/>
      <c r="F76" s="103"/>
      <c r="G76" s="103"/>
      <c r="H76" s="103"/>
      <c r="I76" s="280">
        <f>SUM(I77:I80)</f>
        <v>1.92</v>
      </c>
      <c r="J76" s="447">
        <f>+I76*$E$75</f>
        <v>11.52</v>
      </c>
      <c r="K76" s="338"/>
      <c r="L76" s="423"/>
      <c r="N76" s="434"/>
      <c r="O76" s="170"/>
    </row>
    <row r="77" spans="2:15" ht="15" customHeight="1">
      <c r="B77" s="521"/>
      <c r="C77" s="107" t="s">
        <v>581</v>
      </c>
      <c r="D77" s="20"/>
      <c r="E77" s="105">
        <v>2</v>
      </c>
      <c r="F77" s="103">
        <f>+$M$26</f>
        <v>0.6</v>
      </c>
      <c r="H77" s="103">
        <f>+$M$27</f>
        <v>0.7</v>
      </c>
      <c r="I77" s="448">
        <f>+ROUND(PRODUCT(E77:H77),2)</f>
        <v>0.84</v>
      </c>
      <c r="J77" s="459"/>
      <c r="K77" s="338"/>
      <c r="L77" s="423"/>
      <c r="N77" s="434"/>
      <c r="O77" s="170"/>
    </row>
    <row r="78" spans="2:15" ht="15" customHeight="1">
      <c r="B78" s="521"/>
      <c r="C78" s="107" t="s">
        <v>580</v>
      </c>
      <c r="D78" s="20"/>
      <c r="E78" s="105">
        <v>2</v>
      </c>
      <c r="F78" s="103"/>
      <c r="G78" s="103">
        <f>+$M$25</f>
        <v>0.6</v>
      </c>
      <c r="H78" s="103">
        <f>+$M$27</f>
        <v>0.7</v>
      </c>
      <c r="I78" s="448">
        <f>+ROUND(PRODUCT(E78:H78),2)</f>
        <v>0.84</v>
      </c>
      <c r="J78" s="459"/>
      <c r="K78" s="297"/>
      <c r="L78" s="423"/>
    </row>
    <row r="79" spans="2:15" ht="15" customHeight="1">
      <c r="B79" s="521"/>
      <c r="C79" s="107" t="s">
        <v>660</v>
      </c>
      <c r="D79" s="20"/>
      <c r="E79" s="105">
        <v>2</v>
      </c>
      <c r="F79" s="103">
        <f>+$M$26</f>
        <v>0.6</v>
      </c>
      <c r="H79" s="103">
        <f>+$M$34</f>
        <v>0.1</v>
      </c>
      <c r="I79" s="448">
        <f>+ROUND(PRODUCT(E79:H79),2)</f>
        <v>0.12</v>
      </c>
      <c r="J79" s="459"/>
      <c r="K79" s="439"/>
      <c r="L79" s="423"/>
    </row>
    <row r="80" spans="2:15" ht="15" customHeight="1">
      <c r="B80" s="521"/>
      <c r="C80" s="107" t="s">
        <v>659</v>
      </c>
      <c r="D80" s="20"/>
      <c r="E80" s="105">
        <v>2</v>
      </c>
      <c r="F80" s="103"/>
      <c r="G80" s="103">
        <f>+$M$25</f>
        <v>0.6</v>
      </c>
      <c r="H80" s="103">
        <f>+$M$34</f>
        <v>0.1</v>
      </c>
      <c r="I80" s="448">
        <f>+ROUND(PRODUCT(E80:H80),2)</f>
        <v>0.12</v>
      </c>
      <c r="J80" s="459"/>
      <c r="K80" s="439"/>
    </row>
    <row r="81" spans="2:12" ht="15" customHeight="1">
      <c r="B81" s="521"/>
      <c r="C81" s="340"/>
      <c r="D81" s="20"/>
      <c r="E81" s="105"/>
      <c r="F81" s="103"/>
      <c r="G81" s="103"/>
      <c r="H81" s="103"/>
      <c r="I81" s="448"/>
      <c r="J81" s="459"/>
      <c r="K81" s="439"/>
      <c r="L81" s="423"/>
    </row>
    <row r="82" spans="2:12" ht="15" customHeight="1">
      <c r="B82" s="518" t="str">
        <f>B$19 &amp; ".05"</f>
        <v>01.09.05</v>
      </c>
      <c r="C82" s="454" t="s">
        <v>156</v>
      </c>
      <c r="D82" s="196"/>
      <c r="E82" s="21">
        <f>+$E$19</f>
        <v>6</v>
      </c>
      <c r="F82" s="364"/>
      <c r="G82" s="246"/>
      <c r="H82" s="246"/>
      <c r="I82" s="246"/>
      <c r="J82" s="452"/>
      <c r="K82" s="439"/>
      <c r="L82" s="423"/>
    </row>
    <row r="83" spans="2:12" ht="15" customHeight="1">
      <c r="B83" s="517" t="str">
        <f>B$82 &amp; ".01"</f>
        <v>01.09.05.01</v>
      </c>
      <c r="C83" s="449" t="s">
        <v>112</v>
      </c>
      <c r="D83" s="20" t="s">
        <v>93</v>
      </c>
      <c r="E83" s="105"/>
      <c r="F83" s="364"/>
      <c r="G83" s="246"/>
      <c r="H83" s="246"/>
      <c r="I83" s="280">
        <f>SUM(I84)</f>
        <v>7.1999999999999995E-2</v>
      </c>
      <c r="J83" s="447">
        <f>+I83*$E$82</f>
        <v>0.43199999999999994</v>
      </c>
      <c r="K83" s="439"/>
      <c r="L83" s="423"/>
    </row>
    <row r="84" spans="2:12" ht="15" customHeight="1">
      <c r="B84" s="517"/>
      <c r="C84" s="449"/>
      <c r="D84" s="20"/>
      <c r="E84" s="105">
        <v>1</v>
      </c>
      <c r="F84" s="103">
        <f>+M25</f>
        <v>0.6</v>
      </c>
      <c r="G84" s="103">
        <f>+M26</f>
        <v>0.6</v>
      </c>
      <c r="H84" s="103">
        <f>+M47</f>
        <v>0.2</v>
      </c>
      <c r="I84" s="448">
        <f>+ROUND(PRODUCT(E84:H84),3)</f>
        <v>7.1999999999999995E-2</v>
      </c>
      <c r="J84" s="447"/>
      <c r="K84" s="439"/>
      <c r="L84" s="423"/>
    </row>
    <row r="85" spans="2:12" ht="24" customHeight="1">
      <c r="B85" s="521"/>
      <c r="C85" s="107"/>
      <c r="D85" s="20"/>
      <c r="E85" s="105"/>
      <c r="F85" s="103"/>
      <c r="G85" s="103"/>
      <c r="H85" s="103"/>
      <c r="I85" s="103"/>
      <c r="J85" s="459"/>
      <c r="K85" s="439"/>
      <c r="L85" s="423"/>
    </row>
    <row r="86" spans="2:12" ht="15" customHeight="1">
      <c r="B86" s="518" t="str">
        <f>B$19 &amp; ".06"</f>
        <v>01.09.06</v>
      </c>
      <c r="C86" s="454" t="s">
        <v>655</v>
      </c>
      <c r="D86" s="196"/>
      <c r="E86" s="21">
        <f>+$E$20</f>
        <v>5</v>
      </c>
      <c r="F86" s="364"/>
      <c r="G86" s="246"/>
      <c r="H86" s="246"/>
      <c r="I86" s="246"/>
      <c r="J86" s="452"/>
      <c r="K86" s="439"/>
      <c r="L86" s="423"/>
    </row>
    <row r="87" spans="2:12" ht="14.25" customHeight="1">
      <c r="B87" s="519" t="str">
        <f>B$86 &amp; ".01"</f>
        <v>01.09.06.01</v>
      </c>
      <c r="C87" s="449" t="str">
        <f>"SUMINISTRO Y COLOC. DE ACCESORIOS EN VALVULA DE CONTROL "&amp;L20</f>
        <v>SUMINISTRO Y COLOC. DE ACCESORIOS EN VALVULA DE CONTROL  Ø = 1"</v>
      </c>
      <c r="D87" s="20" t="s">
        <v>58</v>
      </c>
      <c r="E87" s="105">
        <f>+E20</f>
        <v>5</v>
      </c>
      <c r="F87" s="103"/>
      <c r="G87" s="103"/>
      <c r="H87" s="103"/>
      <c r="I87" s="448">
        <f>+ROUND(PRODUCT(E87:H87),3)</f>
        <v>5</v>
      </c>
      <c r="J87" s="447">
        <f>+I87</f>
        <v>5</v>
      </c>
      <c r="K87" s="439"/>
    </row>
    <row r="88" spans="2:12" ht="15" customHeight="1">
      <c r="B88" s="519"/>
      <c r="C88" s="855" t="str">
        <f t="shared" ref="C88:C94" si="0">+M5&amp;$L$20</f>
        <v>Valvula compuerta Bronce Ø = 1"</v>
      </c>
      <c r="D88" s="20" t="s">
        <v>58</v>
      </c>
      <c r="E88" s="105">
        <f>+N5</f>
        <v>1</v>
      </c>
      <c r="F88" s="103"/>
      <c r="G88" s="103"/>
      <c r="H88" s="103"/>
      <c r="I88" s="448"/>
      <c r="J88" s="447"/>
      <c r="K88" s="439"/>
    </row>
    <row r="89" spans="2:12" ht="15" customHeight="1">
      <c r="B89" s="519"/>
      <c r="C89" s="855" t="str">
        <f t="shared" si="0"/>
        <v>Niple PVC L=2" Ø = 1"</v>
      </c>
      <c r="D89" s="20" t="s">
        <v>58</v>
      </c>
      <c r="E89" s="105">
        <f>+N6</f>
        <v>2</v>
      </c>
      <c r="F89" s="103"/>
      <c r="G89" s="103"/>
      <c r="H89" s="103"/>
      <c r="I89" s="448"/>
      <c r="J89" s="447"/>
      <c r="K89" s="439"/>
    </row>
    <row r="90" spans="2:12" ht="15" customHeight="1">
      <c r="B90" s="519"/>
      <c r="C90" s="855" t="str">
        <f t="shared" si="0"/>
        <v>Union universal PVC Ø = 1"</v>
      </c>
      <c r="D90" s="20" t="s">
        <v>58</v>
      </c>
      <c r="E90" s="105">
        <f>+N7</f>
        <v>2</v>
      </c>
      <c r="F90" s="103"/>
      <c r="G90" s="103"/>
      <c r="H90" s="103"/>
      <c r="I90" s="448"/>
      <c r="J90" s="447"/>
      <c r="K90" s="439"/>
      <c r="L90" s="423"/>
    </row>
    <row r="91" spans="2:12" ht="15" customHeight="1">
      <c r="B91" s="519"/>
      <c r="C91" s="855" t="str">
        <f t="shared" si="0"/>
        <v>Adaptador UPR PVC Ø = 1"</v>
      </c>
      <c r="D91" s="20" t="s">
        <v>58</v>
      </c>
      <c r="E91" s="105">
        <f>+N8</f>
        <v>2</v>
      </c>
      <c r="F91" s="103"/>
      <c r="G91" s="103"/>
      <c r="H91" s="103"/>
      <c r="I91" s="448"/>
      <c r="J91" s="447"/>
      <c r="K91" s="439"/>
      <c r="L91" s="423"/>
    </row>
    <row r="92" spans="2:12" ht="15" customHeight="1">
      <c r="B92" s="519"/>
      <c r="C92" s="855" t="str">
        <f t="shared" si="0"/>
        <v>Codo PVC SP x 45° Ø = 1"</v>
      </c>
      <c r="D92" s="20" t="s">
        <v>58</v>
      </c>
      <c r="E92" s="105">
        <v>4</v>
      </c>
      <c r="F92" s="103"/>
      <c r="G92" s="103"/>
      <c r="H92" s="103"/>
      <c r="I92" s="448"/>
      <c r="J92" s="447"/>
      <c r="K92" s="439"/>
      <c r="L92" s="423"/>
    </row>
    <row r="93" spans="2:12" ht="15" customHeight="1">
      <c r="B93" s="519"/>
      <c r="C93" s="855" t="str">
        <f t="shared" si="0"/>
        <v>Niple PVC L=8" Ø = 1"</v>
      </c>
      <c r="D93" s="20" t="s">
        <v>58</v>
      </c>
      <c r="E93" s="105">
        <v>2</v>
      </c>
      <c r="F93" s="103"/>
      <c r="G93" s="103"/>
      <c r="H93" s="103"/>
      <c r="I93" s="448"/>
      <c r="J93" s="447"/>
      <c r="K93" s="439"/>
      <c r="L93" s="423"/>
    </row>
    <row r="94" spans="2:12" ht="16.5" customHeight="1">
      <c r="B94" s="519"/>
      <c r="C94" s="855" t="str">
        <f t="shared" si="0"/>
        <v>Niple PVC L=7" Ø = 1"</v>
      </c>
      <c r="D94" s="20" t="s">
        <v>58</v>
      </c>
      <c r="E94" s="105">
        <f>+N11</f>
        <v>2</v>
      </c>
      <c r="F94" s="103"/>
      <c r="G94" s="103"/>
      <c r="H94" s="103"/>
      <c r="I94" s="448"/>
      <c r="J94" s="447"/>
      <c r="K94" s="439"/>
      <c r="L94" s="423"/>
    </row>
    <row r="95" spans="2:12" ht="15" customHeight="1">
      <c r="B95" s="519"/>
      <c r="C95" s="456"/>
      <c r="D95" s="20"/>
      <c r="E95" s="105"/>
      <c r="F95" s="103"/>
      <c r="G95" s="103"/>
      <c r="H95" s="103"/>
      <c r="I95" s="448"/>
      <c r="J95" s="447"/>
      <c r="K95" s="439"/>
      <c r="L95" s="423"/>
    </row>
    <row r="96" spans="2:12" ht="15" customHeight="1">
      <c r="B96" s="519" t="str">
        <f>B$86 &amp; ".02"</f>
        <v>01.09.06.02</v>
      </c>
      <c r="C96" s="449" t="str">
        <f>"SUMINISTRO Y COLOC. DE ACCESORIOS EN VALVULA DE CONTROL "&amp;L21</f>
        <v>SUMINISTRO Y COLOC. DE ACCESORIOS EN VALVULA DE CONTROL  Ø = 3/4"</v>
      </c>
      <c r="D96" s="20" t="s">
        <v>58</v>
      </c>
      <c r="E96" s="105">
        <f>+E21</f>
        <v>1</v>
      </c>
      <c r="F96" s="103"/>
      <c r="G96" s="103"/>
      <c r="H96" s="103"/>
      <c r="I96" s="448">
        <f>+ROUND(PRODUCT(E96:H96),3)</f>
        <v>1</v>
      </c>
      <c r="J96" s="447">
        <f>+I96</f>
        <v>1</v>
      </c>
      <c r="K96" s="297"/>
      <c r="L96" s="423"/>
    </row>
    <row r="97" spans="2:12" ht="14.25" customHeight="1">
      <c r="B97" s="519"/>
      <c r="C97" s="855" t="str">
        <f t="shared" ref="C97:C103" si="1">+M5&amp;$L$21</f>
        <v>Valvula compuerta Bronce Ø = 3/4"</v>
      </c>
      <c r="D97" s="20" t="s">
        <v>58</v>
      </c>
      <c r="E97" s="105">
        <f t="shared" ref="E97:E103" si="2">+N5</f>
        <v>1</v>
      </c>
      <c r="F97" s="103"/>
      <c r="G97" s="103"/>
      <c r="H97" s="103"/>
      <c r="I97" s="448"/>
      <c r="J97" s="447"/>
      <c r="K97" s="439"/>
      <c r="L97" s="423"/>
    </row>
    <row r="98" spans="2:12" ht="15" customHeight="1">
      <c r="B98" s="519"/>
      <c r="C98" s="855" t="str">
        <f t="shared" si="1"/>
        <v>Niple PVC L=2" Ø = 3/4"</v>
      </c>
      <c r="D98" s="20" t="s">
        <v>58</v>
      </c>
      <c r="E98" s="105">
        <f t="shared" si="2"/>
        <v>2</v>
      </c>
      <c r="F98" s="103"/>
      <c r="G98" s="103"/>
      <c r="H98" s="103"/>
      <c r="I98" s="448"/>
      <c r="J98" s="447"/>
      <c r="K98" s="856"/>
      <c r="L98" s="423"/>
    </row>
    <row r="99" spans="2:12" ht="15" customHeight="1">
      <c r="B99" s="519"/>
      <c r="C99" s="855" t="str">
        <f t="shared" si="1"/>
        <v>Union universal PVC Ø = 3/4"</v>
      </c>
      <c r="D99" s="20" t="s">
        <v>58</v>
      </c>
      <c r="E99" s="105">
        <f t="shared" si="2"/>
        <v>2</v>
      </c>
      <c r="F99" s="103"/>
      <c r="G99" s="103"/>
      <c r="H99" s="103"/>
      <c r="I99" s="448"/>
      <c r="J99" s="447"/>
    </row>
    <row r="100" spans="2:12" ht="15" customHeight="1">
      <c r="B100" s="519"/>
      <c r="C100" s="855" t="str">
        <f t="shared" si="1"/>
        <v>Adaptador UPR PVC Ø = 3/4"</v>
      </c>
      <c r="D100" s="20" t="s">
        <v>58</v>
      </c>
      <c r="E100" s="105">
        <f t="shared" si="2"/>
        <v>2</v>
      </c>
      <c r="F100" s="103"/>
      <c r="G100" s="103"/>
      <c r="H100" s="103"/>
      <c r="I100" s="448"/>
      <c r="J100" s="447"/>
    </row>
    <row r="101" spans="2:12" ht="15" customHeight="1">
      <c r="B101" s="519"/>
      <c r="C101" s="855" t="str">
        <f t="shared" si="1"/>
        <v>Codo PVC SP x 45° Ø = 3/4"</v>
      </c>
      <c r="D101" s="20" t="s">
        <v>58</v>
      </c>
      <c r="E101" s="105">
        <f t="shared" si="2"/>
        <v>4</v>
      </c>
      <c r="F101" s="103"/>
      <c r="G101" s="103"/>
      <c r="H101" s="103"/>
      <c r="I101" s="448"/>
      <c r="J101" s="447"/>
    </row>
    <row r="102" spans="2:12" ht="15" customHeight="1">
      <c r="B102" s="519"/>
      <c r="C102" s="855" t="str">
        <f t="shared" si="1"/>
        <v>Niple PVC L=8" Ø = 3/4"</v>
      </c>
      <c r="D102" s="20" t="s">
        <v>58</v>
      </c>
      <c r="E102" s="105">
        <f t="shared" si="2"/>
        <v>2</v>
      </c>
      <c r="F102" s="103"/>
      <c r="G102" s="103"/>
      <c r="H102" s="103"/>
      <c r="I102" s="448"/>
      <c r="J102" s="447"/>
    </row>
    <row r="103" spans="2:12" ht="15" customHeight="1">
      <c r="B103" s="519"/>
      <c r="C103" s="855" t="str">
        <f t="shared" si="1"/>
        <v>Niple PVC L=7" Ø = 3/4"</v>
      </c>
      <c r="D103" s="20" t="s">
        <v>58</v>
      </c>
      <c r="E103" s="105">
        <f t="shared" si="2"/>
        <v>2</v>
      </c>
      <c r="F103" s="103"/>
      <c r="G103" s="103"/>
      <c r="H103" s="103"/>
      <c r="I103" s="448"/>
      <c r="J103" s="447"/>
    </row>
    <row r="104" spans="2:12" ht="13.5" customHeight="1">
      <c r="B104" s="519"/>
      <c r="C104" s="449"/>
      <c r="D104" s="20"/>
      <c r="E104" s="105"/>
      <c r="F104" s="103"/>
      <c r="G104" s="103"/>
      <c r="H104" s="103"/>
      <c r="I104" s="448"/>
      <c r="J104" s="447"/>
    </row>
    <row r="105" spans="2:12" ht="15" customHeight="1">
      <c r="B105" s="518" t="str">
        <f>B$19 &amp; ".07"</f>
        <v>01.09.07</v>
      </c>
      <c r="C105" s="454" t="s">
        <v>151</v>
      </c>
      <c r="D105" s="196"/>
      <c r="E105" s="21">
        <f>+$E$19</f>
        <v>6</v>
      </c>
      <c r="F105" s="364"/>
      <c r="G105" s="246"/>
      <c r="H105" s="246"/>
      <c r="I105" s="246"/>
      <c r="J105" s="452"/>
    </row>
    <row r="106" spans="2:12" ht="32.25" customHeight="1">
      <c r="B106" s="517" t="str">
        <f>B$105 &amp; ".01"</f>
        <v>01.09.07.01</v>
      </c>
      <c r="C106" s="449" t="s">
        <v>443</v>
      </c>
      <c r="D106" s="20" t="s">
        <v>58</v>
      </c>
      <c r="E106" s="105">
        <v>1</v>
      </c>
      <c r="F106" s="103"/>
      <c r="G106" s="103"/>
      <c r="H106" s="103"/>
      <c r="I106" s="448">
        <f>+ROUND(PRODUCT(E106:H106),3)</f>
        <v>1</v>
      </c>
      <c r="J106" s="447">
        <f>+I106*$E$105</f>
        <v>6</v>
      </c>
    </row>
    <row r="107" spans="2:12" ht="15" customHeight="1" thickBot="1">
      <c r="B107" s="516"/>
      <c r="C107" s="599"/>
      <c r="D107" s="514"/>
      <c r="E107" s="513"/>
      <c r="F107" s="512"/>
      <c r="G107" s="512"/>
      <c r="H107" s="512"/>
      <c r="I107" s="512"/>
      <c r="J107" s="511"/>
    </row>
    <row r="108" spans="2:12" ht="15" customHeight="1">
      <c r="C108" s="168"/>
    </row>
    <row r="109" spans="2:12" ht="15" customHeight="1">
      <c r="C109" s="168"/>
    </row>
    <row r="110" spans="2:12" ht="15" customHeight="1">
      <c r="C110" s="168"/>
      <c r="E110" s="1116" t="s">
        <v>566</v>
      </c>
      <c r="F110" s="1117"/>
      <c r="G110" s="1117"/>
      <c r="H110" s="1117"/>
      <c r="I110" s="1117"/>
      <c r="J110" s="1118"/>
    </row>
    <row r="111" spans="2:12" ht="15" customHeight="1">
      <c r="C111" s="168"/>
      <c r="E111" s="1119" t="s">
        <v>565</v>
      </c>
      <c r="F111" s="1120"/>
      <c r="G111" s="1121" t="s">
        <v>564</v>
      </c>
      <c r="H111" s="1121" t="s">
        <v>563</v>
      </c>
      <c r="I111" s="1121" t="s">
        <v>562</v>
      </c>
      <c r="J111" s="1121" t="s">
        <v>561</v>
      </c>
    </row>
    <row r="112" spans="2:12" ht="15" customHeight="1">
      <c r="C112" s="168"/>
      <c r="E112" s="854" t="s">
        <v>560</v>
      </c>
      <c r="F112" s="854" t="s">
        <v>559</v>
      </c>
      <c r="G112" s="1122"/>
      <c r="H112" s="1122"/>
      <c r="I112" s="1122"/>
      <c r="J112" s="1122"/>
    </row>
    <row r="113" spans="3:10" ht="15" customHeight="1">
      <c r="C113" s="168"/>
      <c r="E113" s="853">
        <v>0.25</v>
      </c>
      <c r="F113" s="852">
        <v>6</v>
      </c>
      <c r="G113" s="851">
        <f t="shared" ref="G113:G121" si="3">+PI()*H113*H113/4</f>
        <v>0.31669217443593611</v>
      </c>
      <c r="H113" s="851">
        <f>2.54*1/4</f>
        <v>0.63500000000000001</v>
      </c>
      <c r="I113" s="851">
        <f>+H113*PI()</f>
        <v>1.9949113350295187</v>
      </c>
      <c r="J113" s="851">
        <v>0.222</v>
      </c>
    </row>
    <row r="114" spans="3:10" ht="15" customHeight="1">
      <c r="C114" s="168"/>
      <c r="E114" s="853"/>
      <c r="F114" s="852">
        <v>8</v>
      </c>
      <c r="G114" s="851">
        <f t="shared" si="3"/>
        <v>0.50265482457436694</v>
      </c>
      <c r="H114" s="851">
        <v>0.8</v>
      </c>
      <c r="I114" s="851"/>
      <c r="J114" s="851">
        <v>0.4</v>
      </c>
    </row>
    <row r="115" spans="3:10" ht="15" customHeight="1">
      <c r="C115" s="168"/>
      <c r="E115" s="853">
        <v>0.375</v>
      </c>
      <c r="F115" s="852" t="s">
        <v>558</v>
      </c>
      <c r="G115" s="851">
        <f t="shared" si="3"/>
        <v>0.71255739248085614</v>
      </c>
      <c r="H115" s="851">
        <f>2.54*3/8</f>
        <v>0.95250000000000001</v>
      </c>
      <c r="I115" s="851">
        <f>+H115*PI()</f>
        <v>2.9923670025442779</v>
      </c>
      <c r="J115" s="851">
        <v>0.56000000000000005</v>
      </c>
    </row>
    <row r="116" spans="3:10" ht="15" customHeight="1">
      <c r="C116" s="168"/>
      <c r="E116" s="853"/>
      <c r="F116" s="852">
        <v>12</v>
      </c>
      <c r="G116" s="851">
        <f t="shared" si="3"/>
        <v>1.1309733552923256</v>
      </c>
      <c r="H116" s="851">
        <v>1.2</v>
      </c>
      <c r="I116" s="851"/>
      <c r="J116" s="851">
        <v>0.89</v>
      </c>
    </row>
    <row r="117" spans="3:10" ht="15" customHeight="1">
      <c r="C117" s="168"/>
      <c r="E117" s="853">
        <v>0.5</v>
      </c>
      <c r="F117" s="852" t="s">
        <v>558</v>
      </c>
      <c r="G117" s="851">
        <f t="shared" si="3"/>
        <v>1.2667686977437445</v>
      </c>
      <c r="H117" s="851">
        <f>1/2*2.54</f>
        <v>1.27</v>
      </c>
      <c r="I117" s="851">
        <f>+H117*PI()</f>
        <v>3.9898226700590373</v>
      </c>
      <c r="J117" s="851">
        <v>0.99399999999999999</v>
      </c>
    </row>
    <row r="118" spans="3:10" ht="13.5">
      <c r="C118" s="168"/>
      <c r="E118" s="853">
        <v>0.625</v>
      </c>
      <c r="F118" s="852" t="s">
        <v>558</v>
      </c>
      <c r="G118" s="851">
        <f t="shared" si="3"/>
        <v>1.9793260902246004</v>
      </c>
      <c r="H118" s="851">
        <f>5/8*2.54</f>
        <v>1.5874999999999999</v>
      </c>
      <c r="I118" s="851">
        <f>+H118*PI()</f>
        <v>4.9872783375737963</v>
      </c>
      <c r="J118" s="851">
        <v>1.552</v>
      </c>
    </row>
    <row r="119" spans="3:10" ht="13.5">
      <c r="C119" s="168"/>
      <c r="E119" s="853">
        <v>0.75</v>
      </c>
      <c r="F119" s="852" t="s">
        <v>558</v>
      </c>
      <c r="G119" s="851">
        <f t="shared" si="3"/>
        <v>2.8502295699234246</v>
      </c>
      <c r="H119" s="851">
        <f>3/4*2.54</f>
        <v>1.905</v>
      </c>
      <c r="I119" s="851">
        <f>+H119*PI()</f>
        <v>5.9847340050885558</v>
      </c>
      <c r="J119" s="851">
        <v>2.2349999999999999</v>
      </c>
    </row>
    <row r="120" spans="3:10" ht="13.5">
      <c r="C120" s="168"/>
      <c r="E120" s="853">
        <v>1</v>
      </c>
      <c r="F120" s="852" t="s">
        <v>558</v>
      </c>
      <c r="G120" s="851">
        <f t="shared" si="3"/>
        <v>5.0670747909749778</v>
      </c>
      <c r="H120" s="851">
        <v>2.54</v>
      </c>
      <c r="I120" s="851">
        <f>+H120*PI()</f>
        <v>7.9796453401180747</v>
      </c>
      <c r="J120" s="851">
        <v>3.9729999999999999</v>
      </c>
    </row>
    <row r="121" spans="3:10" ht="13.5">
      <c r="C121" s="168"/>
      <c r="E121" s="853">
        <v>1.375</v>
      </c>
      <c r="F121" s="852" t="s">
        <v>558</v>
      </c>
      <c r="G121" s="851">
        <f t="shared" si="3"/>
        <v>9.5799382766870682</v>
      </c>
      <c r="H121" s="851">
        <f>1.375*2.54</f>
        <v>3.4925000000000002</v>
      </c>
      <c r="I121" s="851">
        <f>+H121*PI()</f>
        <v>10.972012342662353</v>
      </c>
      <c r="J121" s="851">
        <v>7.907</v>
      </c>
    </row>
    <row r="122" spans="3:10">
      <c r="C122" s="168"/>
    </row>
    <row r="123" spans="3:10">
      <c r="C123" s="168"/>
    </row>
    <row r="124" spans="3:10">
      <c r="C124" s="168"/>
    </row>
  </sheetData>
  <mergeCells count="15">
    <mergeCell ref="C5:H16"/>
    <mergeCell ref="B1:J1"/>
    <mergeCell ref="B3:J3"/>
    <mergeCell ref="B2:J2"/>
    <mergeCell ref="L24:N24"/>
    <mergeCell ref="L31:N31"/>
    <mergeCell ref="E110:J110"/>
    <mergeCell ref="E111:F111"/>
    <mergeCell ref="G111:G112"/>
    <mergeCell ref="H111:H112"/>
    <mergeCell ref="I111:I112"/>
    <mergeCell ref="J111:J112"/>
    <mergeCell ref="L35:N35"/>
    <mergeCell ref="L36:N36"/>
    <mergeCell ref="L40:N40"/>
  </mergeCells>
  <conditionalFormatting sqref="C43">
    <cfRule type="expression" priority="2" stopIfTrue="1">
      <formula>ROW()=CELL("fila")</formula>
    </cfRule>
  </conditionalFormatting>
  <conditionalFormatting sqref="C48">
    <cfRule type="expression" priority="1" stopIfTrue="1">
      <formula>ROW()=CELL("fila")</formula>
    </cfRule>
  </conditionalFormatting>
  <printOptions horizontalCentered="1"/>
  <pageMargins left="0.70866141732283472" right="0.70866141732283472" top="0.74803149606299213" bottom="0.94488188976377963" header="0.31496062992125984" footer="0.31496062992125984"/>
  <pageSetup paperSize="9" scale="59" fitToHeight="0" orientation="portrait" r:id="rId1"/>
  <headerFooter>
    <oddFooter>Página &amp;P&amp;R&amp;A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84B4-1DB1-45F0-A454-6CCC1DA52986}">
  <sheetPr>
    <pageSetUpPr fitToPage="1"/>
  </sheetPr>
  <dimension ref="B2:T231"/>
  <sheetViews>
    <sheetView showGridLines="0" view="pageBreakPreview" zoomScale="85" zoomScaleNormal="70" zoomScaleSheetLayoutView="85" zoomScalePageLayoutView="85" workbookViewId="0">
      <selection activeCell="X12" sqref="X12"/>
    </sheetView>
  </sheetViews>
  <sheetFormatPr baseColWidth="10" defaultColWidth="11.5" defaultRowHeight="15"/>
  <cols>
    <col min="1" max="1" width="5.6640625" style="870" customWidth="1"/>
    <col min="2" max="2" width="10.33203125" style="870" customWidth="1"/>
    <col min="3" max="3" width="9.83203125" style="870" customWidth="1"/>
    <col min="4" max="4" width="12.33203125" style="870" customWidth="1"/>
    <col min="5" max="10" width="6" style="870" customWidth="1"/>
    <col min="11" max="16384" width="11.5" style="870"/>
  </cols>
  <sheetData>
    <row r="2" spans="2:20">
      <c r="B2" s="891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1"/>
      <c r="N2" s="891"/>
      <c r="O2" s="891"/>
      <c r="P2" s="891"/>
      <c r="Q2" s="891"/>
      <c r="R2" s="891"/>
      <c r="S2" s="891"/>
      <c r="T2" s="891"/>
    </row>
    <row r="3" spans="2:20" ht="18.75">
      <c r="B3" s="946" t="s">
        <v>334</v>
      </c>
      <c r="C3" s="947"/>
      <c r="D3" s="947"/>
      <c r="E3" s="947"/>
      <c r="F3" s="947"/>
      <c r="G3" s="947"/>
      <c r="H3" s="947"/>
      <c r="I3" s="947"/>
      <c r="J3" s="947"/>
      <c r="K3" s="947"/>
      <c r="L3" s="947"/>
      <c r="M3" s="947"/>
      <c r="N3" s="947"/>
      <c r="O3" s="947"/>
      <c r="P3" s="947"/>
      <c r="Q3" s="947"/>
      <c r="R3" s="947"/>
      <c r="S3" s="947"/>
      <c r="T3" s="948"/>
    </row>
    <row r="4" spans="2:20" ht="15.75" customHeight="1">
      <c r="B4" s="1146" t="s">
        <v>1088</v>
      </c>
      <c r="C4" s="1147"/>
      <c r="D4" s="1147"/>
      <c r="E4" s="1147"/>
      <c r="F4" s="1147"/>
      <c r="G4" s="1147"/>
      <c r="H4" s="1147"/>
      <c r="I4" s="1147"/>
      <c r="J4" s="1147"/>
      <c r="K4" s="1147"/>
      <c r="L4" s="1147"/>
      <c r="M4" s="1147"/>
      <c r="N4" s="1147"/>
      <c r="O4" s="1147"/>
      <c r="P4" s="1147"/>
      <c r="Q4" s="1147"/>
      <c r="R4" s="1147"/>
      <c r="S4" s="1147"/>
      <c r="T4" s="1148"/>
    </row>
    <row r="5" spans="2:20" ht="15" customHeight="1">
      <c r="B5" s="1146"/>
      <c r="C5" s="1147"/>
      <c r="D5" s="1147"/>
      <c r="E5" s="1147"/>
      <c r="F5" s="1147"/>
      <c r="G5" s="1147"/>
      <c r="H5" s="1147"/>
      <c r="I5" s="1147"/>
      <c r="J5" s="1147"/>
      <c r="K5" s="1147"/>
      <c r="L5" s="1147"/>
      <c r="M5" s="1147"/>
      <c r="N5" s="1147"/>
      <c r="O5" s="1147"/>
      <c r="P5" s="1147"/>
      <c r="Q5" s="1147"/>
      <c r="R5" s="1147"/>
      <c r="S5" s="1147"/>
      <c r="T5" s="1148"/>
    </row>
    <row r="6" spans="2:20" ht="7.5" customHeight="1">
      <c r="B6" s="779"/>
      <c r="C6" s="778"/>
      <c r="D6" s="778"/>
      <c r="E6" s="777"/>
      <c r="F6" s="777"/>
      <c r="G6" s="777"/>
      <c r="H6" s="777"/>
      <c r="I6" s="777"/>
      <c r="J6" s="777"/>
      <c r="K6" s="777"/>
      <c r="L6" s="776"/>
      <c r="M6" s="776"/>
      <c r="N6" s="776"/>
      <c r="O6" s="776"/>
      <c r="P6" s="776"/>
      <c r="Q6" s="776"/>
      <c r="R6" s="775"/>
      <c r="S6" s="928"/>
      <c r="T6" s="927"/>
    </row>
    <row r="7" spans="2:20" ht="19.5" thickBot="1">
      <c r="B7" s="1130" t="s">
        <v>1090</v>
      </c>
      <c r="C7" s="1020"/>
      <c r="D7" s="1020"/>
      <c r="E7" s="1020"/>
      <c r="F7" s="1020"/>
      <c r="G7" s="1020"/>
      <c r="H7" s="1020"/>
      <c r="I7" s="1020"/>
      <c r="J7" s="1020"/>
      <c r="K7" s="1020"/>
      <c r="L7" s="1020"/>
      <c r="M7" s="1020"/>
      <c r="N7" s="1020"/>
      <c r="O7" s="1020"/>
      <c r="P7" s="1020"/>
      <c r="Q7" s="1020"/>
      <c r="R7" s="1020"/>
      <c r="S7" s="1020"/>
      <c r="T7" s="1131"/>
    </row>
    <row r="8" spans="2:20">
      <c r="B8" s="926"/>
      <c r="C8" s="925"/>
      <c r="D8" s="925"/>
      <c r="E8" s="925"/>
      <c r="F8" s="925"/>
      <c r="G8" s="925"/>
      <c r="H8" s="925"/>
      <c r="I8" s="925"/>
      <c r="J8" s="925"/>
      <c r="K8" s="925"/>
      <c r="L8" s="925"/>
      <c r="M8" s="925"/>
      <c r="N8" s="925"/>
      <c r="O8" s="925"/>
      <c r="P8" s="925"/>
      <c r="Q8" s="925"/>
      <c r="R8" s="925"/>
      <c r="S8" s="925"/>
      <c r="T8" s="924"/>
    </row>
    <row r="9" spans="2:20">
      <c r="B9" s="770">
        <f>+'[26]Captación Dique'!B141</f>
        <v>0</v>
      </c>
      <c r="C9" s="586"/>
      <c r="D9" s="586"/>
      <c r="E9" s="585" t="str">
        <f>+'[26]Captación Dique'!C141</f>
        <v>Ver Planilla de Metrados de Acero</v>
      </c>
      <c r="F9" s="584"/>
      <c r="G9" s="584"/>
      <c r="H9" s="584"/>
      <c r="I9" s="584"/>
      <c r="J9" s="584"/>
      <c r="K9" s="891"/>
      <c r="L9" s="891"/>
      <c r="M9" s="891"/>
      <c r="N9" s="891"/>
      <c r="O9" s="891"/>
      <c r="P9" s="891"/>
      <c r="Q9" s="891"/>
      <c r="R9" s="891"/>
      <c r="S9" s="891"/>
      <c r="T9" s="923"/>
    </row>
    <row r="10" spans="2:20">
      <c r="B10" s="919"/>
      <c r="C10" s="891"/>
      <c r="D10" s="891"/>
      <c r="E10" s="891"/>
      <c r="F10" s="891"/>
      <c r="G10" s="891"/>
      <c r="H10" s="891"/>
      <c r="I10" s="891"/>
      <c r="J10" s="891"/>
      <c r="K10" s="891"/>
      <c r="L10" s="891"/>
      <c r="M10" s="891"/>
      <c r="N10" s="891"/>
      <c r="O10" s="891"/>
      <c r="P10" s="891"/>
      <c r="Q10" s="891"/>
      <c r="R10" s="891"/>
      <c r="S10" s="891"/>
      <c r="T10" s="923"/>
    </row>
    <row r="11" spans="2:20">
      <c r="B11" s="1132" t="s">
        <v>2</v>
      </c>
      <c r="C11" s="1133"/>
      <c r="D11" s="1134"/>
      <c r="E11" s="1138" t="s">
        <v>270</v>
      </c>
      <c r="F11" s="1139"/>
      <c r="G11" s="1139"/>
      <c r="H11" s="1139"/>
      <c r="I11" s="1139"/>
      <c r="J11" s="1139"/>
      <c r="K11" s="1142" t="s">
        <v>743</v>
      </c>
      <c r="L11" s="1142" t="s">
        <v>742</v>
      </c>
      <c r="M11" s="1142" t="s">
        <v>741</v>
      </c>
      <c r="N11" s="1142" t="s">
        <v>740</v>
      </c>
      <c r="O11" s="1145" t="s">
        <v>739</v>
      </c>
      <c r="P11" s="1145"/>
      <c r="Q11" s="1145"/>
      <c r="R11" s="1145"/>
      <c r="S11" s="1145"/>
      <c r="T11" s="1145"/>
    </row>
    <row r="12" spans="2:20" ht="15.75" thickBot="1">
      <c r="B12" s="1135"/>
      <c r="C12" s="1136"/>
      <c r="D12" s="1137"/>
      <c r="E12" s="1140"/>
      <c r="F12" s="1141"/>
      <c r="G12" s="1141"/>
      <c r="H12" s="1141"/>
      <c r="I12" s="1141"/>
      <c r="J12" s="1141"/>
      <c r="K12" s="1143"/>
      <c r="L12" s="1144"/>
      <c r="M12" s="1144"/>
      <c r="N12" s="1144"/>
      <c r="O12" s="922" t="s">
        <v>929</v>
      </c>
      <c r="P12" s="922" t="s">
        <v>928</v>
      </c>
      <c r="Q12" s="922" t="s">
        <v>710</v>
      </c>
      <c r="R12" s="922" t="s">
        <v>737</v>
      </c>
      <c r="S12" s="922" t="s">
        <v>736</v>
      </c>
      <c r="T12" s="922" t="s">
        <v>735</v>
      </c>
    </row>
    <row r="13" spans="2:20" ht="15.75" thickTop="1">
      <c r="B13" s="1123" t="s">
        <v>734</v>
      </c>
      <c r="C13" s="1156" t="s">
        <v>733</v>
      </c>
      <c r="D13" s="1156" t="s">
        <v>732</v>
      </c>
      <c r="E13" s="910"/>
      <c r="F13" s="909"/>
      <c r="G13" s="909"/>
      <c r="H13" s="909"/>
      <c r="I13" s="909"/>
      <c r="J13" s="909"/>
      <c r="K13" s="908"/>
      <c r="L13" s="908"/>
      <c r="M13" s="908"/>
      <c r="N13" s="908"/>
      <c r="O13" s="908"/>
      <c r="P13" s="908"/>
      <c r="Q13" s="908"/>
      <c r="R13" s="908"/>
      <c r="S13" s="908"/>
      <c r="T13" s="908"/>
    </row>
    <row r="14" spans="2:20">
      <c r="B14" s="1124"/>
      <c r="C14" s="1150"/>
      <c r="D14" s="1150"/>
      <c r="E14" s="885"/>
      <c r="F14" s="884"/>
      <c r="G14" s="884"/>
      <c r="H14" s="884"/>
      <c r="I14" s="884"/>
      <c r="J14" s="884"/>
      <c r="K14" s="886"/>
      <c r="L14" s="882"/>
      <c r="M14" s="882"/>
      <c r="N14" s="882"/>
      <c r="O14" s="882"/>
      <c r="P14" s="882"/>
      <c r="Q14" s="882"/>
      <c r="R14" s="882"/>
      <c r="S14" s="882"/>
      <c r="T14" s="882"/>
    </row>
    <row r="15" spans="2:20">
      <c r="B15" s="1124"/>
      <c r="C15" s="1150"/>
      <c r="D15" s="1150"/>
      <c r="E15" s="885"/>
      <c r="F15" s="891"/>
      <c r="G15" s="884">
        <v>0.95</v>
      </c>
      <c r="H15" s="884"/>
      <c r="I15" s="884"/>
      <c r="J15" s="884"/>
      <c r="K15" s="882" t="s">
        <v>692</v>
      </c>
      <c r="L15" s="883">
        <v>4</v>
      </c>
      <c r="M15" s="883">
        <v>4</v>
      </c>
      <c r="N15" s="882">
        <f>+G15+H17</f>
        <v>1.1499999999999999</v>
      </c>
      <c r="O15" s="882">
        <f>IF(+$K15=O$11,+$L15*$M15*$N15,0)</f>
        <v>0</v>
      </c>
      <c r="P15" s="882">
        <f>IF(+$K15=P$12,+$L15*$M15*$N15,0)</f>
        <v>18.399999999999999</v>
      </c>
      <c r="Q15" s="882">
        <f>IF(+$K15=Q$11,+$L15*$M15*$N15,0)</f>
        <v>0</v>
      </c>
      <c r="R15" s="882">
        <f>IF(+$K15=R$11,+$L15*$M15*$N15,0)</f>
        <v>0</v>
      </c>
      <c r="S15" s="882">
        <f>IF(+$K15=S$11,+$L15*$M15*$N15,0)</f>
        <v>0</v>
      </c>
      <c r="T15" s="882">
        <f>IF(+$K15=T$11,+$L15*$M15*$N15,0)</f>
        <v>0</v>
      </c>
    </row>
    <row r="16" spans="2:20">
      <c r="B16" s="1124"/>
      <c r="C16" s="1150"/>
      <c r="D16" s="1150"/>
      <c r="E16" s="885"/>
      <c r="F16" s="891"/>
      <c r="G16" s="884"/>
      <c r="H16" s="884"/>
      <c r="I16" s="884"/>
      <c r="J16" s="884"/>
      <c r="K16" s="882"/>
      <c r="L16" s="883"/>
      <c r="M16" s="883"/>
      <c r="N16" s="882"/>
      <c r="O16" s="882"/>
      <c r="P16" s="882"/>
      <c r="Q16" s="882"/>
      <c r="R16" s="882"/>
      <c r="S16" s="882"/>
      <c r="T16" s="882"/>
    </row>
    <row r="17" spans="2:20" ht="15.75" thickBot="1">
      <c r="B17" s="1124"/>
      <c r="C17" s="1150"/>
      <c r="D17" s="1150"/>
      <c r="E17" s="885"/>
      <c r="F17" s="884"/>
      <c r="G17" s="891"/>
      <c r="H17" s="884">
        <v>0.2</v>
      </c>
      <c r="I17" s="884"/>
      <c r="J17" s="884"/>
      <c r="K17" s="886"/>
      <c r="L17" s="883"/>
      <c r="M17" s="883"/>
      <c r="N17" s="882"/>
      <c r="O17" s="882"/>
      <c r="P17" s="882"/>
      <c r="Q17" s="882"/>
      <c r="R17" s="882"/>
      <c r="S17" s="882"/>
      <c r="T17" s="882"/>
    </row>
    <row r="18" spans="2:20" ht="15.75" thickTop="1">
      <c r="B18" s="1124"/>
      <c r="C18" s="1150"/>
      <c r="D18" s="1156" t="s">
        <v>725</v>
      </c>
      <c r="E18" s="890"/>
      <c r="F18" s="889"/>
      <c r="G18" s="889">
        <v>0.2</v>
      </c>
      <c r="H18" s="889"/>
      <c r="I18" s="889"/>
      <c r="J18" s="889"/>
      <c r="K18" s="887"/>
      <c r="L18" s="887"/>
      <c r="M18" s="887"/>
      <c r="N18" s="887"/>
      <c r="O18" s="887"/>
      <c r="P18" s="887"/>
      <c r="Q18" s="887"/>
      <c r="R18" s="887"/>
      <c r="S18" s="887"/>
      <c r="T18" s="887"/>
    </row>
    <row r="19" spans="2:20">
      <c r="B19" s="1124"/>
      <c r="C19" s="1150"/>
      <c r="D19" s="1150"/>
      <c r="E19" s="885"/>
      <c r="F19" s="884">
        <v>0.2</v>
      </c>
      <c r="G19" s="1157">
        <v>0.7</v>
      </c>
      <c r="H19" s="1157"/>
      <c r="J19" s="884"/>
      <c r="K19" s="886"/>
      <c r="L19" s="886"/>
      <c r="M19" s="886"/>
      <c r="N19" s="886"/>
      <c r="O19" s="886"/>
      <c r="P19" s="886"/>
      <c r="Q19" s="886"/>
      <c r="R19" s="886"/>
      <c r="S19" s="886"/>
      <c r="T19" s="886"/>
    </row>
    <row r="20" spans="2:20">
      <c r="B20" s="1124"/>
      <c r="C20" s="1150"/>
      <c r="D20" s="1150"/>
      <c r="E20" s="885"/>
      <c r="F20" s="891"/>
      <c r="G20" s="884">
        <v>0.7</v>
      </c>
      <c r="H20" s="884"/>
      <c r="I20" s="884">
        <v>0.7</v>
      </c>
      <c r="J20" s="884"/>
      <c r="K20" s="882" t="s">
        <v>692</v>
      </c>
      <c r="L20" s="883">
        <v>1</v>
      </c>
      <c r="M20" s="883">
        <v>4</v>
      </c>
      <c r="N20" s="882">
        <f>+G22+I20+F19+G18+G19+G20</f>
        <v>3.2</v>
      </c>
      <c r="O20" s="882">
        <f>IF(+$K20=O$11,+$L20*$M20*$N20,0)</f>
        <v>0</v>
      </c>
      <c r="P20" s="882">
        <f>IF(+$K20=P$12,+$L20*$M20*$N20,0)</f>
        <v>12.8</v>
      </c>
      <c r="Q20" s="882">
        <f>IF(+$K20=Q$11,+$L20*$M20*$N20,0)</f>
        <v>0</v>
      </c>
      <c r="R20" s="882">
        <f>IF(+$K20=R$11,+$L20*$M20*$N20,0)</f>
        <v>0</v>
      </c>
      <c r="S20" s="882">
        <f>IF(+$K20=S$11,+$L20*$M20*$N20,0)</f>
        <v>0</v>
      </c>
      <c r="T20" s="882">
        <f>IF(+$K20=T$11,+$L20*$M20*$N20,0)</f>
        <v>0</v>
      </c>
    </row>
    <row r="21" spans="2:20">
      <c r="B21" s="1124"/>
      <c r="C21" s="1150"/>
      <c r="D21" s="1150"/>
      <c r="E21" s="885"/>
      <c r="F21" s="884"/>
      <c r="I21" s="884"/>
      <c r="J21" s="884"/>
      <c r="K21" s="886"/>
      <c r="L21" s="883"/>
      <c r="M21" s="883"/>
      <c r="N21" s="882"/>
      <c r="O21" s="882"/>
      <c r="P21" s="882"/>
      <c r="Q21" s="882"/>
      <c r="R21" s="882"/>
      <c r="S21" s="882"/>
      <c r="T21" s="882"/>
    </row>
    <row r="22" spans="2:20">
      <c r="B22" s="1124"/>
      <c r="C22" s="1150"/>
      <c r="D22" s="1150"/>
      <c r="E22" s="885"/>
      <c r="F22" s="884"/>
      <c r="G22" s="1155">
        <v>0.7</v>
      </c>
      <c r="H22" s="1155"/>
      <c r="I22" s="884"/>
      <c r="J22" s="884"/>
      <c r="K22" s="886"/>
      <c r="L22" s="883"/>
      <c r="M22" s="883"/>
      <c r="N22" s="882"/>
      <c r="O22" s="882"/>
      <c r="P22" s="882"/>
      <c r="Q22" s="882"/>
      <c r="R22" s="882"/>
      <c r="S22" s="882"/>
      <c r="T22" s="882"/>
    </row>
    <row r="23" spans="2:20">
      <c r="B23" s="1124"/>
      <c r="C23" s="1150"/>
      <c r="D23" s="1127" t="s">
        <v>731</v>
      </c>
      <c r="E23" s="890"/>
      <c r="F23" s="889"/>
      <c r="G23" s="889"/>
      <c r="H23" s="889"/>
      <c r="I23" s="889"/>
      <c r="J23" s="889"/>
      <c r="K23" s="887"/>
      <c r="L23" s="887"/>
      <c r="M23" s="887"/>
      <c r="N23" s="887"/>
      <c r="O23" s="887"/>
      <c r="P23" s="887"/>
      <c r="Q23" s="887"/>
      <c r="R23" s="887"/>
      <c r="S23" s="887"/>
      <c r="T23" s="887"/>
    </row>
    <row r="24" spans="2:20">
      <c r="B24" s="1124"/>
      <c r="C24" s="1150"/>
      <c r="D24" s="1128"/>
      <c r="E24" s="885"/>
      <c r="F24" s="891"/>
      <c r="G24" s="884"/>
      <c r="H24" s="884"/>
      <c r="I24" s="891"/>
      <c r="J24" s="884"/>
      <c r="K24" s="882"/>
      <c r="L24" s="883"/>
      <c r="M24" s="883"/>
      <c r="N24" s="882"/>
      <c r="O24" s="882"/>
      <c r="P24" s="882"/>
      <c r="Q24" s="882"/>
      <c r="R24" s="882"/>
      <c r="S24" s="882"/>
      <c r="T24" s="882"/>
    </row>
    <row r="25" spans="2:20">
      <c r="B25" s="1124"/>
      <c r="C25" s="1150"/>
      <c r="D25" s="1128"/>
      <c r="E25" s="885"/>
      <c r="F25" s="891"/>
      <c r="G25" s="1126">
        <v>0.92</v>
      </c>
      <c r="H25" s="1126"/>
      <c r="I25" s="891"/>
      <c r="J25" s="884"/>
      <c r="K25" s="882" t="s">
        <v>692</v>
      </c>
      <c r="L25" s="883">
        <v>4</v>
      </c>
      <c r="M25" s="883">
        <v>4</v>
      </c>
      <c r="N25" s="882">
        <f>+G25</f>
        <v>0.92</v>
      </c>
      <c r="O25" s="882">
        <f>IF(+$K25=O$11,+$L25*$M25*$N25,0)</f>
        <v>0</v>
      </c>
      <c r="P25" s="882">
        <f>IF(+$K25=P$12,+$L25*$M25*$N25,0)</f>
        <v>14.72</v>
      </c>
      <c r="Q25" s="882">
        <f>IF(+$K25=Q$11,+$L25*$M25*$N25,0)</f>
        <v>0</v>
      </c>
      <c r="R25" s="882">
        <f>IF(+$K25=R$11,+$L25*$M25*$N25,0)</f>
        <v>0</v>
      </c>
      <c r="S25" s="882">
        <f>IF(+$K25=S$11,+$L25*$M25*$N25,0)</f>
        <v>0</v>
      </c>
      <c r="T25" s="882">
        <f>IF(+$K25=T$11,+$L25*$M25*$N25,0)</f>
        <v>0</v>
      </c>
    </row>
    <row r="26" spans="2:20">
      <c r="B26" s="1124"/>
      <c r="C26" s="1150"/>
      <c r="D26" s="1128"/>
      <c r="E26" s="885"/>
      <c r="F26" s="884"/>
      <c r="G26" s="891"/>
      <c r="H26" s="891"/>
      <c r="I26" s="884"/>
      <c r="J26" s="884"/>
      <c r="K26" s="886"/>
      <c r="L26" s="883"/>
      <c r="M26" s="883"/>
      <c r="N26" s="882"/>
      <c r="O26" s="882"/>
      <c r="P26" s="882"/>
      <c r="Q26" s="882"/>
      <c r="R26" s="882"/>
      <c r="S26" s="882"/>
      <c r="T26" s="882"/>
    </row>
    <row r="27" spans="2:20">
      <c r="B27" s="1124"/>
      <c r="C27" s="1150"/>
      <c r="D27" s="1129"/>
      <c r="E27" s="896"/>
      <c r="F27" s="895"/>
      <c r="G27" s="914"/>
      <c r="H27" s="914"/>
      <c r="I27" s="895"/>
      <c r="J27" s="895"/>
      <c r="K27" s="894"/>
      <c r="L27" s="893"/>
      <c r="M27" s="893"/>
      <c r="N27" s="892"/>
      <c r="O27" s="892"/>
      <c r="P27" s="892"/>
      <c r="Q27" s="892"/>
      <c r="R27" s="892"/>
      <c r="S27" s="892"/>
      <c r="T27" s="892"/>
    </row>
    <row r="28" spans="2:20" ht="0.2" customHeight="1">
      <c r="B28" s="1124"/>
      <c r="C28" s="1150"/>
      <c r="D28" s="1127" t="s">
        <v>730</v>
      </c>
      <c r="E28" s="890"/>
      <c r="F28" s="889"/>
      <c r="G28" s="889"/>
      <c r="H28" s="889"/>
      <c r="I28" s="889"/>
      <c r="J28" s="889"/>
      <c r="K28" s="887"/>
      <c r="L28" s="887"/>
      <c r="M28" s="887"/>
      <c r="N28" s="887"/>
      <c r="O28" s="887"/>
      <c r="P28" s="887"/>
      <c r="Q28" s="887"/>
      <c r="R28" s="887"/>
      <c r="S28" s="887"/>
      <c r="T28" s="887"/>
    </row>
    <row r="29" spans="2:20" ht="0.2" customHeight="1">
      <c r="B29" s="1124"/>
      <c r="C29" s="1150"/>
      <c r="D29" s="1128"/>
      <c r="E29" s="885"/>
      <c r="F29" s="891"/>
      <c r="G29" s="884"/>
      <c r="H29" s="884"/>
      <c r="I29" s="891"/>
      <c r="J29" s="884"/>
      <c r="K29" s="882"/>
      <c r="L29" s="883"/>
      <c r="M29" s="883"/>
      <c r="N29" s="882"/>
      <c r="O29" s="882"/>
      <c r="P29" s="882"/>
      <c r="Q29" s="882"/>
      <c r="R29" s="882"/>
      <c r="S29" s="882"/>
      <c r="T29" s="882"/>
    </row>
    <row r="30" spans="2:20" ht="0.2" customHeight="1">
      <c r="B30" s="1124"/>
      <c r="C30" s="1150"/>
      <c r="D30" s="1128"/>
      <c r="E30" s="885"/>
      <c r="F30" s="891"/>
      <c r="G30" s="1126">
        <v>4.4400000000000004</v>
      </c>
      <c r="H30" s="1126"/>
      <c r="I30" s="891"/>
      <c r="J30" s="884"/>
      <c r="K30" s="882" t="s">
        <v>692</v>
      </c>
      <c r="L30" s="883">
        <v>0</v>
      </c>
      <c r="M30" s="883">
        <v>3</v>
      </c>
      <c r="N30" s="882">
        <f>+G30+I29+F29</f>
        <v>4.4400000000000004</v>
      </c>
      <c r="O30" s="882">
        <f t="shared" ref="O30:T30" si="0">IF(+$K30=O$11,+$L30*$M30*$N30,0)</f>
        <v>0</v>
      </c>
      <c r="P30" s="882">
        <f t="shared" si="0"/>
        <v>0</v>
      </c>
      <c r="Q30" s="882">
        <f t="shared" si="0"/>
        <v>0</v>
      </c>
      <c r="R30" s="882">
        <f t="shared" si="0"/>
        <v>0</v>
      </c>
      <c r="S30" s="882">
        <f t="shared" si="0"/>
        <v>0</v>
      </c>
      <c r="T30" s="882">
        <f t="shared" si="0"/>
        <v>0</v>
      </c>
    </row>
    <row r="31" spans="2:20" ht="0.2" customHeight="1">
      <c r="B31" s="1124"/>
      <c r="C31" s="1150"/>
      <c r="D31" s="1128"/>
      <c r="E31" s="885"/>
      <c r="F31" s="884"/>
      <c r="G31" s="891"/>
      <c r="H31" s="891"/>
      <c r="I31" s="884"/>
      <c r="J31" s="884"/>
      <c r="K31" s="886"/>
      <c r="L31" s="883"/>
      <c r="M31" s="883"/>
      <c r="N31" s="882"/>
      <c r="O31" s="882"/>
      <c r="P31" s="882"/>
      <c r="Q31" s="882"/>
      <c r="R31" s="882"/>
      <c r="S31" s="882"/>
      <c r="T31" s="882"/>
    </row>
    <row r="32" spans="2:20" ht="0.2" customHeight="1">
      <c r="B32" s="1124"/>
      <c r="C32" s="1150"/>
      <c r="D32" s="1129"/>
      <c r="E32" s="896"/>
      <c r="F32" s="895"/>
      <c r="G32" s="914"/>
      <c r="H32" s="914"/>
      <c r="I32" s="895"/>
      <c r="J32" s="895"/>
      <c r="K32" s="894"/>
      <c r="L32" s="893"/>
      <c r="M32" s="893"/>
      <c r="N32" s="892"/>
      <c r="O32" s="892"/>
      <c r="P32" s="892"/>
      <c r="Q32" s="892"/>
      <c r="R32" s="892"/>
      <c r="S32" s="892"/>
      <c r="T32" s="892"/>
    </row>
    <row r="33" spans="2:20" ht="0.2" customHeight="1">
      <c r="B33" s="1124"/>
      <c r="C33" s="1150"/>
      <c r="D33" s="1149" t="s">
        <v>727</v>
      </c>
      <c r="E33" s="890"/>
      <c r="F33" s="889"/>
      <c r="G33" s="889"/>
      <c r="H33" s="889"/>
      <c r="I33" s="889"/>
      <c r="J33" s="889"/>
      <c r="K33" s="887"/>
      <c r="L33" s="887"/>
      <c r="M33" s="887"/>
      <c r="N33" s="887"/>
      <c r="O33" s="887"/>
      <c r="P33" s="887"/>
      <c r="Q33" s="887"/>
      <c r="R33" s="887"/>
      <c r="S33" s="887"/>
      <c r="T33" s="887"/>
    </row>
    <row r="34" spans="2:20" ht="0.2" customHeight="1">
      <c r="B34" s="1124"/>
      <c r="C34" s="1150"/>
      <c r="D34" s="1150"/>
      <c r="E34" s="885"/>
      <c r="F34" s="891"/>
      <c r="G34" s="884"/>
      <c r="H34" s="884"/>
      <c r="I34" s="891"/>
      <c r="J34" s="884"/>
      <c r="K34" s="882"/>
      <c r="L34" s="883"/>
      <c r="M34" s="883"/>
      <c r="N34" s="882"/>
      <c r="O34" s="882"/>
      <c r="P34" s="882"/>
      <c r="Q34" s="882"/>
      <c r="R34" s="882"/>
      <c r="S34" s="882"/>
      <c r="T34" s="882"/>
    </row>
    <row r="35" spans="2:20" ht="0.2" customHeight="1">
      <c r="B35" s="1124"/>
      <c r="C35" s="1150"/>
      <c r="D35" s="1150"/>
      <c r="E35" s="885"/>
      <c r="F35" s="891"/>
      <c r="G35" s="1126">
        <v>2.98</v>
      </c>
      <c r="H35" s="1126"/>
      <c r="I35" s="891"/>
      <c r="J35" s="884"/>
      <c r="K35" s="882" t="s">
        <v>692</v>
      </c>
      <c r="L35" s="883">
        <v>0</v>
      </c>
      <c r="M35" s="883">
        <v>4</v>
      </c>
      <c r="N35" s="882">
        <f>+G35</f>
        <v>2.98</v>
      </c>
      <c r="O35" s="882">
        <f t="shared" ref="O35:T35" si="1">IF(+$K35=O$11,+$L35*$M35*$N35,0)</f>
        <v>0</v>
      </c>
      <c r="P35" s="882">
        <f t="shared" si="1"/>
        <v>0</v>
      </c>
      <c r="Q35" s="882">
        <f t="shared" si="1"/>
        <v>0</v>
      </c>
      <c r="R35" s="882">
        <f t="shared" si="1"/>
        <v>0</v>
      </c>
      <c r="S35" s="882">
        <f t="shared" si="1"/>
        <v>0</v>
      </c>
      <c r="T35" s="882">
        <f t="shared" si="1"/>
        <v>0</v>
      </c>
    </row>
    <row r="36" spans="2:20" ht="0.2" customHeight="1">
      <c r="B36" s="1124"/>
      <c r="C36" s="1150"/>
      <c r="D36" s="1150"/>
      <c r="E36" s="885"/>
      <c r="F36" s="884"/>
      <c r="G36" s="891"/>
      <c r="H36" s="891"/>
      <c r="I36" s="884"/>
      <c r="J36" s="884"/>
      <c r="K36" s="886"/>
      <c r="L36" s="883"/>
      <c r="M36" s="883"/>
      <c r="N36" s="882"/>
      <c r="O36" s="882"/>
      <c r="P36" s="882"/>
      <c r="Q36" s="882"/>
      <c r="R36" s="882"/>
      <c r="S36" s="882"/>
      <c r="T36" s="882"/>
    </row>
    <row r="37" spans="2:20" ht="0.2" customHeight="1">
      <c r="B37" s="1124"/>
      <c r="C37" s="1150"/>
      <c r="D37" s="1151"/>
      <c r="E37" s="896"/>
      <c r="F37" s="895"/>
      <c r="G37" s="914"/>
      <c r="H37" s="914"/>
      <c r="I37" s="895"/>
      <c r="J37" s="895"/>
      <c r="K37" s="894"/>
      <c r="L37" s="893"/>
      <c r="M37" s="893"/>
      <c r="N37" s="892"/>
      <c r="O37" s="892"/>
      <c r="P37" s="892"/>
      <c r="Q37" s="892"/>
      <c r="R37" s="892"/>
      <c r="S37" s="892"/>
      <c r="T37" s="892"/>
    </row>
    <row r="38" spans="2:20" ht="0.2" customHeight="1">
      <c r="B38" s="1124"/>
      <c r="C38" s="1150"/>
      <c r="D38" s="1149" t="s">
        <v>726</v>
      </c>
      <c r="E38" s="890"/>
      <c r="F38" s="889"/>
      <c r="G38" s="913"/>
      <c r="H38" s="913"/>
      <c r="I38" s="889"/>
      <c r="J38" s="889"/>
      <c r="K38" s="887"/>
      <c r="L38" s="887"/>
      <c r="M38" s="887"/>
      <c r="N38" s="887"/>
      <c r="O38" s="887"/>
      <c r="P38" s="887"/>
      <c r="Q38" s="887"/>
      <c r="R38" s="887"/>
      <c r="S38" s="887"/>
      <c r="T38" s="887"/>
    </row>
    <row r="39" spans="2:20" ht="0.2" customHeight="1">
      <c r="B39" s="1124"/>
      <c r="C39" s="1150"/>
      <c r="D39" s="1150"/>
      <c r="E39" s="885"/>
      <c r="F39" s="891"/>
      <c r="G39" s="912"/>
      <c r="H39" s="912"/>
      <c r="I39" s="891"/>
      <c r="J39" s="884"/>
      <c r="K39" s="882"/>
      <c r="L39" s="883"/>
      <c r="M39" s="883"/>
      <c r="N39" s="882"/>
      <c r="O39" s="882"/>
      <c r="P39" s="882"/>
      <c r="Q39" s="882"/>
      <c r="R39" s="882"/>
      <c r="S39" s="882"/>
      <c r="T39" s="882"/>
    </row>
    <row r="40" spans="2:20" ht="0.2" customHeight="1">
      <c r="B40" s="1124"/>
      <c r="C40" s="1150"/>
      <c r="D40" s="1150"/>
      <c r="E40" s="885"/>
      <c r="F40" s="891"/>
      <c r="G40" s="1126">
        <v>4.4400000000000004</v>
      </c>
      <c r="H40" s="1126"/>
      <c r="I40" s="891"/>
      <c r="J40" s="884"/>
      <c r="K40" s="882" t="s">
        <v>692</v>
      </c>
      <c r="L40" s="883">
        <v>0</v>
      </c>
      <c r="M40" s="883">
        <v>3</v>
      </c>
      <c r="N40" s="882">
        <f>+G40</f>
        <v>4.4400000000000004</v>
      </c>
      <c r="O40" s="882">
        <f t="shared" ref="O40:T40" si="2">IF(+$K40=O$11,+$L40*$M40*$N40,0)</f>
        <v>0</v>
      </c>
      <c r="P40" s="882">
        <f t="shared" si="2"/>
        <v>0</v>
      </c>
      <c r="Q40" s="882">
        <f t="shared" si="2"/>
        <v>0</v>
      </c>
      <c r="R40" s="882">
        <f t="shared" si="2"/>
        <v>0</v>
      </c>
      <c r="S40" s="882">
        <f t="shared" si="2"/>
        <v>0</v>
      </c>
      <c r="T40" s="882">
        <f t="shared" si="2"/>
        <v>0</v>
      </c>
    </row>
    <row r="41" spans="2:20" ht="0.2" customHeight="1">
      <c r="B41" s="1124"/>
      <c r="C41" s="1150"/>
      <c r="D41" s="1150"/>
      <c r="E41" s="885"/>
      <c r="F41" s="884"/>
      <c r="G41" s="891"/>
      <c r="H41" s="891"/>
      <c r="I41" s="884"/>
      <c r="J41" s="884"/>
      <c r="K41" s="882"/>
      <c r="L41" s="883"/>
      <c r="M41" s="883"/>
      <c r="N41" s="882"/>
      <c r="O41" s="882"/>
      <c r="P41" s="882"/>
      <c r="Q41" s="882"/>
      <c r="R41" s="882"/>
      <c r="S41" s="882"/>
      <c r="T41" s="882"/>
    </row>
    <row r="42" spans="2:20" ht="0.2" customHeight="1">
      <c r="B42" s="1124"/>
      <c r="C42" s="1151"/>
      <c r="D42" s="1151"/>
      <c r="E42" s="896"/>
      <c r="F42" s="895"/>
      <c r="G42" s="895"/>
      <c r="H42" s="895"/>
      <c r="I42" s="895"/>
      <c r="J42" s="895"/>
      <c r="K42" s="894"/>
      <c r="L42" s="893"/>
      <c r="M42" s="893"/>
      <c r="N42" s="892"/>
      <c r="O42" s="892"/>
      <c r="P42" s="892"/>
      <c r="Q42" s="892"/>
      <c r="R42" s="892"/>
      <c r="S42" s="892"/>
      <c r="T42" s="892"/>
    </row>
    <row r="43" spans="2:20" ht="0.2" customHeight="1">
      <c r="B43" s="1124"/>
      <c r="C43" s="1150" t="s">
        <v>729</v>
      </c>
      <c r="D43" s="1150" t="s">
        <v>728</v>
      </c>
      <c r="E43" s="885"/>
      <c r="F43" s="884"/>
      <c r="G43" s="884"/>
      <c r="H43" s="884"/>
      <c r="I43" s="884"/>
      <c r="J43" s="884"/>
      <c r="K43" s="886"/>
      <c r="L43" s="886"/>
      <c r="M43" s="886"/>
      <c r="N43" s="886"/>
      <c r="O43" s="886"/>
      <c r="P43" s="886"/>
      <c r="Q43" s="886"/>
      <c r="R43" s="886"/>
      <c r="S43" s="886"/>
      <c r="T43" s="886"/>
    </row>
    <row r="44" spans="2:20" ht="0.2" customHeight="1">
      <c r="B44" s="1124"/>
      <c r="C44" s="1150"/>
      <c r="D44" s="1150"/>
      <c r="E44" s="885"/>
      <c r="F44" s="884"/>
      <c r="G44" s="884"/>
      <c r="H44" s="884"/>
      <c r="I44" s="884"/>
      <c r="J44" s="884"/>
      <c r="K44" s="886"/>
      <c r="L44" s="882"/>
      <c r="M44" s="882"/>
      <c r="N44" s="882"/>
      <c r="O44" s="882"/>
      <c r="P44" s="882"/>
      <c r="Q44" s="882"/>
      <c r="R44" s="882"/>
      <c r="S44" s="882"/>
      <c r="T44" s="882"/>
    </row>
    <row r="45" spans="2:20" ht="0.2" customHeight="1">
      <c r="B45" s="1124"/>
      <c r="C45" s="1150"/>
      <c r="D45" s="1150"/>
      <c r="E45" s="885"/>
      <c r="F45" s="891"/>
      <c r="G45" s="884">
        <v>1.23</v>
      </c>
      <c r="H45" s="884"/>
      <c r="I45" s="884"/>
      <c r="J45" s="884"/>
      <c r="K45" s="882" t="s">
        <v>710</v>
      </c>
      <c r="L45" s="883">
        <v>0</v>
      </c>
      <c r="M45" s="883">
        <v>4</v>
      </c>
      <c r="N45" s="882">
        <f>+G45+H47</f>
        <v>1.33</v>
      </c>
      <c r="O45" s="882">
        <f t="shared" ref="O45:T45" si="3">IF(+$K45=O$11,+$L45*$M45*$N45,0)</f>
        <v>0</v>
      </c>
      <c r="P45" s="882">
        <f t="shared" si="3"/>
        <v>0</v>
      </c>
      <c r="Q45" s="882">
        <f t="shared" si="3"/>
        <v>0</v>
      </c>
      <c r="R45" s="882">
        <f t="shared" si="3"/>
        <v>0</v>
      </c>
      <c r="S45" s="882">
        <f t="shared" si="3"/>
        <v>0</v>
      </c>
      <c r="T45" s="882">
        <f t="shared" si="3"/>
        <v>0</v>
      </c>
    </row>
    <row r="46" spans="2:20" ht="0.2" customHeight="1">
      <c r="B46" s="1124"/>
      <c r="C46" s="1150"/>
      <c r="D46" s="1150"/>
      <c r="E46" s="885"/>
      <c r="F46" s="891"/>
      <c r="G46" s="884"/>
      <c r="H46" s="884"/>
      <c r="I46" s="884"/>
      <c r="J46" s="884"/>
      <c r="K46" s="882"/>
      <c r="L46" s="883"/>
      <c r="M46" s="883"/>
      <c r="N46" s="882"/>
      <c r="O46" s="882"/>
      <c r="P46" s="882"/>
      <c r="Q46" s="882"/>
      <c r="R46" s="882"/>
      <c r="S46" s="882"/>
      <c r="T46" s="882"/>
    </row>
    <row r="47" spans="2:20" ht="0.2" customHeight="1">
      <c r="B47" s="1124"/>
      <c r="C47" s="1150"/>
      <c r="D47" s="1150"/>
      <c r="E47" s="885"/>
      <c r="F47" s="884"/>
      <c r="G47" s="891"/>
      <c r="H47" s="884">
        <v>0.1</v>
      </c>
      <c r="I47" s="884"/>
      <c r="J47" s="884"/>
      <c r="K47" s="886"/>
      <c r="L47" s="883"/>
      <c r="M47" s="883"/>
      <c r="N47" s="882"/>
      <c r="O47" s="882"/>
      <c r="P47" s="882"/>
      <c r="Q47" s="882"/>
      <c r="R47" s="882"/>
      <c r="S47" s="882"/>
      <c r="T47" s="882"/>
    </row>
    <row r="48" spans="2:20" ht="0.2" customHeight="1">
      <c r="B48" s="1124"/>
      <c r="C48" s="1150"/>
      <c r="D48" s="1149" t="s">
        <v>725</v>
      </c>
      <c r="E48" s="890"/>
      <c r="F48" s="889"/>
      <c r="G48" s="889"/>
      <c r="H48" s="889"/>
      <c r="I48" s="889"/>
      <c r="J48" s="889"/>
      <c r="K48" s="887"/>
      <c r="L48" s="887"/>
      <c r="M48" s="887"/>
      <c r="N48" s="887"/>
      <c r="O48" s="887"/>
      <c r="P48" s="887"/>
      <c r="Q48" s="887"/>
      <c r="R48" s="887"/>
      <c r="S48" s="887"/>
      <c r="T48" s="887"/>
    </row>
    <row r="49" spans="2:20" ht="0.2" customHeight="1">
      <c r="B49" s="1124"/>
      <c r="C49" s="1150"/>
      <c r="D49" s="1150"/>
      <c r="E49" s="885"/>
      <c r="F49" s="884"/>
      <c r="G49" s="884"/>
      <c r="H49" s="884"/>
      <c r="I49" s="884"/>
      <c r="J49" s="884"/>
      <c r="K49" s="886"/>
      <c r="L49" s="886"/>
      <c r="M49" s="886"/>
      <c r="N49" s="886"/>
      <c r="O49" s="886"/>
      <c r="P49" s="886"/>
      <c r="Q49" s="886"/>
      <c r="R49" s="886"/>
      <c r="S49" s="886"/>
      <c r="T49" s="886"/>
    </row>
    <row r="50" spans="2:20" ht="0.2" customHeight="1">
      <c r="B50" s="1124"/>
      <c r="C50" s="1150"/>
      <c r="D50" s="1150"/>
      <c r="E50" s="885"/>
      <c r="F50" s="891"/>
      <c r="G50" s="884"/>
      <c r="H50" s="884"/>
      <c r="I50" s="891"/>
      <c r="J50" s="884"/>
      <c r="K50" s="882" t="s">
        <v>692</v>
      </c>
      <c r="L50" s="883">
        <v>0</v>
      </c>
      <c r="M50" s="883">
        <v>7</v>
      </c>
      <c r="N50" s="882">
        <f>+G51</f>
        <v>0.83899999999999997</v>
      </c>
      <c r="O50" s="882">
        <f t="shared" ref="O50:T50" si="4">IF(+$K50=O$11,+$L50*$M50*$N50,0)</f>
        <v>0</v>
      </c>
      <c r="P50" s="882">
        <f t="shared" si="4"/>
        <v>0</v>
      </c>
      <c r="Q50" s="882">
        <f t="shared" si="4"/>
        <v>0</v>
      </c>
      <c r="R50" s="882">
        <f t="shared" si="4"/>
        <v>0</v>
      </c>
      <c r="S50" s="882">
        <f t="shared" si="4"/>
        <v>0</v>
      </c>
      <c r="T50" s="882">
        <f t="shared" si="4"/>
        <v>0</v>
      </c>
    </row>
    <row r="51" spans="2:20" ht="0.2" customHeight="1">
      <c r="B51" s="1124"/>
      <c r="C51" s="1150"/>
      <c r="D51" s="1150"/>
      <c r="E51" s="885"/>
      <c r="F51" s="884"/>
      <c r="G51" s="1155">
        <v>0.83899999999999997</v>
      </c>
      <c r="H51" s="1155"/>
      <c r="I51" s="884"/>
      <c r="J51" s="884"/>
      <c r="K51" s="886"/>
      <c r="L51" s="883"/>
      <c r="M51" s="883"/>
      <c r="N51" s="882"/>
      <c r="O51" s="882"/>
      <c r="P51" s="882"/>
      <c r="Q51" s="882"/>
      <c r="R51" s="882"/>
      <c r="S51" s="882"/>
      <c r="T51" s="882"/>
    </row>
    <row r="52" spans="2:20" ht="0.2" customHeight="1">
      <c r="B52" s="1124"/>
      <c r="C52" s="1150"/>
      <c r="D52" s="1150"/>
      <c r="E52" s="885"/>
      <c r="F52" s="884"/>
      <c r="G52" s="884"/>
      <c r="H52" s="895"/>
      <c r="I52" s="884"/>
      <c r="J52" s="884"/>
      <c r="K52" s="886"/>
      <c r="L52" s="883"/>
      <c r="M52" s="883"/>
      <c r="N52" s="882"/>
      <c r="O52" s="882"/>
      <c r="P52" s="882"/>
      <c r="Q52" s="882"/>
      <c r="R52" s="882"/>
      <c r="S52" s="882"/>
      <c r="T52" s="882"/>
    </row>
    <row r="53" spans="2:20" ht="0.2" customHeight="1">
      <c r="B53" s="1124"/>
      <c r="C53" s="1150"/>
      <c r="D53" s="1149" t="s">
        <v>727</v>
      </c>
      <c r="E53" s="890"/>
      <c r="F53" s="889"/>
      <c r="G53" s="889"/>
      <c r="H53" s="889"/>
      <c r="I53" s="889"/>
      <c r="J53" s="889"/>
      <c r="K53" s="887"/>
      <c r="L53" s="887"/>
      <c r="M53" s="887"/>
      <c r="N53" s="887"/>
      <c r="O53" s="887"/>
      <c r="P53" s="887"/>
      <c r="Q53" s="887"/>
      <c r="R53" s="887"/>
      <c r="S53" s="887"/>
      <c r="T53" s="887"/>
    </row>
    <row r="54" spans="2:20" ht="0.2" customHeight="1">
      <c r="B54" s="1124"/>
      <c r="C54" s="1150"/>
      <c r="D54" s="1150"/>
      <c r="E54" s="885"/>
      <c r="F54" s="891"/>
      <c r="G54" s="884"/>
      <c r="H54" s="884"/>
      <c r="I54" s="891"/>
      <c r="J54" s="884"/>
      <c r="K54" s="882"/>
      <c r="L54" s="883"/>
      <c r="M54" s="883"/>
      <c r="N54" s="882"/>
      <c r="O54" s="882"/>
      <c r="P54" s="882"/>
      <c r="Q54" s="882"/>
      <c r="R54" s="882"/>
      <c r="S54" s="882"/>
      <c r="T54" s="882"/>
    </row>
    <row r="55" spans="2:20" ht="0.2" customHeight="1">
      <c r="B55" s="1124"/>
      <c r="C55" s="1150"/>
      <c r="D55" s="1150"/>
      <c r="E55" s="885"/>
      <c r="F55" s="891"/>
      <c r="G55" s="891"/>
      <c r="H55" s="891"/>
      <c r="I55" s="891"/>
      <c r="J55" s="884"/>
      <c r="K55" s="882" t="s">
        <v>710</v>
      </c>
      <c r="L55" s="883">
        <v>0</v>
      </c>
      <c r="M55" s="883">
        <v>6</v>
      </c>
      <c r="N55" s="882">
        <f>+G56</f>
        <v>0.83899999999999997</v>
      </c>
      <c r="O55" s="882">
        <f t="shared" ref="O55:T55" si="5">IF(+$K55=O$11,+$L55*$M55*$N55,0)</f>
        <v>0</v>
      </c>
      <c r="P55" s="882">
        <f t="shared" si="5"/>
        <v>0</v>
      </c>
      <c r="Q55" s="882">
        <f t="shared" si="5"/>
        <v>0</v>
      </c>
      <c r="R55" s="882">
        <f t="shared" si="5"/>
        <v>0</v>
      </c>
      <c r="S55" s="882">
        <f t="shared" si="5"/>
        <v>0</v>
      </c>
      <c r="T55" s="882">
        <f t="shared" si="5"/>
        <v>0</v>
      </c>
    </row>
    <row r="56" spans="2:20" ht="0.2" customHeight="1">
      <c r="B56" s="1124"/>
      <c r="C56" s="1150"/>
      <c r="D56" s="1150"/>
      <c r="E56" s="885"/>
      <c r="F56" s="884"/>
      <c r="G56" s="1126">
        <f>+G51</f>
        <v>0.83899999999999997</v>
      </c>
      <c r="H56" s="1126"/>
      <c r="I56" s="884"/>
      <c r="J56" s="884"/>
      <c r="K56" s="886"/>
      <c r="L56" s="883"/>
      <c r="M56" s="883"/>
      <c r="N56" s="882"/>
      <c r="O56" s="882"/>
      <c r="P56" s="882"/>
      <c r="Q56" s="882"/>
      <c r="R56" s="882"/>
      <c r="S56" s="882"/>
      <c r="T56" s="882"/>
    </row>
    <row r="57" spans="2:20" ht="0.2" customHeight="1">
      <c r="B57" s="1124"/>
      <c r="C57" s="1150"/>
      <c r="D57" s="1151"/>
      <c r="E57" s="896"/>
      <c r="F57" s="895"/>
      <c r="G57" s="914"/>
      <c r="H57" s="914"/>
      <c r="I57" s="895"/>
      <c r="J57" s="895"/>
      <c r="K57" s="894"/>
      <c r="L57" s="893"/>
      <c r="M57" s="893"/>
      <c r="N57" s="892"/>
      <c r="O57" s="892"/>
      <c r="P57" s="892"/>
      <c r="Q57" s="892"/>
      <c r="R57" s="892"/>
      <c r="S57" s="892"/>
      <c r="T57" s="892"/>
    </row>
    <row r="58" spans="2:20" ht="0.2" customHeight="1">
      <c r="B58" s="1124"/>
      <c r="C58" s="1150"/>
      <c r="D58" s="1149" t="s">
        <v>726</v>
      </c>
      <c r="E58" s="890"/>
      <c r="F58" s="889"/>
      <c r="G58" s="913"/>
      <c r="H58" s="913"/>
      <c r="I58" s="889"/>
      <c r="J58" s="889"/>
      <c r="K58" s="887"/>
      <c r="L58" s="887"/>
      <c r="M58" s="887"/>
      <c r="N58" s="887"/>
      <c r="O58" s="887"/>
      <c r="P58" s="887"/>
      <c r="Q58" s="887"/>
      <c r="R58" s="887"/>
      <c r="S58" s="887"/>
      <c r="T58" s="887"/>
    </row>
    <row r="59" spans="2:20" ht="0.2" customHeight="1">
      <c r="B59" s="1124"/>
      <c r="C59" s="1150"/>
      <c r="D59" s="1150"/>
      <c r="E59" s="885"/>
      <c r="F59" s="891"/>
      <c r="G59" s="912"/>
      <c r="H59" s="912"/>
      <c r="I59" s="891"/>
      <c r="J59" s="884"/>
      <c r="K59" s="882"/>
      <c r="L59" s="883"/>
      <c r="M59" s="883"/>
      <c r="N59" s="882"/>
      <c r="O59" s="882"/>
      <c r="P59" s="882"/>
      <c r="Q59" s="882"/>
      <c r="R59" s="882"/>
      <c r="S59" s="882"/>
      <c r="T59" s="882"/>
    </row>
    <row r="60" spans="2:20" ht="0.2" customHeight="1">
      <c r="B60" s="1124"/>
      <c r="C60" s="1150"/>
      <c r="D60" s="1150"/>
      <c r="E60" s="885"/>
      <c r="F60" s="891"/>
      <c r="G60" s="1126">
        <v>0.91</v>
      </c>
      <c r="H60" s="1126"/>
      <c r="I60" s="891"/>
      <c r="J60" s="884"/>
      <c r="K60" s="882" t="s">
        <v>710</v>
      </c>
      <c r="L60" s="883">
        <v>0</v>
      </c>
      <c r="M60" s="883">
        <f>+M45</f>
        <v>4</v>
      </c>
      <c r="N60" s="882">
        <f>+G60</f>
        <v>0.91</v>
      </c>
      <c r="O60" s="882">
        <f t="shared" ref="O60:T60" si="6">IF(+$K60=O$11,+$L60*$M60*$N60,0)</f>
        <v>0</v>
      </c>
      <c r="P60" s="882">
        <f t="shared" si="6"/>
        <v>0</v>
      </c>
      <c r="Q60" s="882">
        <f t="shared" si="6"/>
        <v>0</v>
      </c>
      <c r="R60" s="882">
        <f t="shared" si="6"/>
        <v>0</v>
      </c>
      <c r="S60" s="882">
        <f t="shared" si="6"/>
        <v>0</v>
      </c>
      <c r="T60" s="882">
        <f t="shared" si="6"/>
        <v>0</v>
      </c>
    </row>
    <row r="61" spans="2:20" ht="0.2" customHeight="1">
      <c r="B61" s="1124"/>
      <c r="C61" s="1150"/>
      <c r="D61" s="1150"/>
      <c r="E61" s="885"/>
      <c r="F61" s="884"/>
      <c r="G61" s="891"/>
      <c r="H61" s="891"/>
      <c r="I61" s="884"/>
      <c r="J61" s="884"/>
      <c r="K61" s="882"/>
      <c r="L61" s="883"/>
      <c r="M61" s="883"/>
      <c r="N61" s="882"/>
      <c r="O61" s="882"/>
      <c r="P61" s="882"/>
      <c r="Q61" s="882"/>
      <c r="R61" s="882"/>
      <c r="S61" s="882"/>
      <c r="T61" s="882"/>
    </row>
    <row r="62" spans="2:20" ht="0.2" customHeight="1">
      <c r="B62" s="1125"/>
      <c r="C62" s="1151"/>
      <c r="D62" s="1151"/>
      <c r="E62" s="896"/>
      <c r="F62" s="895"/>
      <c r="G62" s="895"/>
      <c r="H62" s="895"/>
      <c r="I62" s="895"/>
      <c r="J62" s="895"/>
      <c r="K62" s="894"/>
      <c r="L62" s="893"/>
      <c r="M62" s="893"/>
      <c r="N62" s="892"/>
      <c r="O62" s="892"/>
      <c r="P62" s="892"/>
      <c r="Q62" s="892"/>
      <c r="R62" s="892"/>
      <c r="S62" s="892"/>
      <c r="T62" s="892"/>
    </row>
    <row r="63" spans="2:20" ht="0.2" customHeight="1">
      <c r="B63" s="1152"/>
      <c r="C63" s="1150"/>
      <c r="D63" s="1150"/>
      <c r="E63" s="885"/>
      <c r="F63" s="884"/>
      <c r="G63" s="891"/>
      <c r="H63" s="884">
        <v>0.13700000000000001</v>
      </c>
      <c r="I63" s="884"/>
      <c r="J63" s="884"/>
      <c r="K63" s="886"/>
      <c r="L63" s="882"/>
      <c r="M63" s="882"/>
      <c r="N63" s="882"/>
      <c r="O63" s="882"/>
      <c r="P63" s="882"/>
      <c r="Q63" s="882"/>
      <c r="R63" s="882"/>
      <c r="S63" s="882"/>
      <c r="T63" s="882"/>
    </row>
    <row r="64" spans="2:20" ht="0.2" customHeight="1">
      <c r="B64" s="1152"/>
      <c r="C64" s="1150"/>
      <c r="D64" s="1150"/>
      <c r="E64" s="885"/>
      <c r="F64" s="884"/>
      <c r="G64" s="884"/>
      <c r="H64" s="884"/>
      <c r="I64" s="884"/>
      <c r="J64" s="884"/>
      <c r="K64" s="886"/>
      <c r="L64" s="882"/>
      <c r="M64" s="882"/>
      <c r="N64" s="882"/>
      <c r="O64" s="882"/>
      <c r="P64" s="882"/>
      <c r="Q64" s="882"/>
      <c r="R64" s="882"/>
      <c r="S64" s="882"/>
      <c r="T64" s="882"/>
    </row>
    <row r="65" spans="2:20" ht="0.2" customHeight="1">
      <c r="B65" s="1152"/>
      <c r="C65" s="1150"/>
      <c r="D65" s="1150"/>
      <c r="E65" s="885"/>
      <c r="F65" s="891"/>
      <c r="G65" s="884">
        <v>1.101</v>
      </c>
      <c r="H65" s="884"/>
      <c r="I65" s="884"/>
      <c r="J65" s="884"/>
      <c r="K65" s="882" t="s">
        <v>710</v>
      </c>
      <c r="L65" s="883">
        <v>0</v>
      </c>
      <c r="M65" s="883">
        <v>7</v>
      </c>
      <c r="N65" s="882">
        <f>+G65+G67+H63</f>
        <v>1.488</v>
      </c>
      <c r="O65" s="882">
        <f t="shared" ref="O65:T65" si="7">IF(+$K65=O$11,+$L65*$M65*$N65,0)</f>
        <v>0</v>
      </c>
      <c r="P65" s="882">
        <f t="shared" si="7"/>
        <v>0</v>
      </c>
      <c r="Q65" s="882">
        <f t="shared" si="7"/>
        <v>0</v>
      </c>
      <c r="R65" s="882">
        <f t="shared" si="7"/>
        <v>0</v>
      </c>
      <c r="S65" s="882">
        <f t="shared" si="7"/>
        <v>0</v>
      </c>
      <c r="T65" s="882">
        <f t="shared" si="7"/>
        <v>0</v>
      </c>
    </row>
    <row r="66" spans="2:20" ht="0.2" customHeight="1">
      <c r="B66" s="1152"/>
      <c r="C66" s="1150"/>
      <c r="D66" s="1150"/>
      <c r="E66" s="885"/>
      <c r="F66" s="891"/>
      <c r="G66" s="884"/>
      <c r="H66" s="884"/>
      <c r="I66" s="884"/>
      <c r="J66" s="884"/>
      <c r="K66" s="882"/>
      <c r="L66" s="883"/>
      <c r="M66" s="883"/>
      <c r="N66" s="882"/>
      <c r="O66" s="882"/>
      <c r="P66" s="882"/>
      <c r="Q66" s="882"/>
      <c r="R66" s="882"/>
      <c r="S66" s="882"/>
      <c r="T66" s="882"/>
    </row>
    <row r="67" spans="2:20" ht="0.2" customHeight="1">
      <c r="B67" s="1152"/>
      <c r="C67" s="1150"/>
      <c r="D67" s="1151"/>
      <c r="E67" s="896"/>
      <c r="F67" s="895"/>
      <c r="G67" s="895">
        <v>0.25</v>
      </c>
      <c r="H67" s="921"/>
      <c r="I67" s="895"/>
      <c r="J67" s="895"/>
      <c r="K67" s="894"/>
      <c r="L67" s="893"/>
      <c r="M67" s="893"/>
      <c r="N67" s="892"/>
      <c r="O67" s="892"/>
      <c r="P67" s="892"/>
      <c r="Q67" s="892"/>
      <c r="R67" s="892"/>
      <c r="S67" s="892"/>
      <c r="T67" s="892"/>
    </row>
    <row r="68" spans="2:20" ht="0.2" customHeight="1">
      <c r="B68" s="1152"/>
      <c r="C68" s="1154"/>
      <c r="D68" s="920"/>
      <c r="E68" s="885"/>
      <c r="F68" s="884"/>
      <c r="G68" s="884"/>
      <c r="H68" s="891"/>
      <c r="I68" s="884"/>
      <c r="J68" s="884"/>
      <c r="K68" s="919"/>
      <c r="L68" s="918"/>
      <c r="M68" s="918"/>
      <c r="N68" s="885"/>
      <c r="O68" s="885"/>
      <c r="P68" s="885"/>
      <c r="Q68" s="885"/>
      <c r="R68" s="885"/>
      <c r="S68" s="885"/>
      <c r="T68" s="882"/>
    </row>
    <row r="69" spans="2:20" ht="0.2" customHeight="1">
      <c r="B69" s="1152"/>
      <c r="C69" s="1150"/>
      <c r="D69" s="1150" t="s">
        <v>725</v>
      </c>
      <c r="E69" s="885"/>
      <c r="F69" s="884"/>
      <c r="G69" s="884"/>
      <c r="H69" s="884"/>
      <c r="I69" s="884"/>
      <c r="J69" s="884"/>
      <c r="K69" s="886"/>
      <c r="L69" s="886"/>
      <c r="M69" s="886"/>
      <c r="N69" s="886"/>
      <c r="O69" s="886"/>
      <c r="P69" s="886"/>
      <c r="Q69" s="886"/>
      <c r="R69" s="886"/>
      <c r="S69" s="886"/>
      <c r="T69" s="886"/>
    </row>
    <row r="70" spans="2:20" ht="0.2" customHeight="1">
      <c r="B70" s="1152"/>
      <c r="C70" s="1150"/>
      <c r="D70" s="1150"/>
      <c r="E70" s="885"/>
      <c r="F70" s="891"/>
      <c r="G70" s="1155">
        <v>1.26</v>
      </c>
      <c r="H70" s="1155"/>
      <c r="I70" s="891"/>
      <c r="J70" s="884"/>
      <c r="K70" s="882" t="s">
        <v>710</v>
      </c>
      <c r="L70" s="883">
        <v>0</v>
      </c>
      <c r="M70" s="883">
        <v>11</v>
      </c>
      <c r="N70" s="882">
        <f>+G70</f>
        <v>1.26</v>
      </c>
      <c r="O70" s="882">
        <f t="shared" ref="O70:T70" si="8">IF(+$K70=O$11,+$L70*$M70*$N70,0)</f>
        <v>0</v>
      </c>
      <c r="P70" s="882">
        <f t="shared" si="8"/>
        <v>0</v>
      </c>
      <c r="Q70" s="882">
        <f t="shared" si="8"/>
        <v>0</v>
      </c>
      <c r="R70" s="882">
        <f t="shared" si="8"/>
        <v>0</v>
      </c>
      <c r="S70" s="882">
        <f t="shared" si="8"/>
        <v>0</v>
      </c>
      <c r="T70" s="882">
        <f t="shared" si="8"/>
        <v>0</v>
      </c>
    </row>
    <row r="71" spans="2:20" ht="0.2" customHeight="1">
      <c r="B71" s="1152"/>
      <c r="C71" s="1150"/>
      <c r="D71" s="1150"/>
      <c r="E71" s="885"/>
      <c r="F71" s="884"/>
      <c r="G71" s="891"/>
      <c r="H71" s="891"/>
      <c r="I71" s="884"/>
      <c r="J71" s="884"/>
      <c r="K71" s="886"/>
      <c r="L71" s="883"/>
      <c r="M71" s="883"/>
      <c r="N71" s="882"/>
      <c r="O71" s="882"/>
      <c r="P71" s="882"/>
      <c r="Q71" s="882"/>
      <c r="R71" s="882"/>
      <c r="S71" s="882"/>
      <c r="T71" s="882"/>
    </row>
    <row r="72" spans="2:20" ht="0.2" customHeight="1">
      <c r="B72" s="1152"/>
      <c r="C72" s="1150"/>
      <c r="D72" s="1150"/>
      <c r="E72" s="885"/>
      <c r="F72" s="884"/>
      <c r="G72" s="884"/>
      <c r="H72" s="884"/>
      <c r="I72" s="884"/>
      <c r="J72" s="884"/>
      <c r="K72" s="886"/>
      <c r="L72" s="883"/>
      <c r="M72" s="883"/>
      <c r="N72" s="882"/>
      <c r="O72" s="882"/>
      <c r="P72" s="882"/>
      <c r="Q72" s="882"/>
      <c r="R72" s="882"/>
      <c r="S72" s="882"/>
      <c r="T72" s="882"/>
    </row>
    <row r="73" spans="2:20" ht="0.2" customHeight="1">
      <c r="B73" s="1152"/>
      <c r="C73" s="1150"/>
      <c r="D73" s="1149" t="s">
        <v>724</v>
      </c>
      <c r="E73" s="890"/>
      <c r="F73" s="889"/>
      <c r="G73" s="889"/>
      <c r="H73" s="917">
        <v>0.2</v>
      </c>
      <c r="I73" s="889"/>
      <c r="J73" s="889"/>
      <c r="K73" s="887"/>
      <c r="L73" s="887"/>
      <c r="M73" s="887"/>
      <c r="N73" s="887"/>
      <c r="O73" s="887"/>
      <c r="P73" s="887"/>
      <c r="Q73" s="887"/>
      <c r="R73" s="887"/>
      <c r="S73" s="887"/>
      <c r="T73" s="887"/>
    </row>
    <row r="74" spans="2:20" ht="0.2" customHeight="1">
      <c r="B74" s="1152"/>
      <c r="C74" s="1150"/>
      <c r="D74" s="1150"/>
      <c r="E74" s="885"/>
      <c r="F74" s="891"/>
      <c r="G74" s="884"/>
      <c r="H74" s="884"/>
      <c r="I74" s="891"/>
      <c r="J74" s="884"/>
      <c r="K74" s="882"/>
      <c r="L74" s="883"/>
      <c r="M74" s="883"/>
      <c r="N74" s="882"/>
      <c r="O74" s="882"/>
      <c r="P74" s="882"/>
      <c r="Q74" s="882"/>
      <c r="R74" s="882"/>
      <c r="S74" s="882"/>
      <c r="T74" s="882"/>
    </row>
    <row r="75" spans="2:20" ht="0.2" customHeight="1">
      <c r="B75" s="1152"/>
      <c r="C75" s="1150"/>
      <c r="D75" s="1150"/>
      <c r="E75" s="885"/>
      <c r="F75" s="891"/>
      <c r="G75" s="1126">
        <f>+G70</f>
        <v>1.26</v>
      </c>
      <c r="H75" s="1126"/>
      <c r="I75" s="891"/>
      <c r="J75" s="884"/>
      <c r="K75" s="882" t="s">
        <v>710</v>
      </c>
      <c r="L75" s="883">
        <v>0</v>
      </c>
      <c r="M75" s="883">
        <v>7</v>
      </c>
      <c r="N75" s="882">
        <f>+G75+H73+H77</f>
        <v>1.96</v>
      </c>
      <c r="O75" s="882">
        <f t="shared" ref="O75:T75" si="9">IF(+$K75=O$11,+$L75*$M75*$N75,0)</f>
        <v>0</v>
      </c>
      <c r="P75" s="882">
        <f t="shared" si="9"/>
        <v>0</v>
      </c>
      <c r="Q75" s="882">
        <f t="shared" si="9"/>
        <v>0</v>
      </c>
      <c r="R75" s="882">
        <f t="shared" si="9"/>
        <v>0</v>
      </c>
      <c r="S75" s="882">
        <f t="shared" si="9"/>
        <v>0</v>
      </c>
      <c r="T75" s="882">
        <f t="shared" si="9"/>
        <v>0</v>
      </c>
    </row>
    <row r="76" spans="2:20" ht="0.2" customHeight="1">
      <c r="B76" s="1152"/>
      <c r="C76" s="1150"/>
      <c r="D76" s="1150"/>
      <c r="E76" s="885"/>
      <c r="F76" s="884"/>
      <c r="G76" s="891"/>
      <c r="H76" s="891"/>
      <c r="I76" s="884"/>
      <c r="J76" s="884"/>
      <c r="K76" s="886"/>
      <c r="L76" s="883"/>
      <c r="M76" s="883"/>
      <c r="N76" s="882"/>
      <c r="O76" s="882"/>
      <c r="P76" s="882"/>
      <c r="Q76" s="882"/>
      <c r="R76" s="882"/>
      <c r="S76" s="882"/>
      <c r="T76" s="882"/>
    </row>
    <row r="77" spans="2:20" ht="0.2" customHeight="1">
      <c r="B77" s="1152"/>
      <c r="C77" s="1150"/>
      <c r="D77" s="1151"/>
      <c r="E77" s="896"/>
      <c r="F77" s="895"/>
      <c r="G77" s="914"/>
      <c r="H77" s="916">
        <v>0.5</v>
      </c>
      <c r="I77" s="895"/>
      <c r="J77" s="895"/>
      <c r="K77" s="894"/>
      <c r="L77" s="893"/>
      <c r="M77" s="893"/>
      <c r="N77" s="892"/>
      <c r="O77" s="892"/>
      <c r="P77" s="892"/>
      <c r="Q77" s="892"/>
      <c r="R77" s="892"/>
      <c r="S77" s="892"/>
      <c r="T77" s="892"/>
    </row>
    <row r="78" spans="2:20" ht="0.2" customHeight="1">
      <c r="B78" s="1152"/>
      <c r="C78" s="1150"/>
      <c r="D78" s="1149" t="s">
        <v>723</v>
      </c>
      <c r="E78" s="890"/>
      <c r="F78" s="889"/>
      <c r="G78" s="913"/>
      <c r="H78" s="913"/>
      <c r="I78" s="889"/>
      <c r="J78" s="889"/>
      <c r="K78" s="887"/>
      <c r="L78" s="887"/>
      <c r="M78" s="887"/>
      <c r="N78" s="887"/>
      <c r="O78" s="887"/>
      <c r="P78" s="887"/>
      <c r="Q78" s="887"/>
      <c r="R78" s="887"/>
      <c r="S78" s="887"/>
      <c r="T78" s="887"/>
    </row>
    <row r="79" spans="2:20" ht="0.2" customHeight="1">
      <c r="B79" s="1152"/>
      <c r="C79" s="1150"/>
      <c r="D79" s="1150"/>
      <c r="E79" s="885"/>
      <c r="F79" s="891"/>
      <c r="G79" s="912"/>
      <c r="H79" s="912"/>
      <c r="I79" s="891"/>
      <c r="J79" s="884"/>
      <c r="K79" s="882"/>
      <c r="L79" s="883"/>
      <c r="M79" s="883"/>
      <c r="N79" s="882"/>
      <c r="O79" s="882"/>
      <c r="P79" s="882"/>
      <c r="Q79" s="882"/>
      <c r="R79" s="882"/>
      <c r="S79" s="882"/>
      <c r="T79" s="882"/>
    </row>
    <row r="80" spans="2:20" ht="0.2" customHeight="1">
      <c r="B80" s="1152"/>
      <c r="C80" s="1150"/>
      <c r="D80" s="1150"/>
      <c r="E80" s="885"/>
      <c r="F80" s="891"/>
      <c r="G80" s="1126">
        <v>0.69499999999999995</v>
      </c>
      <c r="H80" s="1126"/>
      <c r="I80" s="891"/>
      <c r="J80" s="884"/>
      <c r="K80" s="882" t="s">
        <v>710</v>
      </c>
      <c r="L80" s="883">
        <v>0</v>
      </c>
      <c r="M80" s="883">
        <v>4</v>
      </c>
      <c r="N80" s="882">
        <f>+G80</f>
        <v>0.69499999999999995</v>
      </c>
      <c r="O80" s="882">
        <f t="shared" ref="O80:T80" si="10">IF(+$K80=O$11,+$L80*$M80*$N80,0)</f>
        <v>0</v>
      </c>
      <c r="P80" s="882">
        <f t="shared" si="10"/>
        <v>0</v>
      </c>
      <c r="Q80" s="882">
        <f t="shared" si="10"/>
        <v>0</v>
      </c>
      <c r="R80" s="882">
        <f t="shared" si="10"/>
        <v>0</v>
      </c>
      <c r="S80" s="882">
        <f t="shared" si="10"/>
        <v>0</v>
      </c>
      <c r="T80" s="882">
        <f t="shared" si="10"/>
        <v>0</v>
      </c>
    </row>
    <row r="81" spans="2:20" ht="0.2" customHeight="1">
      <c r="B81" s="1152"/>
      <c r="C81" s="1150"/>
      <c r="D81" s="1150"/>
      <c r="E81" s="885"/>
      <c r="F81" s="884"/>
      <c r="G81" s="891"/>
      <c r="H81" s="891"/>
      <c r="I81" s="884"/>
      <c r="J81" s="884"/>
      <c r="K81" s="882"/>
      <c r="L81" s="883"/>
      <c r="M81" s="883"/>
      <c r="N81" s="882"/>
      <c r="O81" s="882"/>
      <c r="P81" s="882"/>
      <c r="Q81" s="882"/>
      <c r="R81" s="882"/>
      <c r="S81" s="882"/>
      <c r="T81" s="882"/>
    </row>
    <row r="82" spans="2:20" ht="0.2" customHeight="1">
      <c r="B82" s="1152"/>
      <c r="C82" s="1151"/>
      <c r="D82" s="1151"/>
      <c r="E82" s="896"/>
      <c r="F82" s="895"/>
      <c r="G82" s="895"/>
      <c r="H82" s="895"/>
      <c r="I82" s="895"/>
      <c r="J82" s="895"/>
      <c r="K82" s="894"/>
      <c r="L82" s="893"/>
      <c r="M82" s="893"/>
      <c r="N82" s="892"/>
      <c r="O82" s="892"/>
      <c r="P82" s="892"/>
      <c r="Q82" s="892"/>
      <c r="R82" s="892"/>
      <c r="S82" s="892"/>
      <c r="T82" s="892"/>
    </row>
    <row r="83" spans="2:20" ht="0.2" customHeight="1">
      <c r="B83" s="1152"/>
      <c r="C83" s="915"/>
      <c r="D83" s="1149" t="s">
        <v>722</v>
      </c>
      <c r="E83" s="890"/>
      <c r="F83" s="889"/>
      <c r="G83" s="913"/>
      <c r="H83" s="913"/>
      <c r="I83" s="889"/>
      <c r="J83" s="889"/>
      <c r="K83" s="887"/>
      <c r="L83" s="887"/>
      <c r="M83" s="887"/>
      <c r="N83" s="887"/>
      <c r="O83" s="887"/>
      <c r="P83" s="887"/>
      <c r="Q83" s="887"/>
      <c r="R83" s="887"/>
      <c r="S83" s="887"/>
      <c r="T83" s="887"/>
    </row>
    <row r="84" spans="2:20" ht="0.2" customHeight="1">
      <c r="B84" s="1152"/>
      <c r="C84" s="915"/>
      <c r="D84" s="1150"/>
      <c r="E84" s="885"/>
      <c r="F84" s="891"/>
      <c r="G84" s="912"/>
      <c r="H84" s="912"/>
      <c r="I84" s="891"/>
      <c r="J84" s="884"/>
      <c r="K84" s="882"/>
      <c r="L84" s="883"/>
      <c r="M84" s="883"/>
      <c r="N84" s="882"/>
      <c r="O84" s="882"/>
      <c r="P84" s="882"/>
      <c r="Q84" s="882"/>
      <c r="R84" s="882"/>
      <c r="S84" s="882"/>
      <c r="T84" s="882"/>
    </row>
    <row r="85" spans="2:20" ht="0.2" customHeight="1">
      <c r="B85" s="1152"/>
      <c r="C85" s="915"/>
      <c r="D85" s="1150"/>
      <c r="E85" s="885"/>
      <c r="F85" s="891"/>
      <c r="G85" s="1126">
        <v>0.76</v>
      </c>
      <c r="H85" s="1126"/>
      <c r="I85" s="891"/>
      <c r="J85" s="884"/>
      <c r="K85" s="882" t="s">
        <v>710</v>
      </c>
      <c r="L85" s="883">
        <v>0</v>
      </c>
      <c r="M85" s="883">
        <v>5</v>
      </c>
      <c r="N85" s="882">
        <f>+G85</f>
        <v>0.76</v>
      </c>
      <c r="O85" s="882">
        <f t="shared" ref="O85:T85" si="11">IF(+$K85=O$11,+$L85*$M85*$N85,0)</f>
        <v>0</v>
      </c>
      <c r="P85" s="882">
        <f t="shared" si="11"/>
        <v>0</v>
      </c>
      <c r="Q85" s="882">
        <f t="shared" si="11"/>
        <v>0</v>
      </c>
      <c r="R85" s="882">
        <f t="shared" si="11"/>
        <v>0</v>
      </c>
      <c r="S85" s="882">
        <f t="shared" si="11"/>
        <v>0</v>
      </c>
      <c r="T85" s="882">
        <f t="shared" si="11"/>
        <v>0</v>
      </c>
    </row>
    <row r="86" spans="2:20" ht="0.2" customHeight="1">
      <c r="B86" s="1152"/>
      <c r="C86" s="915"/>
      <c r="D86" s="1150"/>
      <c r="E86" s="885"/>
      <c r="F86" s="884"/>
      <c r="G86" s="891"/>
      <c r="H86" s="891"/>
      <c r="I86" s="884"/>
      <c r="J86" s="884"/>
      <c r="K86" s="882"/>
      <c r="L86" s="883"/>
      <c r="M86" s="883"/>
      <c r="N86" s="882"/>
      <c r="O86" s="882"/>
      <c r="P86" s="882"/>
      <c r="Q86" s="882"/>
      <c r="R86" s="882"/>
      <c r="S86" s="882"/>
      <c r="T86" s="882"/>
    </row>
    <row r="87" spans="2:20" ht="0.2" customHeight="1">
      <c r="B87" s="1152"/>
      <c r="C87" s="915"/>
      <c r="D87" s="1151"/>
      <c r="E87" s="896"/>
      <c r="F87" s="895"/>
      <c r="G87" s="895"/>
      <c r="H87" s="895"/>
      <c r="I87" s="895"/>
      <c r="J87" s="895"/>
      <c r="K87" s="894"/>
      <c r="L87" s="893"/>
      <c r="M87" s="893"/>
      <c r="N87" s="892"/>
      <c r="O87" s="892"/>
      <c r="P87" s="892"/>
      <c r="Q87" s="892"/>
      <c r="R87" s="892"/>
      <c r="S87" s="892"/>
      <c r="T87" s="892"/>
    </row>
    <row r="88" spans="2:20" ht="0.2" customHeight="1">
      <c r="B88" s="1152"/>
      <c r="C88" s="1150"/>
      <c r="D88" s="1150"/>
      <c r="E88" s="885"/>
      <c r="F88" s="884"/>
      <c r="G88" s="891"/>
      <c r="H88" s="884">
        <v>0.2</v>
      </c>
      <c r="I88" s="884"/>
      <c r="J88" s="884"/>
      <c r="K88" s="886"/>
      <c r="L88" s="882"/>
      <c r="M88" s="882"/>
      <c r="N88" s="882"/>
      <c r="O88" s="882"/>
      <c r="P88" s="882"/>
      <c r="Q88" s="882"/>
      <c r="R88" s="882"/>
      <c r="S88" s="882"/>
      <c r="T88" s="882"/>
    </row>
    <row r="89" spans="2:20" ht="0.2" customHeight="1">
      <c r="B89" s="1152"/>
      <c r="C89" s="1150"/>
      <c r="D89" s="1150"/>
      <c r="E89" s="885"/>
      <c r="F89" s="884"/>
      <c r="G89" s="884"/>
      <c r="H89" s="884"/>
      <c r="I89" s="884"/>
      <c r="J89" s="884"/>
      <c r="K89" s="886"/>
      <c r="L89" s="882"/>
      <c r="M89" s="882"/>
      <c r="N89" s="882"/>
      <c r="O89" s="882"/>
      <c r="P89" s="882"/>
      <c r="Q89" s="882"/>
      <c r="R89" s="882"/>
      <c r="S89" s="882"/>
      <c r="T89" s="882"/>
    </row>
    <row r="90" spans="2:20" ht="0.2" customHeight="1">
      <c r="B90" s="1152"/>
      <c r="C90" s="1150"/>
      <c r="D90" s="1150"/>
      <c r="E90" s="885"/>
      <c r="F90" s="891"/>
      <c r="G90" s="884">
        <v>0.2</v>
      </c>
      <c r="H90" s="884"/>
      <c r="I90" s="884"/>
      <c r="J90" s="884"/>
      <c r="K90" s="882" t="s">
        <v>692</v>
      </c>
      <c r="L90" s="883">
        <v>0</v>
      </c>
      <c r="M90" s="883">
        <v>4</v>
      </c>
      <c r="N90" s="882">
        <f>+G90+H92+H88</f>
        <v>0.4</v>
      </c>
      <c r="O90" s="882">
        <f t="shared" ref="O90:T90" si="12">IF(+$K90=O$11,+$L90*$M90*$N90,0)</f>
        <v>0</v>
      </c>
      <c r="P90" s="882">
        <f t="shared" si="12"/>
        <v>0</v>
      </c>
      <c r="Q90" s="882">
        <f t="shared" si="12"/>
        <v>0</v>
      </c>
      <c r="R90" s="882">
        <f t="shared" si="12"/>
        <v>0</v>
      </c>
      <c r="S90" s="882">
        <f t="shared" si="12"/>
        <v>0</v>
      </c>
      <c r="T90" s="882">
        <f t="shared" si="12"/>
        <v>0</v>
      </c>
    </row>
    <row r="91" spans="2:20" ht="0.2" customHeight="1">
      <c r="B91" s="1152"/>
      <c r="C91" s="1150"/>
      <c r="D91" s="1150"/>
      <c r="E91" s="885"/>
      <c r="F91" s="891"/>
      <c r="G91" s="884"/>
      <c r="H91" s="884"/>
      <c r="I91" s="884"/>
      <c r="J91" s="884"/>
      <c r="K91" s="882"/>
      <c r="L91" s="883"/>
      <c r="M91" s="883"/>
      <c r="N91" s="882"/>
      <c r="O91" s="882"/>
      <c r="P91" s="882"/>
      <c r="Q91" s="882"/>
      <c r="R91" s="882"/>
      <c r="S91" s="882"/>
      <c r="T91" s="882"/>
    </row>
    <row r="92" spans="2:20" ht="0.2" customHeight="1">
      <c r="B92" s="1152"/>
      <c r="C92" s="1150"/>
      <c r="D92" s="1150"/>
      <c r="E92" s="885"/>
      <c r="F92" s="884"/>
      <c r="G92" s="884"/>
      <c r="H92" s="884"/>
      <c r="I92" s="884"/>
      <c r="J92" s="884"/>
      <c r="K92" s="886"/>
      <c r="L92" s="883"/>
      <c r="M92" s="883"/>
      <c r="N92" s="882"/>
      <c r="O92" s="882"/>
      <c r="P92" s="882"/>
      <c r="Q92" s="882"/>
      <c r="R92" s="882"/>
      <c r="S92" s="882"/>
      <c r="T92" s="882"/>
    </row>
    <row r="93" spans="2:20" ht="0.2" customHeight="1">
      <c r="B93" s="1152"/>
      <c r="C93" s="1150"/>
      <c r="D93" s="1149" t="s">
        <v>721</v>
      </c>
      <c r="E93" s="890"/>
      <c r="F93" s="889"/>
      <c r="G93" s="889"/>
      <c r="H93" s="889"/>
      <c r="I93" s="889"/>
      <c r="J93" s="889"/>
      <c r="K93" s="887"/>
      <c r="L93" s="887"/>
      <c r="M93" s="887"/>
      <c r="N93" s="887"/>
      <c r="O93" s="887"/>
      <c r="P93" s="887"/>
      <c r="Q93" s="887"/>
      <c r="R93" s="887"/>
      <c r="S93" s="887"/>
      <c r="T93" s="887"/>
    </row>
    <row r="94" spans="2:20" ht="0.2" customHeight="1">
      <c r="B94" s="1152"/>
      <c r="C94" s="1150"/>
      <c r="D94" s="1150"/>
      <c r="E94" s="885"/>
      <c r="F94" s="884"/>
      <c r="G94" s="884"/>
      <c r="H94" s="884"/>
      <c r="I94" s="884"/>
      <c r="J94" s="884"/>
      <c r="K94" s="886"/>
      <c r="L94" s="886"/>
      <c r="M94" s="886"/>
      <c r="N94" s="886"/>
      <c r="O94" s="886"/>
      <c r="P94" s="886"/>
      <c r="Q94" s="886"/>
      <c r="R94" s="886"/>
      <c r="S94" s="886"/>
      <c r="T94" s="886"/>
    </row>
    <row r="95" spans="2:20" ht="0.2" customHeight="1">
      <c r="B95" s="1152"/>
      <c r="C95" s="1150"/>
      <c r="D95" s="1150"/>
      <c r="E95" s="885"/>
      <c r="F95" s="891"/>
      <c r="G95" s="898">
        <v>0.1</v>
      </c>
      <c r="H95" s="898"/>
      <c r="I95" s="891"/>
      <c r="J95" s="884"/>
      <c r="K95" s="882" t="s">
        <v>692</v>
      </c>
      <c r="L95" s="883">
        <v>0</v>
      </c>
      <c r="M95" s="883">
        <v>2</v>
      </c>
      <c r="N95" s="882">
        <f>+G95</f>
        <v>0.1</v>
      </c>
      <c r="O95" s="882">
        <f t="shared" ref="O95:T95" si="13">IF(+$K95=O$11,+$L95*$M95*$N95,0)</f>
        <v>0</v>
      </c>
      <c r="P95" s="882">
        <f t="shared" si="13"/>
        <v>0</v>
      </c>
      <c r="Q95" s="882">
        <f t="shared" si="13"/>
        <v>0</v>
      </c>
      <c r="R95" s="882">
        <f t="shared" si="13"/>
        <v>0</v>
      </c>
      <c r="S95" s="882">
        <f t="shared" si="13"/>
        <v>0</v>
      </c>
      <c r="T95" s="882">
        <f t="shared" si="13"/>
        <v>0</v>
      </c>
    </row>
    <row r="96" spans="2:20" ht="0.2" customHeight="1">
      <c r="B96" s="1152"/>
      <c r="C96" s="1150"/>
      <c r="D96" s="1150"/>
      <c r="E96" s="885"/>
      <c r="F96" s="884"/>
      <c r="G96" s="891"/>
      <c r="H96" s="891"/>
      <c r="I96" s="884"/>
      <c r="J96" s="884"/>
      <c r="K96" s="886"/>
      <c r="L96" s="883"/>
      <c r="M96" s="883"/>
      <c r="N96" s="882"/>
      <c r="O96" s="882"/>
      <c r="P96" s="882"/>
      <c r="Q96" s="882"/>
      <c r="R96" s="882"/>
      <c r="S96" s="882"/>
      <c r="T96" s="882"/>
    </row>
    <row r="97" spans="2:20" ht="0.2" customHeight="1">
      <c r="B97" s="1152"/>
      <c r="C97" s="1150"/>
      <c r="D97" s="1150"/>
      <c r="E97" s="885"/>
      <c r="F97" s="884"/>
      <c r="G97" s="884"/>
      <c r="H97" s="884"/>
      <c r="I97" s="884"/>
      <c r="J97" s="884"/>
      <c r="K97" s="886"/>
      <c r="L97" s="883"/>
      <c r="M97" s="883"/>
      <c r="N97" s="882"/>
      <c r="O97" s="882"/>
      <c r="P97" s="882"/>
      <c r="Q97" s="882"/>
      <c r="R97" s="882"/>
      <c r="S97" s="882"/>
      <c r="T97" s="882"/>
    </row>
    <row r="98" spans="2:20" ht="0.2" customHeight="1">
      <c r="B98" s="1152"/>
      <c r="C98" s="1150"/>
      <c r="D98" s="1149" t="s">
        <v>719</v>
      </c>
      <c r="E98" s="890"/>
      <c r="F98" s="889"/>
      <c r="G98" s="889"/>
      <c r="H98" s="889"/>
      <c r="I98" s="889"/>
      <c r="J98" s="889"/>
      <c r="K98" s="887"/>
      <c r="L98" s="887"/>
      <c r="M98" s="887"/>
      <c r="N98" s="887"/>
      <c r="O98" s="887"/>
      <c r="P98" s="887"/>
      <c r="Q98" s="887"/>
      <c r="R98" s="887"/>
      <c r="S98" s="887"/>
      <c r="T98" s="887"/>
    </row>
    <row r="99" spans="2:20" ht="0.2" customHeight="1">
      <c r="B99" s="1152"/>
      <c r="C99" s="1150"/>
      <c r="D99" s="1150"/>
      <c r="E99" s="885"/>
      <c r="F99" s="891"/>
      <c r="G99" s="884"/>
      <c r="H99" s="884"/>
      <c r="I99" s="891"/>
      <c r="J99" s="884"/>
      <c r="K99" s="886"/>
      <c r="L99" s="883"/>
      <c r="M99" s="883"/>
      <c r="N99" s="882"/>
      <c r="O99" s="882"/>
      <c r="P99" s="882"/>
      <c r="Q99" s="882"/>
      <c r="R99" s="882"/>
      <c r="S99" s="882"/>
      <c r="T99" s="882"/>
    </row>
    <row r="100" spans="2:20" ht="0.2" customHeight="1">
      <c r="B100" s="1152"/>
      <c r="C100" s="1150"/>
      <c r="D100" s="1150"/>
      <c r="E100" s="885"/>
      <c r="F100" s="891"/>
      <c r="G100" s="891"/>
      <c r="H100" s="912">
        <v>0.43</v>
      </c>
      <c r="I100" s="891"/>
      <c r="J100" s="884"/>
      <c r="K100" s="882" t="s">
        <v>692</v>
      </c>
      <c r="L100" s="883">
        <v>0</v>
      </c>
      <c r="M100" s="883">
        <v>2</v>
      </c>
      <c r="N100" s="882">
        <f>+H100+G102</f>
        <v>0.53</v>
      </c>
      <c r="O100" s="882">
        <f t="shared" ref="O100:T100" si="14">IF(+$K100=O$11,+$L100*$M100*$N100,0)</f>
        <v>0</v>
      </c>
      <c r="P100" s="882">
        <f t="shared" si="14"/>
        <v>0</v>
      </c>
      <c r="Q100" s="882">
        <f t="shared" si="14"/>
        <v>0</v>
      </c>
      <c r="R100" s="882">
        <f t="shared" si="14"/>
        <v>0</v>
      </c>
      <c r="S100" s="882">
        <f t="shared" si="14"/>
        <v>0</v>
      </c>
      <c r="T100" s="882">
        <f t="shared" si="14"/>
        <v>0</v>
      </c>
    </row>
    <row r="101" spans="2:20" ht="0.2" customHeight="1">
      <c r="B101" s="1152"/>
      <c r="C101" s="1150"/>
      <c r="D101" s="1150"/>
      <c r="E101" s="885"/>
      <c r="F101" s="884"/>
      <c r="G101" s="891"/>
      <c r="H101" s="911"/>
      <c r="I101" s="884"/>
      <c r="J101" s="884"/>
      <c r="K101" s="886"/>
      <c r="L101" s="883"/>
      <c r="M101" s="883"/>
      <c r="N101" s="882"/>
      <c r="O101" s="882"/>
      <c r="P101" s="882"/>
      <c r="Q101" s="882"/>
      <c r="R101" s="882"/>
      <c r="S101" s="882"/>
      <c r="T101" s="882"/>
    </row>
    <row r="102" spans="2:20" ht="0.2" customHeight="1">
      <c r="B102" s="1152"/>
      <c r="C102" s="1150"/>
      <c r="D102" s="1151"/>
      <c r="E102" s="896"/>
      <c r="F102" s="895"/>
      <c r="G102" s="914">
        <v>0.1</v>
      </c>
      <c r="H102" s="914"/>
      <c r="I102" s="895"/>
      <c r="J102" s="895"/>
      <c r="K102" s="886"/>
      <c r="L102" s="893"/>
      <c r="M102" s="893"/>
      <c r="N102" s="892"/>
      <c r="O102" s="892"/>
      <c r="P102" s="892"/>
      <c r="Q102" s="892"/>
      <c r="R102" s="892"/>
      <c r="S102" s="892"/>
      <c r="T102" s="892"/>
    </row>
    <row r="103" spans="2:20" ht="0.2" customHeight="1">
      <c r="B103" s="1152"/>
      <c r="C103" s="1150"/>
      <c r="D103" s="1149" t="s">
        <v>720</v>
      </c>
      <c r="E103" s="890"/>
      <c r="F103" s="889"/>
      <c r="G103" s="889"/>
      <c r="H103" s="889"/>
      <c r="I103" s="889"/>
      <c r="J103" s="889"/>
      <c r="K103" s="887"/>
      <c r="L103" s="887"/>
      <c r="M103" s="887"/>
      <c r="N103" s="887"/>
      <c r="O103" s="887"/>
      <c r="P103" s="887"/>
      <c r="Q103" s="887"/>
      <c r="R103" s="887"/>
      <c r="S103" s="887"/>
      <c r="T103" s="887"/>
    </row>
    <row r="104" spans="2:20" ht="0.2" customHeight="1">
      <c r="B104" s="1152"/>
      <c r="C104" s="1150"/>
      <c r="D104" s="1150"/>
      <c r="E104" s="885"/>
      <c r="F104" s="891"/>
      <c r="G104" s="884"/>
      <c r="H104" s="884"/>
      <c r="I104" s="891"/>
      <c r="J104" s="884"/>
      <c r="K104" s="886"/>
      <c r="L104" s="883"/>
      <c r="M104" s="883"/>
      <c r="N104" s="882"/>
      <c r="O104" s="882"/>
      <c r="P104" s="882"/>
      <c r="Q104" s="882"/>
      <c r="R104" s="882"/>
      <c r="S104" s="882"/>
      <c r="T104" s="882"/>
    </row>
    <row r="105" spans="2:20" ht="0.2" customHeight="1">
      <c r="B105" s="1152"/>
      <c r="C105" s="1150"/>
      <c r="D105" s="1150"/>
      <c r="E105" s="885"/>
      <c r="F105" s="891"/>
      <c r="G105" s="891"/>
      <c r="H105" s="912">
        <v>0.28999999999999998</v>
      </c>
      <c r="I105" s="891"/>
      <c r="J105" s="884"/>
      <c r="K105" s="882" t="s">
        <v>692</v>
      </c>
      <c r="L105" s="883">
        <v>0</v>
      </c>
      <c r="M105" s="883">
        <v>2</v>
      </c>
      <c r="N105" s="882">
        <f>+H105+H107</f>
        <v>0.39</v>
      </c>
      <c r="O105" s="882">
        <f t="shared" ref="O105:T105" si="15">IF(+$K105=O$11,+$L105*$M105*$N105,0)</f>
        <v>0</v>
      </c>
      <c r="P105" s="882">
        <f t="shared" si="15"/>
        <v>0</v>
      </c>
      <c r="Q105" s="882">
        <f t="shared" si="15"/>
        <v>0</v>
      </c>
      <c r="R105" s="882">
        <f t="shared" si="15"/>
        <v>0</v>
      </c>
      <c r="S105" s="882">
        <f t="shared" si="15"/>
        <v>0</v>
      </c>
      <c r="T105" s="882">
        <f t="shared" si="15"/>
        <v>0</v>
      </c>
    </row>
    <row r="106" spans="2:20" ht="0.2" customHeight="1">
      <c r="B106" s="1152"/>
      <c r="C106" s="1150"/>
      <c r="D106" s="1150"/>
      <c r="E106" s="885"/>
      <c r="F106" s="884"/>
      <c r="G106" s="891"/>
      <c r="H106" s="911"/>
      <c r="I106" s="884"/>
      <c r="J106" s="884"/>
      <c r="K106" s="886"/>
      <c r="L106" s="883"/>
      <c r="M106" s="883"/>
      <c r="N106" s="882"/>
      <c r="O106" s="882"/>
      <c r="P106" s="882"/>
      <c r="Q106" s="882"/>
      <c r="R106" s="882"/>
      <c r="S106" s="882"/>
      <c r="T106" s="882"/>
    </row>
    <row r="107" spans="2:20" ht="0.2" customHeight="1">
      <c r="B107" s="1152"/>
      <c r="C107" s="1150"/>
      <c r="D107" s="1151"/>
      <c r="E107" s="896"/>
      <c r="F107" s="895"/>
      <c r="G107" s="891"/>
      <c r="H107" s="914">
        <v>0.1</v>
      </c>
      <c r="I107" s="895"/>
      <c r="J107" s="895"/>
      <c r="K107" s="886"/>
      <c r="L107" s="893"/>
      <c r="M107" s="893"/>
      <c r="N107" s="892"/>
      <c r="O107" s="892"/>
      <c r="P107" s="892"/>
      <c r="Q107" s="892"/>
      <c r="R107" s="892"/>
      <c r="S107" s="892"/>
      <c r="T107" s="892"/>
    </row>
    <row r="108" spans="2:20" ht="0.2" customHeight="1">
      <c r="B108" s="1152"/>
      <c r="C108" s="1150"/>
      <c r="D108" s="1149" t="s">
        <v>719</v>
      </c>
      <c r="E108" s="890"/>
      <c r="F108" s="889"/>
      <c r="G108" s="889"/>
      <c r="H108" s="889"/>
      <c r="I108" s="889"/>
      <c r="J108" s="889"/>
      <c r="K108" s="887"/>
      <c r="L108" s="887"/>
      <c r="M108" s="887"/>
      <c r="N108" s="887"/>
      <c r="O108" s="887"/>
      <c r="P108" s="887"/>
      <c r="Q108" s="887"/>
      <c r="R108" s="887"/>
      <c r="S108" s="887"/>
      <c r="T108" s="887"/>
    </row>
    <row r="109" spans="2:20" ht="0.2" customHeight="1">
      <c r="B109" s="1152"/>
      <c r="C109" s="1150"/>
      <c r="D109" s="1150"/>
      <c r="E109" s="885"/>
      <c r="F109" s="891"/>
      <c r="G109" s="884"/>
      <c r="H109" s="884"/>
      <c r="I109" s="891"/>
      <c r="J109" s="884"/>
      <c r="K109" s="886"/>
      <c r="L109" s="883"/>
      <c r="M109" s="883"/>
      <c r="N109" s="882"/>
      <c r="O109" s="882"/>
      <c r="P109" s="882"/>
      <c r="Q109" s="882"/>
      <c r="R109" s="882"/>
      <c r="S109" s="882"/>
      <c r="T109" s="882"/>
    </row>
    <row r="110" spans="2:20" ht="0.2" customHeight="1">
      <c r="B110" s="1152"/>
      <c r="C110" s="1150"/>
      <c r="D110" s="1150"/>
      <c r="E110" s="885"/>
      <c r="F110" s="891"/>
      <c r="G110" s="891"/>
      <c r="H110" s="912">
        <v>0.8</v>
      </c>
      <c r="I110" s="891"/>
      <c r="J110" s="884"/>
      <c r="K110" s="882" t="s">
        <v>692</v>
      </c>
      <c r="L110" s="883">
        <v>0</v>
      </c>
      <c r="M110" s="883">
        <v>2</v>
      </c>
      <c r="N110" s="882">
        <f>+H110+G112</f>
        <v>0.8</v>
      </c>
      <c r="O110" s="882">
        <f t="shared" ref="O110:T110" si="16">IF(+$K110=O$11,+$L110*$M110*$N110,0)</f>
        <v>0</v>
      </c>
      <c r="P110" s="882">
        <f t="shared" si="16"/>
        <v>0</v>
      </c>
      <c r="Q110" s="882">
        <f t="shared" si="16"/>
        <v>0</v>
      </c>
      <c r="R110" s="882">
        <f t="shared" si="16"/>
        <v>0</v>
      </c>
      <c r="S110" s="882">
        <f t="shared" si="16"/>
        <v>0</v>
      </c>
      <c r="T110" s="882">
        <f t="shared" si="16"/>
        <v>0</v>
      </c>
    </row>
    <row r="111" spans="2:20" ht="0.2" customHeight="1">
      <c r="B111" s="1152"/>
      <c r="C111" s="1150"/>
      <c r="D111" s="1150"/>
      <c r="E111" s="885"/>
      <c r="F111" s="884"/>
      <c r="G111" s="891"/>
      <c r="H111" s="911"/>
      <c r="I111" s="884"/>
      <c r="J111" s="884"/>
      <c r="K111" s="886"/>
      <c r="L111" s="883"/>
      <c r="M111" s="883"/>
      <c r="N111" s="882"/>
      <c r="O111" s="882"/>
      <c r="P111" s="882"/>
      <c r="Q111" s="882"/>
      <c r="R111" s="882"/>
      <c r="S111" s="882"/>
      <c r="T111" s="882"/>
    </row>
    <row r="112" spans="2:20" ht="0.2" customHeight="1">
      <c r="B112" s="1152"/>
      <c r="C112" s="1150"/>
      <c r="D112" s="1151"/>
      <c r="E112" s="896"/>
      <c r="F112" s="895"/>
      <c r="G112" s="914"/>
      <c r="H112" s="914"/>
      <c r="I112" s="895"/>
      <c r="J112" s="895"/>
      <c r="K112" s="886"/>
      <c r="L112" s="893"/>
      <c r="M112" s="893"/>
      <c r="N112" s="892"/>
      <c r="O112" s="892"/>
      <c r="P112" s="892"/>
      <c r="Q112" s="892"/>
      <c r="R112" s="892"/>
      <c r="S112" s="892"/>
      <c r="T112" s="892"/>
    </row>
    <row r="113" spans="2:20" ht="0.2" customHeight="1">
      <c r="B113" s="1152"/>
      <c r="C113" s="1150"/>
      <c r="D113" s="1149" t="s">
        <v>718</v>
      </c>
      <c r="E113" s="890"/>
      <c r="F113" s="889"/>
      <c r="G113" s="889">
        <v>0.223</v>
      </c>
      <c r="H113" s="889"/>
      <c r="I113" s="889"/>
      <c r="J113" s="889"/>
      <c r="K113" s="887"/>
      <c r="L113" s="887"/>
      <c r="M113" s="887"/>
      <c r="N113" s="887"/>
      <c r="O113" s="887"/>
      <c r="P113" s="887"/>
      <c r="Q113" s="887"/>
      <c r="R113" s="887"/>
      <c r="S113" s="887"/>
      <c r="T113" s="887"/>
    </row>
    <row r="114" spans="2:20" ht="0.2" customHeight="1">
      <c r="B114" s="1152"/>
      <c r="C114" s="1150"/>
      <c r="D114" s="1150"/>
      <c r="E114" s="885"/>
      <c r="F114" s="891"/>
      <c r="G114" s="884"/>
      <c r="H114" s="884"/>
      <c r="I114" s="891"/>
      <c r="J114" s="884"/>
      <c r="K114" s="886"/>
      <c r="L114" s="883"/>
      <c r="M114" s="883"/>
      <c r="N114" s="882"/>
      <c r="O114" s="882"/>
      <c r="P114" s="882"/>
      <c r="Q114" s="882"/>
      <c r="R114" s="882"/>
      <c r="S114" s="882"/>
      <c r="T114" s="882"/>
    </row>
    <row r="115" spans="2:20" ht="0.2" customHeight="1">
      <c r="B115" s="1152"/>
      <c r="C115" s="1150"/>
      <c r="D115" s="1150"/>
      <c r="E115" s="885"/>
      <c r="F115" s="891"/>
      <c r="G115" s="891"/>
      <c r="H115" s="912">
        <v>0.155</v>
      </c>
      <c r="I115" s="891"/>
      <c r="J115" s="884"/>
      <c r="K115" s="882" t="s">
        <v>692</v>
      </c>
      <c r="L115" s="883">
        <v>0</v>
      </c>
      <c r="M115" s="883">
        <v>11</v>
      </c>
      <c r="N115" s="882">
        <f>+H115+H117+G113</f>
        <v>0.73199999999999998</v>
      </c>
      <c r="O115" s="882">
        <f t="shared" ref="O115:T115" si="17">IF(+$K115=O$11,+$L115*$M115*$N115,0)</f>
        <v>0</v>
      </c>
      <c r="P115" s="882">
        <f t="shared" si="17"/>
        <v>0</v>
      </c>
      <c r="Q115" s="882">
        <f t="shared" si="17"/>
        <v>0</v>
      </c>
      <c r="R115" s="882">
        <f t="shared" si="17"/>
        <v>0</v>
      </c>
      <c r="S115" s="882">
        <f t="shared" si="17"/>
        <v>0</v>
      </c>
      <c r="T115" s="882">
        <f t="shared" si="17"/>
        <v>0</v>
      </c>
    </row>
    <row r="116" spans="2:20" ht="0.2" customHeight="1">
      <c r="B116" s="1152"/>
      <c r="C116" s="1150"/>
      <c r="D116" s="1150"/>
      <c r="E116" s="885"/>
      <c r="F116" s="884"/>
      <c r="G116" s="891"/>
      <c r="H116" s="911"/>
      <c r="I116" s="884"/>
      <c r="J116" s="884"/>
      <c r="K116" s="886"/>
      <c r="L116" s="883"/>
      <c r="M116" s="883"/>
      <c r="N116" s="882"/>
      <c r="O116" s="882"/>
      <c r="P116" s="882"/>
      <c r="Q116" s="882"/>
      <c r="R116" s="882"/>
      <c r="S116" s="882"/>
      <c r="T116" s="882"/>
    </row>
    <row r="117" spans="2:20" ht="0.2" customHeight="1">
      <c r="B117" s="1152"/>
      <c r="C117" s="1150"/>
      <c r="D117" s="1151"/>
      <c r="E117" s="896"/>
      <c r="F117" s="895"/>
      <c r="G117" s="891"/>
      <c r="H117" s="914">
        <v>0.35399999999999998</v>
      </c>
      <c r="I117" s="895"/>
      <c r="J117" s="895"/>
      <c r="K117" s="886"/>
      <c r="L117" s="893"/>
      <c r="M117" s="893"/>
      <c r="N117" s="892"/>
      <c r="O117" s="892"/>
      <c r="P117" s="892"/>
      <c r="Q117" s="892"/>
      <c r="R117" s="892"/>
      <c r="S117" s="892"/>
      <c r="T117" s="892"/>
    </row>
    <row r="118" spans="2:20" ht="0.2" customHeight="1">
      <c r="B118" s="1152"/>
      <c r="C118" s="1150"/>
      <c r="D118" s="1149" t="s">
        <v>717</v>
      </c>
      <c r="E118" s="890"/>
      <c r="F118" s="889"/>
      <c r="G118" s="889"/>
      <c r="H118" s="889"/>
      <c r="I118" s="889"/>
      <c r="J118" s="889"/>
      <c r="K118" s="887"/>
      <c r="L118" s="887"/>
      <c r="M118" s="887"/>
      <c r="N118" s="887"/>
      <c r="O118" s="887"/>
      <c r="P118" s="887"/>
      <c r="Q118" s="887"/>
      <c r="R118" s="887"/>
      <c r="S118" s="887"/>
      <c r="T118" s="887"/>
    </row>
    <row r="119" spans="2:20" ht="0.2" customHeight="1">
      <c r="B119" s="1152"/>
      <c r="C119" s="1150"/>
      <c r="D119" s="1150"/>
      <c r="E119" s="885"/>
      <c r="F119" s="891"/>
      <c r="G119" s="884"/>
      <c r="H119" s="884"/>
      <c r="I119" s="891"/>
      <c r="J119" s="884"/>
      <c r="K119" s="886"/>
      <c r="L119" s="883"/>
      <c r="M119" s="883"/>
      <c r="N119" s="882"/>
      <c r="O119" s="882"/>
      <c r="P119" s="882"/>
      <c r="Q119" s="882"/>
      <c r="R119" s="882"/>
      <c r="S119" s="882"/>
      <c r="T119" s="882"/>
    </row>
    <row r="120" spans="2:20" ht="0.2" customHeight="1">
      <c r="B120" s="1152"/>
      <c r="C120" s="1150"/>
      <c r="D120" s="1150"/>
      <c r="E120" s="885"/>
      <c r="F120" s="891"/>
      <c r="G120" s="891"/>
      <c r="H120" s="912">
        <v>2.2999999999999998</v>
      </c>
      <c r="I120" s="891"/>
      <c r="J120" s="884"/>
      <c r="K120" s="882" t="s">
        <v>692</v>
      </c>
      <c r="L120" s="883">
        <v>0</v>
      </c>
      <c r="M120" s="883">
        <v>2</v>
      </c>
      <c r="N120" s="882">
        <f>+H120+G122+G118</f>
        <v>2.2999999999999998</v>
      </c>
      <c r="O120" s="882">
        <f t="shared" ref="O120:T120" si="18">IF(+$K120=O$11,+$L120*$M120*$N120,0)</f>
        <v>0</v>
      </c>
      <c r="P120" s="882">
        <f t="shared" si="18"/>
        <v>0</v>
      </c>
      <c r="Q120" s="882">
        <f t="shared" si="18"/>
        <v>0</v>
      </c>
      <c r="R120" s="882">
        <f t="shared" si="18"/>
        <v>0</v>
      </c>
      <c r="S120" s="882">
        <f t="shared" si="18"/>
        <v>0</v>
      </c>
      <c r="T120" s="882">
        <f t="shared" si="18"/>
        <v>0</v>
      </c>
    </row>
    <row r="121" spans="2:20" ht="0.2" customHeight="1">
      <c r="B121" s="1152"/>
      <c r="C121" s="1150"/>
      <c r="D121" s="1150"/>
      <c r="E121" s="885"/>
      <c r="F121" s="884"/>
      <c r="G121" s="891"/>
      <c r="H121" s="911"/>
      <c r="I121" s="884"/>
      <c r="J121" s="884"/>
      <c r="K121" s="886"/>
      <c r="L121" s="883"/>
      <c r="M121" s="883"/>
      <c r="N121" s="882"/>
      <c r="O121" s="882"/>
      <c r="P121" s="882"/>
      <c r="Q121" s="882"/>
      <c r="R121" s="882"/>
      <c r="S121" s="882"/>
      <c r="T121" s="882"/>
    </row>
    <row r="122" spans="2:20" ht="0.2" customHeight="1">
      <c r="B122" s="1152"/>
      <c r="C122" s="1150"/>
      <c r="D122" s="1151"/>
      <c r="E122" s="896"/>
      <c r="F122" s="895"/>
      <c r="G122" s="914"/>
      <c r="H122" s="914"/>
      <c r="I122" s="895"/>
      <c r="J122" s="895"/>
      <c r="K122" s="886"/>
      <c r="L122" s="893"/>
      <c r="M122" s="893"/>
      <c r="N122" s="892"/>
      <c r="O122" s="892"/>
      <c r="P122" s="892"/>
      <c r="Q122" s="892"/>
      <c r="R122" s="892"/>
      <c r="S122" s="892"/>
      <c r="T122" s="892"/>
    </row>
    <row r="123" spans="2:20" ht="0.2" customHeight="1">
      <c r="B123" s="1152"/>
      <c r="C123" s="1150"/>
      <c r="D123" s="1149" t="s">
        <v>716</v>
      </c>
      <c r="E123" s="890"/>
      <c r="F123" s="889"/>
      <c r="G123" s="913"/>
      <c r="H123" s="913"/>
      <c r="I123" s="889"/>
      <c r="J123" s="889"/>
      <c r="K123" s="887"/>
      <c r="L123" s="887"/>
      <c r="M123" s="887"/>
      <c r="N123" s="887"/>
      <c r="O123" s="887"/>
      <c r="P123" s="887"/>
      <c r="Q123" s="887"/>
      <c r="R123" s="887"/>
      <c r="S123" s="887"/>
      <c r="T123" s="887"/>
    </row>
    <row r="124" spans="2:20" ht="0.2" customHeight="1">
      <c r="B124" s="1152"/>
      <c r="C124" s="1150"/>
      <c r="D124" s="1150"/>
      <c r="E124" s="885"/>
      <c r="F124" s="891"/>
      <c r="G124" s="912"/>
      <c r="H124" s="912"/>
      <c r="I124" s="891"/>
      <c r="J124" s="884"/>
      <c r="K124" s="882"/>
      <c r="L124" s="883"/>
      <c r="M124" s="883"/>
      <c r="N124" s="882"/>
      <c r="O124" s="882"/>
      <c r="P124" s="882"/>
      <c r="Q124" s="882"/>
      <c r="R124" s="882"/>
      <c r="S124" s="882"/>
      <c r="T124" s="882"/>
    </row>
    <row r="125" spans="2:20" ht="0.2" customHeight="1">
      <c r="B125" s="1152"/>
      <c r="C125" s="1150"/>
      <c r="D125" s="1150"/>
      <c r="E125" s="885"/>
      <c r="F125" s="891"/>
      <c r="G125" s="891"/>
      <c r="H125" s="911">
        <v>0.28499999999999998</v>
      </c>
      <c r="I125" s="891"/>
      <c r="J125" s="884"/>
      <c r="K125" s="882" t="s">
        <v>710</v>
      </c>
      <c r="L125" s="883">
        <v>0</v>
      </c>
      <c r="M125" s="883">
        <v>2</v>
      </c>
      <c r="N125" s="882">
        <f>+H125</f>
        <v>0.28499999999999998</v>
      </c>
      <c r="O125" s="882">
        <f t="shared" ref="O125:T125" si="19">IF(+$K125=O$11,+$L125*$M125*$N125,0)</f>
        <v>0</v>
      </c>
      <c r="P125" s="882">
        <f t="shared" si="19"/>
        <v>0</v>
      </c>
      <c r="Q125" s="882">
        <f t="shared" si="19"/>
        <v>0</v>
      </c>
      <c r="R125" s="882">
        <f t="shared" si="19"/>
        <v>0</v>
      </c>
      <c r="S125" s="882">
        <f t="shared" si="19"/>
        <v>0</v>
      </c>
      <c r="T125" s="882">
        <f t="shared" si="19"/>
        <v>0</v>
      </c>
    </row>
    <row r="126" spans="2:20" ht="0.2" customHeight="1">
      <c r="B126" s="1152"/>
      <c r="C126" s="1150"/>
      <c r="D126" s="1150"/>
      <c r="E126" s="885"/>
      <c r="F126" s="884"/>
      <c r="G126" s="891"/>
      <c r="H126" s="911"/>
      <c r="I126" s="884"/>
      <c r="J126" s="884"/>
      <c r="K126" s="882"/>
      <c r="L126" s="883"/>
      <c r="M126" s="883"/>
      <c r="N126" s="882"/>
      <c r="O126" s="882"/>
      <c r="P126" s="882"/>
      <c r="Q126" s="882"/>
      <c r="R126" s="882"/>
      <c r="S126" s="882"/>
      <c r="T126" s="882"/>
    </row>
    <row r="127" spans="2:20" ht="0.2" customHeight="1" thickBot="1">
      <c r="B127" s="1153"/>
      <c r="C127" s="1158"/>
      <c r="D127" s="1158"/>
      <c r="E127" s="881"/>
      <c r="F127" s="880"/>
      <c r="G127" s="880"/>
      <c r="H127" s="880">
        <v>0.1</v>
      </c>
      <c r="I127" s="880"/>
      <c r="J127" s="880"/>
      <c r="K127" s="879"/>
      <c r="L127" s="878"/>
      <c r="M127" s="878"/>
      <c r="N127" s="877"/>
      <c r="O127" s="877"/>
      <c r="P127" s="877"/>
      <c r="Q127" s="877"/>
      <c r="R127" s="877"/>
      <c r="S127" s="877"/>
      <c r="T127" s="877"/>
    </row>
    <row r="128" spans="2:20" ht="0.2" customHeight="1" thickTop="1">
      <c r="B128" s="1159" t="s">
        <v>715</v>
      </c>
      <c r="C128" s="1164" t="s">
        <v>481</v>
      </c>
      <c r="D128" s="1156" t="s">
        <v>714</v>
      </c>
      <c r="E128" s="910"/>
      <c r="F128" s="909"/>
      <c r="G128" s="909"/>
      <c r="H128" s="909"/>
      <c r="I128" s="909"/>
      <c r="J128" s="909"/>
      <c r="K128" s="908"/>
      <c r="L128" s="908"/>
      <c r="M128" s="908"/>
      <c r="N128" s="908"/>
      <c r="O128" s="908"/>
      <c r="P128" s="908"/>
      <c r="Q128" s="908"/>
      <c r="R128" s="908"/>
      <c r="S128" s="908"/>
      <c r="T128" s="908"/>
    </row>
    <row r="129" spans="2:20" ht="0.2" customHeight="1">
      <c r="B129" s="1160"/>
      <c r="C129" s="1152"/>
      <c r="D129" s="1150"/>
      <c r="E129" s="885"/>
      <c r="F129" s="891"/>
      <c r="G129" s="899">
        <v>4.266</v>
      </c>
      <c r="H129" s="899"/>
      <c r="I129" s="891"/>
      <c r="J129" s="884"/>
      <c r="K129" s="886"/>
      <c r="L129" s="886"/>
      <c r="M129" s="886"/>
      <c r="N129" s="886"/>
      <c r="O129" s="886"/>
      <c r="P129" s="886"/>
      <c r="Q129" s="886"/>
      <c r="R129" s="886"/>
      <c r="S129" s="886"/>
      <c r="T129" s="886"/>
    </row>
    <row r="130" spans="2:20" ht="0.2" customHeight="1">
      <c r="B130" s="1161"/>
      <c r="C130" s="1152"/>
      <c r="D130" s="1150"/>
      <c r="E130" s="885"/>
      <c r="F130" s="884">
        <v>0.5</v>
      </c>
      <c r="G130" s="891"/>
      <c r="H130" s="891"/>
      <c r="I130" s="884">
        <v>0.5</v>
      </c>
      <c r="J130" s="884"/>
      <c r="K130" s="882" t="s">
        <v>692</v>
      </c>
      <c r="L130" s="883">
        <v>0</v>
      </c>
      <c r="M130" s="883">
        <v>10</v>
      </c>
      <c r="N130" s="882">
        <f>G129+I130+F130</f>
        <v>5.266</v>
      </c>
      <c r="O130" s="882">
        <f t="shared" ref="O130:T130" si="20">IF(+$K130=O$11,+$L130*$M130*$N130,0)</f>
        <v>0</v>
      </c>
      <c r="P130" s="882">
        <f t="shared" si="20"/>
        <v>0</v>
      </c>
      <c r="Q130" s="882">
        <f t="shared" si="20"/>
        <v>0</v>
      </c>
      <c r="R130" s="882">
        <f t="shared" si="20"/>
        <v>0</v>
      </c>
      <c r="S130" s="882">
        <f t="shared" si="20"/>
        <v>0</v>
      </c>
      <c r="T130" s="882">
        <f t="shared" si="20"/>
        <v>0</v>
      </c>
    </row>
    <row r="131" spans="2:20" ht="0.2" customHeight="1">
      <c r="B131" s="1161"/>
      <c r="C131" s="1152"/>
      <c r="D131" s="1150"/>
      <c r="E131" s="885"/>
      <c r="F131" s="891"/>
      <c r="G131" s="891"/>
      <c r="H131" s="891"/>
      <c r="I131" s="891"/>
      <c r="J131" s="884"/>
      <c r="K131" s="886"/>
      <c r="L131" s="883"/>
      <c r="M131" s="883"/>
      <c r="N131" s="882"/>
      <c r="O131" s="882"/>
      <c r="P131" s="882"/>
      <c r="Q131" s="882"/>
      <c r="R131" s="882"/>
      <c r="S131" s="882"/>
      <c r="T131" s="882"/>
    </row>
    <row r="132" spans="2:20" ht="0.2" customHeight="1">
      <c r="B132" s="1161"/>
      <c r="C132" s="1152"/>
      <c r="D132" s="1151"/>
      <c r="E132" s="896"/>
      <c r="F132" s="895"/>
      <c r="G132" s="895"/>
      <c r="H132" s="895"/>
      <c r="I132" s="895"/>
      <c r="J132" s="895"/>
      <c r="K132" s="894"/>
      <c r="L132" s="893"/>
      <c r="M132" s="893"/>
      <c r="N132" s="892"/>
      <c r="O132" s="892"/>
      <c r="P132" s="892"/>
      <c r="Q132" s="892"/>
      <c r="R132" s="892"/>
      <c r="S132" s="892"/>
      <c r="T132" s="892"/>
    </row>
    <row r="133" spans="2:20" ht="0.2" customHeight="1">
      <c r="B133" s="1161"/>
      <c r="C133" s="1152"/>
      <c r="D133" s="1149" t="s">
        <v>712</v>
      </c>
      <c r="E133" s="890"/>
      <c r="F133" s="889"/>
      <c r="G133" s="889"/>
      <c r="H133" s="889">
        <v>0.25</v>
      </c>
      <c r="I133" s="889"/>
      <c r="J133" s="889"/>
      <c r="K133" s="887"/>
      <c r="L133" s="887"/>
      <c r="M133" s="887"/>
      <c r="N133" s="887"/>
      <c r="O133" s="887"/>
      <c r="P133" s="887"/>
      <c r="Q133" s="887"/>
      <c r="R133" s="887"/>
      <c r="S133" s="887"/>
      <c r="T133" s="887"/>
    </row>
    <row r="134" spans="2:20" ht="0.2" customHeight="1">
      <c r="B134" s="1161"/>
      <c r="C134" s="1152"/>
      <c r="D134" s="1150"/>
      <c r="E134" s="885"/>
      <c r="F134" s="884"/>
      <c r="G134" s="884"/>
      <c r="H134" s="884"/>
      <c r="I134" s="884"/>
      <c r="J134" s="884"/>
      <c r="K134" s="886"/>
      <c r="L134" s="886"/>
      <c r="M134" s="886"/>
      <c r="N134" s="886"/>
      <c r="O134" s="886"/>
      <c r="P134" s="886"/>
      <c r="Q134" s="886"/>
      <c r="R134" s="886"/>
      <c r="S134" s="886"/>
      <c r="T134" s="886"/>
    </row>
    <row r="135" spans="2:20" ht="0.2" customHeight="1">
      <c r="B135" s="1161"/>
      <c r="C135" s="1152"/>
      <c r="D135" s="1150"/>
      <c r="E135" s="885"/>
      <c r="F135" s="891"/>
      <c r="G135" s="884"/>
      <c r="H135" s="884"/>
      <c r="I135" s="891"/>
      <c r="J135" s="884"/>
      <c r="K135" s="882" t="s">
        <v>692</v>
      </c>
      <c r="L135" s="883">
        <v>0</v>
      </c>
      <c r="M135" s="883">
        <v>22</v>
      </c>
      <c r="N135" s="882">
        <f>G136+H133+H137</f>
        <v>2.9089999999999998</v>
      </c>
      <c r="O135" s="882">
        <f t="shared" ref="O135:T135" si="21">IF(+$K135=O$11,+$L135*$M135*$N135,0)</f>
        <v>0</v>
      </c>
      <c r="P135" s="882">
        <f t="shared" si="21"/>
        <v>0</v>
      </c>
      <c r="Q135" s="882">
        <f t="shared" si="21"/>
        <v>0</v>
      </c>
      <c r="R135" s="882">
        <f t="shared" si="21"/>
        <v>0</v>
      </c>
      <c r="S135" s="882">
        <f t="shared" si="21"/>
        <v>0</v>
      </c>
      <c r="T135" s="882">
        <f t="shared" si="21"/>
        <v>0</v>
      </c>
    </row>
    <row r="136" spans="2:20" ht="0.2" customHeight="1">
      <c r="B136" s="1161"/>
      <c r="C136" s="1152"/>
      <c r="D136" s="1150"/>
      <c r="E136" s="885"/>
      <c r="F136" s="884"/>
      <c r="G136" s="1155">
        <v>2.4089999999999998</v>
      </c>
      <c r="H136" s="1155"/>
      <c r="I136" s="884"/>
      <c r="J136" s="884"/>
      <c r="K136" s="886"/>
      <c r="L136" s="883"/>
      <c r="M136" s="883"/>
      <c r="N136" s="882"/>
      <c r="O136" s="882"/>
      <c r="P136" s="882"/>
      <c r="Q136" s="882"/>
      <c r="R136" s="882"/>
      <c r="S136" s="882"/>
      <c r="T136" s="882"/>
    </row>
    <row r="137" spans="2:20" ht="0.2" customHeight="1">
      <c r="B137" s="1161"/>
      <c r="C137" s="1160"/>
      <c r="D137" s="1151"/>
      <c r="E137" s="896"/>
      <c r="F137" s="895"/>
      <c r="G137" s="895"/>
      <c r="H137" s="895">
        <v>0.25</v>
      </c>
      <c r="I137" s="895"/>
      <c r="J137" s="895"/>
      <c r="K137" s="894"/>
      <c r="L137" s="893"/>
      <c r="M137" s="893"/>
      <c r="N137" s="892"/>
      <c r="O137" s="892"/>
      <c r="P137" s="892"/>
      <c r="Q137" s="892"/>
      <c r="R137" s="892"/>
      <c r="S137" s="892"/>
      <c r="T137" s="892"/>
    </row>
    <row r="138" spans="2:20" ht="0.2" customHeight="1">
      <c r="B138" s="1161"/>
      <c r="C138" s="1162" t="s">
        <v>713</v>
      </c>
      <c r="D138" s="1150" t="s">
        <v>712</v>
      </c>
      <c r="E138" s="885"/>
      <c r="F138" s="884"/>
      <c r="G138" s="884"/>
      <c r="H138" s="884"/>
      <c r="I138" s="884"/>
      <c r="J138" s="884"/>
      <c r="K138" s="886"/>
      <c r="L138" s="886"/>
      <c r="M138" s="886"/>
      <c r="N138" s="886"/>
      <c r="O138" s="886"/>
      <c r="P138" s="886"/>
      <c r="Q138" s="886"/>
      <c r="R138" s="886"/>
      <c r="S138" s="886"/>
      <c r="T138" s="886"/>
    </row>
    <row r="139" spans="2:20" ht="0.2" customHeight="1">
      <c r="B139" s="1161"/>
      <c r="C139" s="1152"/>
      <c r="D139" s="1150"/>
      <c r="E139" s="885"/>
      <c r="F139" s="891"/>
      <c r="G139" s="1155"/>
      <c r="H139" s="1155"/>
      <c r="I139" s="891"/>
      <c r="J139" s="884"/>
      <c r="K139" s="882"/>
      <c r="L139" s="883"/>
      <c r="M139" s="883"/>
      <c r="N139" s="882"/>
      <c r="O139" s="882"/>
      <c r="P139" s="882"/>
      <c r="Q139" s="882"/>
      <c r="R139" s="882"/>
      <c r="S139" s="882"/>
      <c r="T139" s="882"/>
    </row>
    <row r="140" spans="2:20" ht="0.2" customHeight="1">
      <c r="B140" s="1161"/>
      <c r="C140" s="1152"/>
      <c r="D140" s="1150"/>
      <c r="E140" s="885"/>
      <c r="F140" s="891"/>
      <c r="G140" s="891"/>
      <c r="H140" s="884">
        <v>0.47499999999999998</v>
      </c>
      <c r="I140" s="891"/>
      <c r="J140" s="884"/>
      <c r="K140" s="882" t="s">
        <v>710</v>
      </c>
      <c r="L140" s="883">
        <v>0</v>
      </c>
      <c r="M140" s="883">
        <v>10</v>
      </c>
      <c r="N140" s="882">
        <f>H140</f>
        <v>0.47499999999999998</v>
      </c>
      <c r="O140" s="882">
        <f t="shared" ref="O140:T140" si="22">IF(+$K140=O$11,+$L140*$M140*$N140,0)</f>
        <v>0</v>
      </c>
      <c r="P140" s="882">
        <f t="shared" si="22"/>
        <v>0</v>
      </c>
      <c r="Q140" s="882">
        <f t="shared" si="22"/>
        <v>0</v>
      </c>
      <c r="R140" s="882">
        <f t="shared" si="22"/>
        <v>0</v>
      </c>
      <c r="S140" s="882">
        <f t="shared" si="22"/>
        <v>0</v>
      </c>
      <c r="T140" s="882">
        <f t="shared" si="22"/>
        <v>0</v>
      </c>
    </row>
    <row r="141" spans="2:20" ht="0.2" customHeight="1">
      <c r="B141" s="1161"/>
      <c r="C141" s="1152"/>
      <c r="D141" s="1150"/>
      <c r="E141" s="885"/>
      <c r="F141" s="891"/>
      <c r="G141" s="891"/>
      <c r="H141" s="884"/>
      <c r="I141" s="891"/>
      <c r="J141" s="884"/>
      <c r="K141" s="882"/>
      <c r="L141" s="883"/>
      <c r="M141" s="883"/>
      <c r="N141" s="882"/>
      <c r="O141" s="882"/>
      <c r="P141" s="882"/>
      <c r="Q141" s="882"/>
      <c r="R141" s="882"/>
      <c r="S141" s="882"/>
      <c r="T141" s="882"/>
    </row>
    <row r="142" spans="2:20" ht="0.2" customHeight="1">
      <c r="B142" s="1161"/>
      <c r="C142" s="1152"/>
      <c r="D142" s="1151"/>
      <c r="E142" s="896"/>
      <c r="F142" s="895"/>
      <c r="G142" s="895"/>
      <c r="H142" s="895"/>
      <c r="I142" s="895"/>
      <c r="J142" s="895"/>
      <c r="K142" s="894"/>
      <c r="L142" s="893"/>
      <c r="M142" s="893"/>
      <c r="N142" s="892"/>
      <c r="O142" s="892"/>
      <c r="P142" s="892"/>
      <c r="Q142" s="892"/>
      <c r="R142" s="892"/>
      <c r="S142" s="892"/>
      <c r="T142" s="892"/>
    </row>
    <row r="143" spans="2:20" ht="0.2" customHeight="1">
      <c r="B143" s="1161"/>
      <c r="C143" s="1152"/>
      <c r="D143" s="1149" t="s">
        <v>711</v>
      </c>
      <c r="E143" s="890"/>
      <c r="F143" s="889"/>
      <c r="G143" s="889"/>
      <c r="H143" s="889"/>
      <c r="I143" s="889"/>
      <c r="J143" s="889"/>
      <c r="K143" s="887"/>
      <c r="L143" s="887"/>
      <c r="M143" s="887"/>
      <c r="N143" s="887"/>
      <c r="O143" s="887"/>
      <c r="P143" s="887"/>
      <c r="Q143" s="887"/>
      <c r="R143" s="887"/>
      <c r="S143" s="887"/>
      <c r="T143" s="887"/>
    </row>
    <row r="144" spans="2:20" ht="0.2" customHeight="1">
      <c r="B144" s="1161"/>
      <c r="C144" s="1152"/>
      <c r="D144" s="1150"/>
      <c r="E144" s="885"/>
      <c r="F144" s="891"/>
      <c r="G144" s="884"/>
      <c r="H144" s="884"/>
      <c r="I144" s="891"/>
      <c r="J144" s="884"/>
      <c r="K144" s="882"/>
      <c r="L144" s="883"/>
      <c r="M144" s="883"/>
      <c r="N144" s="882"/>
      <c r="O144" s="882"/>
      <c r="P144" s="882"/>
      <c r="Q144" s="882"/>
      <c r="R144" s="882"/>
      <c r="S144" s="882"/>
      <c r="T144" s="882"/>
    </row>
    <row r="145" spans="2:20" ht="0.2" customHeight="1">
      <c r="B145" s="1161"/>
      <c r="C145" s="1152"/>
      <c r="D145" s="1150"/>
      <c r="E145" s="885"/>
      <c r="F145" s="884"/>
      <c r="G145" s="1155">
        <v>2.34</v>
      </c>
      <c r="H145" s="1155"/>
      <c r="I145" s="884"/>
      <c r="J145" s="884"/>
      <c r="K145" s="882" t="s">
        <v>710</v>
      </c>
      <c r="L145" s="883">
        <v>0</v>
      </c>
      <c r="M145" s="883">
        <v>3</v>
      </c>
      <c r="N145" s="882">
        <f>G145</f>
        <v>2.34</v>
      </c>
      <c r="O145" s="882">
        <f t="shared" ref="O145:T145" si="23">IF(+$K145=O$11,+$L145*$M145*$N145,0)</f>
        <v>0</v>
      </c>
      <c r="P145" s="882">
        <f t="shared" si="23"/>
        <v>0</v>
      </c>
      <c r="Q145" s="882">
        <f t="shared" si="23"/>
        <v>0</v>
      </c>
      <c r="R145" s="882">
        <f t="shared" si="23"/>
        <v>0</v>
      </c>
      <c r="S145" s="882">
        <f t="shared" si="23"/>
        <v>0</v>
      </c>
      <c r="T145" s="882">
        <f t="shared" si="23"/>
        <v>0</v>
      </c>
    </row>
    <row r="146" spans="2:20" ht="0.2" customHeight="1">
      <c r="B146" s="1162"/>
      <c r="C146" s="1152"/>
      <c r="D146" s="1150"/>
      <c r="E146" s="885"/>
      <c r="F146" s="884"/>
      <c r="G146" s="884"/>
      <c r="H146" s="884"/>
      <c r="I146" s="884"/>
      <c r="J146" s="884"/>
      <c r="K146" s="882"/>
      <c r="L146" s="883"/>
      <c r="M146" s="883"/>
      <c r="N146" s="882"/>
      <c r="O146" s="882"/>
      <c r="P146" s="882"/>
      <c r="Q146" s="882"/>
      <c r="R146" s="882"/>
      <c r="S146" s="882"/>
      <c r="T146" s="882"/>
    </row>
    <row r="147" spans="2:20" ht="0.2" customHeight="1" thickBot="1">
      <c r="B147" s="1163"/>
      <c r="C147" s="1153"/>
      <c r="D147" s="1158"/>
      <c r="E147" s="881"/>
      <c r="F147" s="880"/>
      <c r="G147" s="880"/>
      <c r="H147" s="880"/>
      <c r="I147" s="880"/>
      <c r="J147" s="880"/>
      <c r="K147" s="879"/>
      <c r="L147" s="878"/>
      <c r="M147" s="878"/>
      <c r="N147" s="877"/>
      <c r="O147" s="877"/>
      <c r="P147" s="877"/>
      <c r="Q147" s="877"/>
      <c r="R147" s="877"/>
      <c r="S147" s="877"/>
      <c r="T147" s="877"/>
    </row>
    <row r="148" spans="2:20" ht="0.2" customHeight="1">
      <c r="B148" s="1152" t="s">
        <v>709</v>
      </c>
      <c r="C148" s="1150" t="s">
        <v>466</v>
      </c>
      <c r="D148" s="1150" t="s">
        <v>708</v>
      </c>
      <c r="E148" s="885"/>
      <c r="F148" s="884"/>
      <c r="G148" s="884"/>
      <c r="H148" s="884"/>
      <c r="I148" s="884"/>
      <c r="J148" s="884"/>
      <c r="K148" s="886"/>
      <c r="L148" s="886"/>
      <c r="M148" s="886"/>
      <c r="N148" s="886"/>
      <c r="O148" s="886"/>
      <c r="P148" s="886"/>
      <c r="Q148" s="886"/>
      <c r="R148" s="886"/>
      <c r="S148" s="886"/>
      <c r="T148" s="886"/>
    </row>
    <row r="149" spans="2:20" ht="0.2" customHeight="1">
      <c r="B149" s="1152"/>
      <c r="C149" s="1150"/>
      <c r="D149" s="1150"/>
      <c r="E149" s="885"/>
      <c r="F149" s="891"/>
      <c r="G149" s="884"/>
      <c r="H149" s="891"/>
      <c r="I149" s="884">
        <f>+F151</f>
        <v>8.5000000000000006E-2</v>
      </c>
      <c r="J149" s="884"/>
      <c r="K149" s="886"/>
      <c r="L149" s="882"/>
      <c r="M149" s="882"/>
      <c r="N149" s="882"/>
      <c r="O149" s="882"/>
      <c r="P149" s="882"/>
      <c r="Q149" s="882"/>
      <c r="R149" s="882"/>
      <c r="S149" s="882"/>
      <c r="T149" s="882"/>
    </row>
    <row r="150" spans="2:20" ht="0.2" customHeight="1">
      <c r="B150" s="1152"/>
      <c r="C150" s="1150"/>
      <c r="D150" s="1150"/>
      <c r="E150" s="885"/>
      <c r="F150" s="891"/>
      <c r="G150" s="884"/>
      <c r="H150" s="884"/>
      <c r="I150" s="891"/>
      <c r="J150" s="884"/>
      <c r="K150" s="882" t="s">
        <v>692</v>
      </c>
      <c r="L150" s="883">
        <v>0</v>
      </c>
      <c r="M150" s="883">
        <v>9</v>
      </c>
      <c r="N150" s="882">
        <f>+F151+G151+I149</f>
        <v>1.3199999999999998</v>
      </c>
      <c r="O150" s="882">
        <f t="shared" ref="O150:T150" si="24">IF(+$K150=O$11,+$L150*$M150*$N150,0)</f>
        <v>0</v>
      </c>
      <c r="P150" s="882">
        <f t="shared" si="24"/>
        <v>0</v>
      </c>
      <c r="Q150" s="882">
        <f t="shared" si="24"/>
        <v>0</v>
      </c>
      <c r="R150" s="882">
        <f t="shared" si="24"/>
        <v>0</v>
      </c>
      <c r="S150" s="882">
        <f t="shared" si="24"/>
        <v>0</v>
      </c>
      <c r="T150" s="882">
        <f t="shared" si="24"/>
        <v>0</v>
      </c>
    </row>
    <row r="151" spans="2:20" ht="0.2" customHeight="1">
      <c r="B151" s="1152"/>
      <c r="C151" s="1150"/>
      <c r="D151" s="1150"/>
      <c r="E151" s="885"/>
      <c r="F151" s="899">
        <v>8.5000000000000006E-2</v>
      </c>
      <c r="G151" s="1155">
        <v>1.1499999999999999</v>
      </c>
      <c r="H151" s="1155"/>
      <c r="I151" s="884"/>
      <c r="J151" s="884"/>
      <c r="K151" s="886"/>
      <c r="L151" s="883"/>
      <c r="M151" s="883"/>
      <c r="N151" s="882"/>
      <c r="O151" s="882"/>
      <c r="P151" s="882"/>
      <c r="Q151" s="882"/>
      <c r="R151" s="882"/>
      <c r="S151" s="882"/>
      <c r="T151" s="882"/>
    </row>
    <row r="152" spans="2:20" ht="0.2" customHeight="1">
      <c r="B152" s="1152"/>
      <c r="C152" s="1150"/>
      <c r="D152" s="1151"/>
      <c r="E152" s="896"/>
      <c r="F152" s="895"/>
      <c r="G152" s="895"/>
      <c r="H152" s="895"/>
      <c r="I152" s="895"/>
      <c r="J152" s="895"/>
      <c r="K152" s="894"/>
      <c r="L152" s="893"/>
      <c r="M152" s="893"/>
      <c r="N152" s="892"/>
      <c r="O152" s="892"/>
      <c r="P152" s="892"/>
      <c r="Q152" s="892"/>
      <c r="R152" s="892"/>
      <c r="S152" s="892"/>
      <c r="T152" s="892"/>
    </row>
    <row r="153" spans="2:20" ht="0.2" customHeight="1">
      <c r="B153" s="1152"/>
      <c r="C153" s="1150"/>
      <c r="D153" s="1149" t="s">
        <v>707</v>
      </c>
      <c r="E153" s="890"/>
      <c r="F153" s="889"/>
      <c r="G153" s="889"/>
      <c r="H153" s="899">
        <v>0.1</v>
      </c>
      <c r="I153" s="889"/>
      <c r="J153" s="889"/>
      <c r="K153" s="887"/>
      <c r="L153" s="887"/>
      <c r="M153" s="887"/>
      <c r="N153" s="887"/>
      <c r="O153" s="887"/>
      <c r="P153" s="887"/>
      <c r="Q153" s="887"/>
      <c r="R153" s="887"/>
      <c r="S153" s="887"/>
      <c r="T153" s="887"/>
    </row>
    <row r="154" spans="2:20" ht="0.2" customHeight="1">
      <c r="B154" s="1152"/>
      <c r="C154" s="1150"/>
      <c r="D154" s="1150"/>
      <c r="E154" s="885"/>
      <c r="F154" s="891"/>
      <c r="G154" s="884"/>
      <c r="H154" s="891"/>
      <c r="I154" s="884"/>
      <c r="J154" s="884"/>
      <c r="K154" s="886"/>
      <c r="L154" s="882"/>
      <c r="M154" s="882"/>
      <c r="N154" s="882"/>
      <c r="O154" s="882"/>
      <c r="P154" s="882"/>
      <c r="Q154" s="882"/>
      <c r="R154" s="882"/>
      <c r="S154" s="882"/>
      <c r="T154" s="882"/>
    </row>
    <row r="155" spans="2:20" ht="0.2" customHeight="1">
      <c r="B155" s="1152"/>
      <c r="C155" s="1150"/>
      <c r="D155" s="1150"/>
      <c r="E155" s="885"/>
      <c r="F155" s="891"/>
      <c r="G155" s="884"/>
      <c r="H155" s="899">
        <v>1.64</v>
      </c>
      <c r="I155" s="891"/>
      <c r="J155" s="884"/>
      <c r="K155" s="882" t="s">
        <v>692</v>
      </c>
      <c r="L155" s="883">
        <v>0</v>
      </c>
      <c r="M155" s="883">
        <v>6</v>
      </c>
      <c r="N155" s="882">
        <f>+H153+G157+H155</f>
        <v>1.8399999999999999</v>
      </c>
      <c r="O155" s="882">
        <f t="shared" ref="O155:T155" si="25">IF(+$K155=O$11,+$L155*$M155*$N155,0)</f>
        <v>0</v>
      </c>
      <c r="P155" s="882">
        <f t="shared" si="25"/>
        <v>0</v>
      </c>
      <c r="Q155" s="882">
        <f t="shared" si="25"/>
        <v>0</v>
      </c>
      <c r="R155" s="882">
        <f t="shared" si="25"/>
        <v>0</v>
      </c>
      <c r="S155" s="882">
        <f t="shared" si="25"/>
        <v>0</v>
      </c>
      <c r="T155" s="882">
        <f t="shared" si="25"/>
        <v>0</v>
      </c>
    </row>
    <row r="156" spans="2:20" ht="0.2" customHeight="1">
      <c r="B156" s="1152"/>
      <c r="C156" s="1150"/>
      <c r="D156" s="1150"/>
      <c r="E156" s="885"/>
      <c r="F156" s="884"/>
      <c r="G156" s="891"/>
      <c r="H156" s="898"/>
      <c r="I156" s="884"/>
      <c r="J156" s="884"/>
      <c r="K156" s="886"/>
      <c r="L156" s="883"/>
      <c r="M156" s="883"/>
      <c r="N156" s="882"/>
      <c r="O156" s="882"/>
      <c r="P156" s="882"/>
      <c r="Q156" s="882"/>
      <c r="R156" s="882"/>
      <c r="S156" s="882"/>
      <c r="T156" s="882"/>
    </row>
    <row r="157" spans="2:20" ht="0.2" customHeight="1">
      <c r="B157" s="1152"/>
      <c r="C157" s="1150"/>
      <c r="D157" s="1151"/>
      <c r="E157" s="896"/>
      <c r="F157" s="895"/>
      <c r="G157" s="898">
        <v>0.1</v>
      </c>
      <c r="H157" s="895"/>
      <c r="I157" s="895"/>
      <c r="J157" s="895"/>
      <c r="K157" s="894"/>
      <c r="L157" s="893"/>
      <c r="M157" s="893"/>
      <c r="N157" s="892"/>
      <c r="O157" s="892"/>
      <c r="P157" s="892"/>
      <c r="Q157" s="892"/>
      <c r="R157" s="892"/>
      <c r="S157" s="892"/>
      <c r="T157" s="892"/>
    </row>
    <row r="158" spans="2:20" ht="0.2" customHeight="1">
      <c r="B158" s="1152"/>
      <c r="C158" s="1150"/>
      <c r="D158" s="1149" t="s">
        <v>706</v>
      </c>
      <c r="E158" s="890"/>
      <c r="F158" s="889"/>
      <c r="G158" s="889"/>
      <c r="H158" s="889"/>
      <c r="I158" s="889"/>
      <c r="J158" s="889"/>
      <c r="K158" s="887"/>
      <c r="L158" s="888"/>
      <c r="M158" s="888"/>
      <c r="N158" s="907"/>
      <c r="O158" s="907"/>
      <c r="P158" s="907"/>
      <c r="Q158" s="907"/>
      <c r="R158" s="907"/>
      <c r="S158" s="907"/>
      <c r="T158" s="907"/>
    </row>
    <row r="159" spans="2:20" ht="0.2" customHeight="1">
      <c r="B159" s="1152"/>
      <c r="C159" s="1150"/>
      <c r="D159" s="1150"/>
      <c r="E159" s="885"/>
      <c r="F159" s="899">
        <v>0.1</v>
      </c>
      <c r="G159" s="884"/>
      <c r="H159" s="891"/>
      <c r="I159" s="884">
        <f>+F159</f>
        <v>0.1</v>
      </c>
      <c r="J159" s="884"/>
      <c r="K159" s="886"/>
      <c r="L159" s="882"/>
      <c r="M159" s="882"/>
      <c r="N159" s="882"/>
      <c r="O159" s="882"/>
      <c r="P159" s="882"/>
      <c r="Q159" s="882"/>
      <c r="R159" s="882"/>
      <c r="S159" s="882"/>
      <c r="T159" s="882"/>
    </row>
    <row r="160" spans="2:20" ht="0.2" customHeight="1">
      <c r="B160" s="1152"/>
      <c r="C160" s="1150"/>
      <c r="D160" s="1150"/>
      <c r="E160" s="885"/>
      <c r="F160" s="891"/>
      <c r="G160" s="884"/>
      <c r="H160" s="884"/>
      <c r="I160" s="891"/>
      <c r="J160" s="884"/>
      <c r="K160" s="882" t="s">
        <v>692</v>
      </c>
      <c r="L160" s="883">
        <v>0</v>
      </c>
      <c r="M160" s="883">
        <v>9</v>
      </c>
      <c r="N160" s="882">
        <f>+F159+G161+I159</f>
        <v>1.7200000000000002</v>
      </c>
      <c r="O160" s="886"/>
      <c r="P160" s="886"/>
      <c r="Q160" s="886"/>
      <c r="R160" s="886"/>
      <c r="S160" s="886"/>
      <c r="T160" s="886"/>
    </row>
    <row r="161" spans="2:20" ht="0.2" customHeight="1">
      <c r="B161" s="1152"/>
      <c r="C161" s="1150"/>
      <c r="D161" s="1150"/>
      <c r="E161" s="885"/>
      <c r="F161" s="884"/>
      <c r="G161" s="1155">
        <v>1.52</v>
      </c>
      <c r="H161" s="1155"/>
      <c r="I161" s="884"/>
      <c r="J161" s="884"/>
      <c r="K161" s="886"/>
      <c r="L161" s="883"/>
      <c r="M161" s="883"/>
      <c r="N161" s="882"/>
      <c r="O161" s="882">
        <f t="shared" ref="O161:T161" si="26">IF(+$K161=O$11,+$L161*$M161*$N161,0)</f>
        <v>0</v>
      </c>
      <c r="P161" s="882">
        <f t="shared" si="26"/>
        <v>0</v>
      </c>
      <c r="Q161" s="882">
        <f t="shared" si="26"/>
        <v>0</v>
      </c>
      <c r="R161" s="882">
        <f t="shared" si="26"/>
        <v>0</v>
      </c>
      <c r="S161" s="882">
        <f t="shared" si="26"/>
        <v>0</v>
      </c>
      <c r="T161" s="882">
        <f t="shared" si="26"/>
        <v>0</v>
      </c>
    </row>
    <row r="162" spans="2:20" ht="0.2" customHeight="1">
      <c r="B162" s="1152"/>
      <c r="C162" s="1150"/>
      <c r="D162" s="1151"/>
      <c r="E162" s="896"/>
      <c r="F162" s="895"/>
      <c r="G162" s="895"/>
      <c r="H162" s="895"/>
      <c r="I162" s="895"/>
      <c r="J162" s="895"/>
      <c r="K162" s="894"/>
      <c r="L162" s="893"/>
      <c r="M162" s="893"/>
      <c r="N162" s="892"/>
      <c r="O162" s="892"/>
      <c r="P162" s="892"/>
      <c r="Q162" s="892"/>
      <c r="R162" s="892"/>
      <c r="S162" s="892"/>
      <c r="T162" s="892"/>
    </row>
    <row r="163" spans="2:20" ht="0.2" customHeight="1">
      <c r="B163" s="1152"/>
      <c r="C163" s="1150"/>
      <c r="D163" s="1149" t="s">
        <v>705</v>
      </c>
      <c r="E163" s="890"/>
      <c r="F163" s="889"/>
      <c r="G163" s="889"/>
      <c r="H163" s="900">
        <f>G167</f>
        <v>0.1</v>
      </c>
      <c r="I163" s="889"/>
      <c r="J163" s="889"/>
      <c r="K163" s="887"/>
      <c r="L163" s="888"/>
      <c r="M163" s="888"/>
      <c r="N163" s="907"/>
      <c r="O163" s="907"/>
      <c r="P163" s="907"/>
      <c r="Q163" s="907"/>
      <c r="R163" s="907"/>
      <c r="S163" s="907"/>
      <c r="T163" s="907"/>
    </row>
    <row r="164" spans="2:20" ht="0.2" customHeight="1">
      <c r="B164" s="1152"/>
      <c r="C164" s="1150"/>
      <c r="D164" s="1150"/>
      <c r="E164" s="885"/>
      <c r="F164" s="884"/>
      <c r="G164" s="884"/>
      <c r="H164" s="884"/>
      <c r="I164" s="884"/>
      <c r="J164" s="884"/>
      <c r="K164" s="886"/>
      <c r="L164" s="883"/>
      <c r="M164" s="883"/>
      <c r="N164" s="882"/>
      <c r="O164" s="882"/>
      <c r="P164" s="882"/>
      <c r="Q164" s="882"/>
      <c r="R164" s="882"/>
      <c r="S164" s="882"/>
      <c r="T164" s="882"/>
    </row>
    <row r="165" spans="2:20" ht="0.2" customHeight="1">
      <c r="B165" s="1152"/>
      <c r="C165" s="1150"/>
      <c r="D165" s="1150"/>
      <c r="E165" s="885"/>
      <c r="F165" s="891"/>
      <c r="G165" s="891"/>
      <c r="H165" s="906">
        <v>1.64</v>
      </c>
      <c r="I165" s="891"/>
      <c r="J165" s="884"/>
      <c r="K165" s="882" t="s">
        <v>692</v>
      </c>
      <c r="L165" s="883">
        <v>0</v>
      </c>
      <c r="M165" s="883">
        <v>6</v>
      </c>
      <c r="N165" s="882">
        <f>+H165+G167+H163</f>
        <v>1.84</v>
      </c>
      <c r="O165" s="882">
        <f t="shared" ref="O165:T165" si="27">IF(+$K165=O$11,+$L165*$M165*$N165,0)</f>
        <v>0</v>
      </c>
      <c r="P165" s="882">
        <f t="shared" si="27"/>
        <v>0</v>
      </c>
      <c r="Q165" s="882">
        <f t="shared" si="27"/>
        <v>0</v>
      </c>
      <c r="R165" s="882">
        <f t="shared" si="27"/>
        <v>0</v>
      </c>
      <c r="S165" s="882">
        <f t="shared" si="27"/>
        <v>0</v>
      </c>
      <c r="T165" s="882">
        <f t="shared" si="27"/>
        <v>0</v>
      </c>
    </row>
    <row r="166" spans="2:20" ht="0.2" customHeight="1">
      <c r="B166" s="1152"/>
      <c r="C166" s="1150"/>
      <c r="D166" s="1150"/>
      <c r="E166" s="885"/>
      <c r="F166" s="884"/>
      <c r="G166" s="891"/>
      <c r="H166" s="891"/>
      <c r="I166" s="884"/>
      <c r="J166" s="884"/>
      <c r="K166" s="882"/>
      <c r="L166" s="883"/>
      <c r="M166" s="883"/>
      <c r="N166" s="882"/>
      <c r="O166" s="882"/>
      <c r="P166" s="882"/>
      <c r="Q166" s="882"/>
      <c r="R166" s="882"/>
      <c r="S166" s="882"/>
      <c r="T166" s="882"/>
    </row>
    <row r="167" spans="2:20" ht="0.2" customHeight="1">
      <c r="B167" s="1152"/>
      <c r="C167" s="1151"/>
      <c r="D167" s="1151"/>
      <c r="E167" s="896"/>
      <c r="F167" s="895"/>
      <c r="G167" s="895">
        <v>0.1</v>
      </c>
      <c r="H167" s="895"/>
      <c r="I167" s="895"/>
      <c r="J167" s="895"/>
      <c r="K167" s="894"/>
      <c r="L167" s="893"/>
      <c r="M167" s="893"/>
      <c r="N167" s="892"/>
      <c r="O167" s="892"/>
      <c r="P167" s="892"/>
      <c r="Q167" s="892"/>
      <c r="R167" s="892"/>
      <c r="S167" s="892"/>
      <c r="T167" s="892"/>
    </row>
    <row r="168" spans="2:20" ht="0.2" customHeight="1">
      <c r="B168" s="1152"/>
      <c r="C168" s="1149" t="s">
        <v>586</v>
      </c>
      <c r="D168" s="1150" t="s">
        <v>704</v>
      </c>
      <c r="E168" s="885"/>
      <c r="F168" s="884"/>
      <c r="G168" s="884"/>
      <c r="H168" s="884"/>
      <c r="I168" s="884"/>
      <c r="J168" s="884"/>
      <c r="K168" s="886"/>
      <c r="L168" s="886"/>
      <c r="M168" s="886"/>
      <c r="N168" s="886"/>
      <c r="O168" s="886"/>
      <c r="P168" s="886"/>
      <c r="Q168" s="886"/>
      <c r="R168" s="886"/>
      <c r="S168" s="886"/>
      <c r="T168" s="886"/>
    </row>
    <row r="169" spans="2:20" ht="0.2" customHeight="1">
      <c r="B169" s="1152"/>
      <c r="C169" s="1150"/>
      <c r="D169" s="1150"/>
      <c r="E169" s="885"/>
      <c r="F169" s="891"/>
      <c r="G169" s="891"/>
      <c r="H169" s="884"/>
      <c r="I169" s="884"/>
      <c r="J169" s="884"/>
      <c r="K169" s="886"/>
      <c r="L169" s="882"/>
      <c r="M169" s="882"/>
      <c r="N169" s="882"/>
      <c r="O169" s="882"/>
      <c r="P169" s="882"/>
      <c r="Q169" s="882"/>
      <c r="R169" s="882"/>
      <c r="S169" s="882"/>
      <c r="T169" s="882"/>
    </row>
    <row r="170" spans="2:20" ht="0.2" customHeight="1">
      <c r="B170" s="1152"/>
      <c r="C170" s="1150"/>
      <c r="D170" s="1150"/>
      <c r="E170" s="885"/>
      <c r="F170" s="884">
        <v>0.1</v>
      </c>
      <c r="G170" s="891"/>
      <c r="H170" s="891"/>
      <c r="I170" s="897">
        <v>0.1</v>
      </c>
      <c r="J170" s="884"/>
      <c r="K170" s="882" t="s">
        <v>692</v>
      </c>
      <c r="L170" s="883">
        <v>0</v>
      </c>
      <c r="M170" s="883">
        <v>2</v>
      </c>
      <c r="N170" s="882">
        <f>+F170+G171</f>
        <v>1.2000000000000002</v>
      </c>
      <c r="O170" s="882">
        <f t="shared" ref="O170:T170" si="28">IF(+$K170=O$11,+$L170*$M170*$N170,0)</f>
        <v>0</v>
      </c>
      <c r="P170" s="882">
        <f t="shared" si="28"/>
        <v>0</v>
      </c>
      <c r="Q170" s="882">
        <f t="shared" si="28"/>
        <v>0</v>
      </c>
      <c r="R170" s="882">
        <f t="shared" si="28"/>
        <v>0</v>
      </c>
      <c r="S170" s="882">
        <f t="shared" si="28"/>
        <v>0</v>
      </c>
      <c r="T170" s="882">
        <f t="shared" si="28"/>
        <v>0</v>
      </c>
    </row>
    <row r="171" spans="2:20" ht="0.2" customHeight="1">
      <c r="B171" s="1152"/>
      <c r="C171" s="1150"/>
      <c r="D171" s="1150"/>
      <c r="E171" s="885"/>
      <c r="F171" s="884"/>
      <c r="G171" s="904">
        <v>1.1000000000000001</v>
      </c>
      <c r="H171" s="905"/>
      <c r="I171" s="884"/>
      <c r="J171" s="884"/>
      <c r="K171" s="886"/>
      <c r="L171" s="883"/>
      <c r="M171" s="883"/>
      <c r="N171" s="882"/>
      <c r="O171" s="882"/>
      <c r="P171" s="882"/>
      <c r="Q171" s="882"/>
      <c r="R171" s="882"/>
      <c r="S171" s="882"/>
      <c r="T171" s="882"/>
    </row>
    <row r="172" spans="2:20" ht="0.2" customHeight="1">
      <c r="B172" s="1152"/>
      <c r="C172" s="1150"/>
      <c r="D172" s="1150"/>
      <c r="E172" s="885"/>
      <c r="F172" s="884"/>
      <c r="G172" s="884"/>
      <c r="H172" s="884"/>
      <c r="I172" s="884"/>
      <c r="J172" s="884"/>
      <c r="K172" s="886"/>
      <c r="L172" s="883"/>
      <c r="M172" s="883"/>
      <c r="N172" s="882"/>
      <c r="O172" s="882"/>
      <c r="P172" s="882"/>
      <c r="Q172" s="882"/>
      <c r="R172" s="882"/>
      <c r="S172" s="882"/>
      <c r="T172" s="882"/>
    </row>
    <row r="173" spans="2:20" ht="0.2" customHeight="1">
      <c r="B173" s="1152"/>
      <c r="C173" s="1150"/>
      <c r="D173" s="1149" t="s">
        <v>703</v>
      </c>
      <c r="E173" s="890"/>
      <c r="F173" s="889"/>
      <c r="G173" s="889"/>
      <c r="H173" s="889"/>
      <c r="I173" s="889"/>
      <c r="J173" s="889"/>
      <c r="K173" s="887"/>
      <c r="L173" s="887"/>
      <c r="M173" s="887"/>
      <c r="N173" s="887"/>
      <c r="O173" s="887"/>
      <c r="P173" s="887"/>
      <c r="Q173" s="887"/>
      <c r="R173" s="887"/>
      <c r="S173" s="887"/>
      <c r="T173" s="887"/>
    </row>
    <row r="174" spans="2:20" ht="0.2" customHeight="1">
      <c r="B174" s="1152"/>
      <c r="C174" s="1150"/>
      <c r="D174" s="1150"/>
      <c r="E174" s="885"/>
      <c r="F174" s="884"/>
      <c r="G174" s="884"/>
      <c r="H174" s="884"/>
      <c r="I174" s="884"/>
      <c r="J174" s="884"/>
      <c r="K174" s="886"/>
      <c r="L174" s="882"/>
      <c r="M174" s="882"/>
      <c r="N174" s="882"/>
      <c r="O174" s="882"/>
      <c r="P174" s="882"/>
      <c r="Q174" s="882"/>
      <c r="R174" s="882"/>
      <c r="S174" s="882"/>
      <c r="T174" s="882"/>
    </row>
    <row r="175" spans="2:20" ht="0.2" customHeight="1">
      <c r="B175" s="1152"/>
      <c r="C175" s="1150"/>
      <c r="D175" s="1150"/>
      <c r="E175" s="885"/>
      <c r="F175" s="891"/>
      <c r="G175" s="891"/>
      <c r="H175" s="884">
        <v>0.66</v>
      </c>
      <c r="I175" s="891"/>
      <c r="J175" s="884"/>
      <c r="K175" s="882" t="s">
        <v>692</v>
      </c>
      <c r="L175" s="883">
        <v>0</v>
      </c>
      <c r="M175" s="883">
        <v>6</v>
      </c>
      <c r="N175" s="882">
        <f>+G177+H175</f>
        <v>0.91</v>
      </c>
      <c r="O175" s="882">
        <f t="shared" ref="O175:T175" si="29">IF(+$K175=O$11,+$L175*$M175*$N175,0)</f>
        <v>0</v>
      </c>
      <c r="P175" s="882">
        <f t="shared" si="29"/>
        <v>0</v>
      </c>
      <c r="Q175" s="882">
        <f t="shared" si="29"/>
        <v>0</v>
      </c>
      <c r="R175" s="882">
        <f t="shared" si="29"/>
        <v>0</v>
      </c>
      <c r="S175" s="882">
        <f t="shared" si="29"/>
        <v>0</v>
      </c>
      <c r="T175" s="882">
        <f t="shared" si="29"/>
        <v>0</v>
      </c>
    </row>
    <row r="176" spans="2:20" ht="0.2" customHeight="1">
      <c r="B176" s="1152"/>
      <c r="C176" s="1150"/>
      <c r="D176" s="1150"/>
      <c r="E176" s="885"/>
      <c r="F176" s="891"/>
      <c r="G176" s="891"/>
      <c r="H176" s="884"/>
      <c r="I176" s="891"/>
      <c r="J176" s="884"/>
      <c r="K176" s="882"/>
      <c r="L176" s="883"/>
      <c r="M176" s="883"/>
      <c r="N176" s="882"/>
      <c r="O176" s="882"/>
      <c r="P176" s="882"/>
      <c r="Q176" s="882"/>
      <c r="R176" s="882"/>
      <c r="S176" s="882"/>
      <c r="T176" s="882"/>
    </row>
    <row r="177" spans="2:20" ht="0.2" customHeight="1">
      <c r="B177" s="1152"/>
      <c r="C177" s="1150"/>
      <c r="D177" s="1151"/>
      <c r="E177" s="896"/>
      <c r="F177" s="895"/>
      <c r="G177" s="904">
        <v>0.25</v>
      </c>
      <c r="H177" s="903"/>
      <c r="I177" s="895"/>
      <c r="J177" s="895"/>
      <c r="K177" s="894"/>
      <c r="L177" s="893"/>
      <c r="M177" s="893"/>
      <c r="N177" s="892"/>
      <c r="O177" s="892"/>
      <c r="P177" s="892"/>
      <c r="Q177" s="892"/>
      <c r="R177" s="892"/>
      <c r="S177" s="892"/>
      <c r="T177" s="892"/>
    </row>
    <row r="178" spans="2:20" ht="0.2" customHeight="1">
      <c r="B178" s="1152"/>
      <c r="C178" s="1150"/>
      <c r="D178" s="1149" t="s">
        <v>702</v>
      </c>
      <c r="E178" s="890"/>
      <c r="F178" s="889"/>
      <c r="G178" s="889"/>
      <c r="H178" s="889"/>
      <c r="I178" s="889"/>
      <c r="J178" s="889"/>
      <c r="K178" s="887"/>
      <c r="L178" s="887"/>
      <c r="M178" s="887"/>
      <c r="N178" s="887"/>
      <c r="O178" s="887"/>
      <c r="P178" s="887"/>
      <c r="Q178" s="887"/>
      <c r="R178" s="887"/>
      <c r="S178" s="887"/>
      <c r="T178" s="887"/>
    </row>
    <row r="179" spans="2:20" ht="0.2" customHeight="1">
      <c r="B179" s="1152"/>
      <c r="C179" s="1150"/>
      <c r="D179" s="1150"/>
      <c r="E179" s="885"/>
      <c r="F179" s="884"/>
      <c r="G179" s="884"/>
      <c r="H179" s="884"/>
      <c r="I179" s="884"/>
      <c r="J179" s="884"/>
      <c r="K179" s="886"/>
      <c r="L179" s="882"/>
      <c r="M179" s="882"/>
      <c r="N179" s="882"/>
      <c r="O179" s="882"/>
      <c r="P179" s="882"/>
      <c r="Q179" s="882"/>
      <c r="R179" s="882"/>
      <c r="S179" s="882"/>
      <c r="T179" s="882"/>
    </row>
    <row r="180" spans="2:20" ht="0.2" customHeight="1">
      <c r="B180" s="1152"/>
      <c r="C180" s="1150"/>
      <c r="D180" s="1150"/>
      <c r="E180" s="885"/>
      <c r="F180" s="899">
        <v>1.1499999999999999</v>
      </c>
      <c r="G180" s="884"/>
      <c r="H180" s="891"/>
      <c r="I180" s="884"/>
      <c r="J180" s="884"/>
      <c r="K180" s="882" t="s">
        <v>692</v>
      </c>
      <c r="L180" s="883">
        <v>0</v>
      </c>
      <c r="M180" s="883">
        <v>8</v>
      </c>
      <c r="N180" s="882">
        <f>+F180+G182+G178</f>
        <v>1.4</v>
      </c>
      <c r="O180" s="882">
        <f t="shared" ref="O180:T180" si="30">IF(+$K180=O$11,+$L180*$M180*$N180,0)</f>
        <v>0</v>
      </c>
      <c r="P180" s="882">
        <f t="shared" si="30"/>
        <v>0</v>
      </c>
      <c r="Q180" s="882">
        <f t="shared" si="30"/>
        <v>0</v>
      </c>
      <c r="R180" s="882">
        <f t="shared" si="30"/>
        <v>0</v>
      </c>
      <c r="S180" s="882">
        <f t="shared" si="30"/>
        <v>0</v>
      </c>
      <c r="T180" s="882">
        <f t="shared" si="30"/>
        <v>0</v>
      </c>
    </row>
    <row r="181" spans="2:20" ht="0.2" customHeight="1">
      <c r="B181" s="1152"/>
      <c r="C181" s="1150"/>
      <c r="D181" s="1150"/>
      <c r="E181" s="885"/>
      <c r="F181" s="891"/>
      <c r="G181" s="884"/>
      <c r="H181" s="884"/>
      <c r="I181" s="891"/>
      <c r="J181" s="884"/>
      <c r="K181" s="882"/>
      <c r="L181" s="883"/>
      <c r="M181" s="883"/>
      <c r="N181" s="882"/>
      <c r="O181" s="882"/>
      <c r="P181" s="882"/>
      <c r="Q181" s="882"/>
      <c r="R181" s="882"/>
      <c r="S181" s="882"/>
      <c r="T181" s="882"/>
    </row>
    <row r="182" spans="2:20" ht="0.2" customHeight="1">
      <c r="B182" s="1152"/>
      <c r="C182" s="1150"/>
      <c r="D182" s="1151"/>
      <c r="E182" s="896"/>
      <c r="F182" s="895"/>
      <c r="G182" s="901">
        <v>0.25</v>
      </c>
      <c r="H182" s="895"/>
      <c r="I182" s="895"/>
      <c r="J182" s="895"/>
      <c r="K182" s="894"/>
      <c r="L182" s="893"/>
      <c r="M182" s="893"/>
      <c r="N182" s="892"/>
      <c r="O182" s="892"/>
      <c r="P182" s="892"/>
      <c r="Q182" s="892"/>
      <c r="R182" s="892"/>
      <c r="S182" s="892"/>
      <c r="T182" s="892"/>
    </row>
    <row r="183" spans="2:20" ht="0.2" customHeight="1">
      <c r="B183" s="1152"/>
      <c r="C183" s="1150"/>
      <c r="D183" s="1149" t="s">
        <v>701</v>
      </c>
      <c r="E183" s="890"/>
      <c r="F183" s="884"/>
      <c r="G183" s="899">
        <f>G187</f>
        <v>0.25</v>
      </c>
      <c r="H183" s="884"/>
      <c r="I183" s="889"/>
      <c r="J183" s="889"/>
      <c r="K183" s="887"/>
      <c r="L183" s="887"/>
      <c r="M183" s="887"/>
      <c r="N183" s="887"/>
      <c r="O183" s="887"/>
      <c r="P183" s="887"/>
      <c r="Q183" s="887"/>
      <c r="R183" s="887"/>
      <c r="S183" s="887"/>
      <c r="T183" s="887"/>
    </row>
    <row r="184" spans="2:20" ht="0.2" customHeight="1">
      <c r="B184" s="1152"/>
      <c r="C184" s="1150"/>
      <c r="D184" s="1150"/>
      <c r="E184" s="885"/>
      <c r="F184" s="891"/>
      <c r="G184" s="891"/>
      <c r="H184" s="884"/>
      <c r="I184" s="884"/>
      <c r="J184" s="884"/>
      <c r="K184" s="886"/>
      <c r="L184" s="882"/>
      <c r="M184" s="882"/>
      <c r="N184" s="882"/>
      <c r="O184" s="882"/>
      <c r="P184" s="882"/>
      <c r="Q184" s="882"/>
      <c r="R184" s="882"/>
      <c r="S184" s="882"/>
      <c r="T184" s="882"/>
    </row>
    <row r="185" spans="2:20" ht="0.2" customHeight="1">
      <c r="B185" s="1152"/>
      <c r="C185" s="1150"/>
      <c r="D185" s="1150"/>
      <c r="E185" s="885"/>
      <c r="F185" s="891"/>
      <c r="G185" s="891"/>
      <c r="H185" s="891"/>
      <c r="I185" s="891"/>
      <c r="J185" s="884"/>
      <c r="K185" s="882" t="s">
        <v>692</v>
      </c>
      <c r="L185" s="883">
        <v>0</v>
      </c>
      <c r="M185" s="883">
        <v>6</v>
      </c>
      <c r="N185" s="882">
        <f>+H186+G187+G183</f>
        <v>2.0469999999999997</v>
      </c>
      <c r="O185" s="882">
        <f t="shared" ref="O185:T185" si="31">IF(+$K185=O$11,+$L185*$M185*$N185,0)</f>
        <v>0</v>
      </c>
      <c r="P185" s="882">
        <f t="shared" si="31"/>
        <v>0</v>
      </c>
      <c r="Q185" s="882">
        <f t="shared" si="31"/>
        <v>0</v>
      </c>
      <c r="R185" s="882">
        <f t="shared" si="31"/>
        <v>0</v>
      </c>
      <c r="S185" s="882">
        <f t="shared" si="31"/>
        <v>0</v>
      </c>
      <c r="T185" s="882">
        <f t="shared" si="31"/>
        <v>0</v>
      </c>
    </row>
    <row r="186" spans="2:20" ht="0.2" customHeight="1">
      <c r="B186" s="1152"/>
      <c r="C186" s="1150"/>
      <c r="D186" s="1150"/>
      <c r="E186" s="885"/>
      <c r="F186" s="884"/>
      <c r="G186" s="891"/>
      <c r="H186" s="899">
        <v>1.5469999999999999</v>
      </c>
      <c r="I186" s="891"/>
      <c r="J186" s="884"/>
      <c r="K186" s="882"/>
      <c r="L186" s="883"/>
      <c r="M186" s="883"/>
      <c r="N186" s="882"/>
      <c r="O186" s="882"/>
      <c r="P186" s="882"/>
      <c r="Q186" s="882"/>
      <c r="R186" s="882"/>
      <c r="S186" s="882"/>
      <c r="T186" s="882"/>
    </row>
    <row r="187" spans="2:20" ht="0.2" customHeight="1">
      <c r="B187" s="1152"/>
      <c r="C187" s="1150"/>
      <c r="D187" s="1151"/>
      <c r="E187" s="896"/>
      <c r="F187" s="895"/>
      <c r="G187" s="902">
        <v>0.25</v>
      </c>
      <c r="H187" s="895"/>
      <c r="I187" s="895"/>
      <c r="J187" s="895"/>
      <c r="K187" s="894"/>
      <c r="L187" s="893"/>
      <c r="M187" s="893"/>
      <c r="N187" s="892"/>
      <c r="O187" s="892"/>
      <c r="P187" s="892"/>
      <c r="Q187" s="892"/>
      <c r="R187" s="892"/>
      <c r="S187" s="892"/>
      <c r="T187" s="892"/>
    </row>
    <row r="188" spans="2:20" ht="0.2" customHeight="1">
      <c r="B188" s="1152"/>
      <c r="C188" s="1150"/>
      <c r="D188" s="1149" t="s">
        <v>700</v>
      </c>
      <c r="E188" s="890"/>
      <c r="F188" s="889"/>
      <c r="G188" s="889"/>
      <c r="H188" s="889"/>
      <c r="I188" s="889"/>
      <c r="J188" s="889"/>
      <c r="K188" s="887"/>
      <c r="L188" s="887"/>
      <c r="M188" s="887"/>
      <c r="N188" s="887"/>
      <c r="O188" s="887"/>
      <c r="P188" s="887"/>
      <c r="Q188" s="887"/>
      <c r="R188" s="887"/>
      <c r="S188" s="887"/>
      <c r="T188" s="887"/>
    </row>
    <row r="189" spans="2:20" ht="0.2" customHeight="1">
      <c r="B189" s="1152"/>
      <c r="C189" s="1150"/>
      <c r="D189" s="1150"/>
      <c r="E189" s="885"/>
      <c r="F189" s="884"/>
      <c r="G189" s="884"/>
      <c r="H189" s="884"/>
      <c r="I189" s="884"/>
      <c r="J189" s="884"/>
      <c r="K189" s="886"/>
      <c r="L189" s="882"/>
      <c r="M189" s="882"/>
      <c r="N189" s="882"/>
      <c r="O189" s="882"/>
      <c r="P189" s="882"/>
      <c r="Q189" s="882"/>
      <c r="R189" s="882"/>
      <c r="S189" s="882"/>
      <c r="T189" s="882"/>
    </row>
    <row r="190" spans="2:20" ht="0.2" customHeight="1">
      <c r="B190" s="1152"/>
      <c r="C190" s="1150"/>
      <c r="D190" s="1150"/>
      <c r="E190" s="885"/>
      <c r="F190" s="899">
        <v>1.1499999999999999</v>
      </c>
      <c r="G190" s="884"/>
      <c r="H190" s="891"/>
      <c r="I190" s="884"/>
      <c r="J190" s="884"/>
      <c r="K190" s="882" t="s">
        <v>692</v>
      </c>
      <c r="L190" s="883">
        <v>0</v>
      </c>
      <c r="M190" s="883">
        <v>8</v>
      </c>
      <c r="N190" s="882">
        <f>+F190+G192+G188</f>
        <v>1.4</v>
      </c>
      <c r="O190" s="882">
        <f t="shared" ref="O190:T190" si="32">IF(+$K190=O$11,+$L190*$M190*$N190,0)</f>
        <v>0</v>
      </c>
      <c r="P190" s="882">
        <f t="shared" si="32"/>
        <v>0</v>
      </c>
      <c r="Q190" s="882">
        <f t="shared" si="32"/>
        <v>0</v>
      </c>
      <c r="R190" s="882">
        <f t="shared" si="32"/>
        <v>0</v>
      </c>
      <c r="S190" s="882">
        <f t="shared" si="32"/>
        <v>0</v>
      </c>
      <c r="T190" s="882">
        <f t="shared" si="32"/>
        <v>0</v>
      </c>
    </row>
    <row r="191" spans="2:20" ht="0.2" customHeight="1">
      <c r="B191" s="1152"/>
      <c r="C191" s="1150"/>
      <c r="D191" s="1150"/>
      <c r="E191" s="885"/>
      <c r="F191" s="891"/>
      <c r="G191" s="884"/>
      <c r="H191" s="884"/>
      <c r="I191" s="891"/>
      <c r="J191" s="884"/>
      <c r="K191" s="882"/>
      <c r="L191" s="883"/>
      <c r="M191" s="883"/>
      <c r="N191" s="882"/>
      <c r="O191" s="882"/>
      <c r="P191" s="882"/>
      <c r="Q191" s="882"/>
      <c r="R191" s="882"/>
      <c r="S191" s="882"/>
      <c r="T191" s="882"/>
    </row>
    <row r="192" spans="2:20" ht="0.2" customHeight="1">
      <c r="B192" s="1152"/>
      <c r="C192" s="1150"/>
      <c r="D192" s="1151"/>
      <c r="E192" s="896"/>
      <c r="F192" s="895"/>
      <c r="G192" s="901">
        <v>0.25</v>
      </c>
      <c r="H192" s="895"/>
      <c r="I192" s="895"/>
      <c r="J192" s="895"/>
      <c r="K192" s="894"/>
      <c r="L192" s="893"/>
      <c r="M192" s="893"/>
      <c r="N192" s="892"/>
      <c r="O192" s="892"/>
      <c r="P192" s="892"/>
      <c r="Q192" s="892"/>
      <c r="R192" s="892"/>
      <c r="S192" s="892"/>
      <c r="T192" s="892"/>
    </row>
    <row r="193" spans="2:20" ht="0.2" customHeight="1">
      <c r="B193" s="1152"/>
      <c r="C193" s="1150"/>
      <c r="D193" s="1149" t="s">
        <v>699</v>
      </c>
      <c r="E193" s="890"/>
      <c r="F193" s="884"/>
      <c r="G193" s="884"/>
      <c r="H193" s="884"/>
      <c r="I193" s="889"/>
      <c r="J193" s="889"/>
      <c r="K193" s="887"/>
      <c r="L193" s="887"/>
      <c r="M193" s="887"/>
      <c r="N193" s="887"/>
      <c r="O193" s="887"/>
      <c r="P193" s="887"/>
      <c r="Q193" s="887"/>
      <c r="R193" s="887"/>
      <c r="S193" s="887"/>
      <c r="T193" s="887"/>
    </row>
    <row r="194" spans="2:20" ht="0.2" customHeight="1">
      <c r="B194" s="1152"/>
      <c r="C194" s="1150"/>
      <c r="D194" s="1150"/>
      <c r="E194" s="885"/>
      <c r="F194" s="891"/>
      <c r="G194" s="891"/>
      <c r="H194" s="884"/>
      <c r="I194" s="884"/>
      <c r="J194" s="884"/>
      <c r="K194" s="886"/>
      <c r="L194" s="882"/>
      <c r="M194" s="882"/>
      <c r="N194" s="882"/>
      <c r="O194" s="882"/>
      <c r="P194" s="882"/>
      <c r="Q194" s="882"/>
      <c r="R194" s="882"/>
      <c r="S194" s="882"/>
      <c r="T194" s="882"/>
    </row>
    <row r="195" spans="2:20" ht="0.2" customHeight="1">
      <c r="B195" s="1152"/>
      <c r="C195" s="1150"/>
      <c r="D195" s="1150"/>
      <c r="E195" s="885"/>
      <c r="F195" s="884">
        <v>0.25</v>
      </c>
      <c r="G195" s="891"/>
      <c r="H195" s="891"/>
      <c r="I195" s="900">
        <f>F195</f>
        <v>0.25</v>
      </c>
      <c r="J195" s="884"/>
      <c r="K195" s="882" t="s">
        <v>692</v>
      </c>
      <c r="L195" s="883">
        <v>0</v>
      </c>
      <c r="M195" s="883">
        <v>6</v>
      </c>
      <c r="N195" s="882">
        <f>+F195+G196+I195</f>
        <v>1.5489999999999999</v>
      </c>
      <c r="O195" s="882">
        <f t="shared" ref="O195:T195" si="33">IF(+$K195=O$11,+$L195*$M195*$N195,0)</f>
        <v>0</v>
      </c>
      <c r="P195" s="882">
        <f t="shared" si="33"/>
        <v>0</v>
      </c>
      <c r="Q195" s="882">
        <f t="shared" si="33"/>
        <v>0</v>
      </c>
      <c r="R195" s="882">
        <f t="shared" si="33"/>
        <v>0</v>
      </c>
      <c r="S195" s="882">
        <f t="shared" si="33"/>
        <v>0</v>
      </c>
      <c r="T195" s="882">
        <f t="shared" si="33"/>
        <v>0</v>
      </c>
    </row>
    <row r="196" spans="2:20" ht="0.2" customHeight="1">
      <c r="B196" s="1152"/>
      <c r="C196" s="1150"/>
      <c r="D196" s="1150"/>
      <c r="E196" s="885"/>
      <c r="F196" s="884"/>
      <c r="G196" s="1165">
        <v>1.0489999999999999</v>
      </c>
      <c r="H196" s="1165"/>
      <c r="I196" s="884"/>
      <c r="J196" s="884"/>
      <c r="K196" s="886"/>
      <c r="L196" s="883"/>
      <c r="M196" s="883"/>
      <c r="N196" s="882"/>
      <c r="O196" s="882"/>
      <c r="P196" s="882"/>
      <c r="Q196" s="882"/>
      <c r="R196" s="882"/>
      <c r="S196" s="882"/>
      <c r="T196" s="882"/>
    </row>
    <row r="197" spans="2:20" ht="0.2" customHeight="1">
      <c r="B197" s="1152"/>
      <c r="C197" s="1150"/>
      <c r="D197" s="1151"/>
      <c r="E197" s="896"/>
      <c r="F197" s="895"/>
      <c r="G197" s="895"/>
      <c r="H197" s="895"/>
      <c r="I197" s="895"/>
      <c r="J197" s="895"/>
      <c r="K197" s="894"/>
      <c r="L197" s="893"/>
      <c r="M197" s="893"/>
      <c r="N197" s="892"/>
      <c r="O197" s="892"/>
      <c r="P197" s="892"/>
      <c r="Q197" s="892"/>
      <c r="R197" s="892"/>
      <c r="S197" s="892"/>
      <c r="T197" s="892"/>
    </row>
    <row r="198" spans="2:20" ht="0.2" customHeight="1">
      <c r="B198" s="1152"/>
      <c r="C198" s="1150"/>
      <c r="D198" s="1149" t="s">
        <v>698</v>
      </c>
      <c r="E198" s="890"/>
      <c r="F198" s="889"/>
      <c r="G198" s="889">
        <v>0.25</v>
      </c>
      <c r="H198" s="889"/>
      <c r="I198" s="889"/>
      <c r="J198" s="889"/>
      <c r="K198" s="887"/>
      <c r="L198" s="887"/>
      <c r="M198" s="887"/>
      <c r="N198" s="887"/>
      <c r="O198" s="887"/>
      <c r="P198" s="887"/>
      <c r="Q198" s="887"/>
      <c r="R198" s="887"/>
      <c r="S198" s="887"/>
      <c r="T198" s="887"/>
    </row>
    <row r="199" spans="2:20" ht="0.2" customHeight="1">
      <c r="B199" s="1152"/>
      <c r="C199" s="1150"/>
      <c r="D199" s="1150"/>
      <c r="E199" s="885"/>
      <c r="F199" s="899">
        <v>1.3029999999999999</v>
      </c>
      <c r="G199" s="884"/>
      <c r="H199" s="891"/>
      <c r="I199" s="884"/>
      <c r="J199" s="884"/>
      <c r="K199" s="886"/>
      <c r="L199" s="882"/>
      <c r="M199" s="882"/>
      <c r="N199" s="882"/>
      <c r="O199" s="882"/>
      <c r="P199" s="882"/>
      <c r="Q199" s="882"/>
      <c r="R199" s="882"/>
      <c r="S199" s="882"/>
      <c r="T199" s="882"/>
    </row>
    <row r="200" spans="2:20" ht="0.2" customHeight="1">
      <c r="B200" s="1152"/>
      <c r="C200" s="1150"/>
      <c r="D200" s="1150"/>
      <c r="E200" s="885"/>
      <c r="F200" s="891"/>
      <c r="G200" s="884"/>
      <c r="H200" s="884"/>
      <c r="I200" s="891"/>
      <c r="J200" s="884"/>
      <c r="K200" s="882" t="s">
        <v>692</v>
      </c>
      <c r="L200" s="883">
        <v>0</v>
      </c>
      <c r="M200" s="883">
        <v>8</v>
      </c>
      <c r="N200" s="882">
        <f>+F199+G201</f>
        <v>1.5529999999999999</v>
      </c>
      <c r="O200" s="882">
        <f t="shared" ref="O200:T200" si="34">IF(+$K200=O$11,+$L200*$M200*$N200,0)</f>
        <v>0</v>
      </c>
      <c r="P200" s="882">
        <f t="shared" si="34"/>
        <v>0</v>
      </c>
      <c r="Q200" s="882">
        <f t="shared" si="34"/>
        <v>0</v>
      </c>
      <c r="R200" s="882">
        <f t="shared" si="34"/>
        <v>0</v>
      </c>
      <c r="S200" s="882">
        <f t="shared" si="34"/>
        <v>0</v>
      </c>
      <c r="T200" s="882">
        <f t="shared" si="34"/>
        <v>0</v>
      </c>
    </row>
    <row r="201" spans="2:20" ht="0.2" customHeight="1">
      <c r="B201" s="1152"/>
      <c r="C201" s="1150"/>
      <c r="D201" s="1150"/>
      <c r="E201" s="885"/>
      <c r="F201" s="884"/>
      <c r="G201" s="898">
        <v>0.25</v>
      </c>
      <c r="H201" s="898"/>
      <c r="I201" s="884"/>
      <c r="J201" s="884"/>
      <c r="K201" s="886"/>
      <c r="L201" s="883"/>
      <c r="M201" s="883"/>
      <c r="N201" s="882"/>
      <c r="O201" s="882"/>
      <c r="P201" s="882"/>
      <c r="Q201" s="882"/>
      <c r="R201" s="882"/>
      <c r="S201" s="882"/>
      <c r="T201" s="882"/>
    </row>
    <row r="202" spans="2:20" ht="0.2" customHeight="1">
      <c r="B202" s="1152"/>
      <c r="C202" s="1150"/>
      <c r="D202" s="1151"/>
      <c r="E202" s="896"/>
      <c r="F202" s="895"/>
      <c r="G202" s="895"/>
      <c r="H202" s="895"/>
      <c r="I202" s="895"/>
      <c r="J202" s="895"/>
      <c r="K202" s="894"/>
      <c r="L202" s="893"/>
      <c r="M202" s="893"/>
      <c r="N202" s="892"/>
      <c r="O202" s="892"/>
      <c r="P202" s="892"/>
      <c r="Q202" s="892"/>
      <c r="R202" s="892"/>
      <c r="S202" s="892"/>
      <c r="T202" s="892"/>
    </row>
    <row r="203" spans="2:20" ht="0.2" customHeight="1">
      <c r="B203" s="1152"/>
      <c r="C203" s="1150"/>
      <c r="D203" s="1149" t="s">
        <v>697</v>
      </c>
      <c r="E203" s="890"/>
      <c r="F203" s="1168">
        <v>0.25</v>
      </c>
      <c r="G203" s="1168"/>
      <c r="H203" s="1169">
        <v>0.25</v>
      </c>
      <c r="I203" s="1169"/>
      <c r="J203" s="889"/>
      <c r="K203" s="887"/>
      <c r="L203" s="887"/>
      <c r="M203" s="887"/>
      <c r="N203" s="887"/>
      <c r="O203" s="887"/>
      <c r="P203" s="887"/>
      <c r="Q203" s="887"/>
      <c r="R203" s="887"/>
      <c r="S203" s="887"/>
      <c r="T203" s="887"/>
    </row>
    <row r="204" spans="2:20" ht="0.2" customHeight="1">
      <c r="B204" s="1152"/>
      <c r="C204" s="1150"/>
      <c r="D204" s="1150"/>
      <c r="E204" s="885"/>
      <c r="F204" s="884">
        <f>I204</f>
        <v>1.546</v>
      </c>
      <c r="G204" s="891"/>
      <c r="H204" s="884"/>
      <c r="I204" s="897">
        <v>1.546</v>
      </c>
      <c r="J204" s="884"/>
      <c r="K204" s="886"/>
      <c r="L204" s="882"/>
      <c r="M204" s="882"/>
      <c r="N204" s="882"/>
      <c r="O204" s="882"/>
      <c r="P204" s="882"/>
      <c r="Q204" s="882"/>
      <c r="R204" s="882"/>
      <c r="S204" s="882"/>
      <c r="T204" s="882"/>
    </row>
    <row r="205" spans="2:20" ht="0.2" customHeight="1">
      <c r="B205" s="1152"/>
      <c r="C205" s="1150"/>
      <c r="D205" s="1150"/>
      <c r="E205" s="885"/>
      <c r="F205" s="891"/>
      <c r="G205" s="891"/>
      <c r="H205" s="891"/>
      <c r="I205" s="891"/>
      <c r="J205" s="884"/>
      <c r="K205" s="882" t="s">
        <v>692</v>
      </c>
      <c r="L205" s="883">
        <v>0</v>
      </c>
      <c r="M205" s="883">
        <v>6</v>
      </c>
      <c r="N205" s="882">
        <f>+F203+H203+I204+F204+G206</f>
        <v>4.8920000000000003</v>
      </c>
      <c r="O205" s="882">
        <f t="shared" ref="O205:T205" si="35">IF(+$K205=O$11,+$L205*$M205*$N205,0)</f>
        <v>0</v>
      </c>
      <c r="P205" s="882">
        <f t="shared" si="35"/>
        <v>0</v>
      </c>
      <c r="Q205" s="882">
        <f t="shared" si="35"/>
        <v>0</v>
      </c>
      <c r="R205" s="882">
        <f t="shared" si="35"/>
        <v>0</v>
      </c>
      <c r="S205" s="882">
        <f t="shared" si="35"/>
        <v>0</v>
      </c>
      <c r="T205" s="882">
        <f t="shared" si="35"/>
        <v>0</v>
      </c>
    </row>
    <row r="206" spans="2:20" ht="0.2" customHeight="1">
      <c r="B206" s="1152"/>
      <c r="C206" s="1150"/>
      <c r="D206" s="1150"/>
      <c r="E206" s="885"/>
      <c r="F206" s="884"/>
      <c r="G206" s="1170">
        <v>1.3</v>
      </c>
      <c r="H206" s="1170"/>
      <c r="I206" s="884"/>
      <c r="J206" s="884"/>
      <c r="K206" s="886"/>
      <c r="L206" s="883"/>
      <c r="M206" s="883"/>
      <c r="N206" s="882"/>
      <c r="O206" s="882"/>
      <c r="P206" s="882"/>
      <c r="Q206" s="882"/>
      <c r="R206" s="882"/>
      <c r="S206" s="882"/>
      <c r="T206" s="882"/>
    </row>
    <row r="207" spans="2:20" ht="0.2" customHeight="1">
      <c r="B207" s="1152"/>
      <c r="C207" s="1151"/>
      <c r="D207" s="1151"/>
      <c r="E207" s="896"/>
      <c r="F207" s="895"/>
      <c r="G207" s="895"/>
      <c r="H207" s="895"/>
      <c r="I207" s="895"/>
      <c r="J207" s="895"/>
      <c r="K207" s="894"/>
      <c r="L207" s="893"/>
      <c r="M207" s="893"/>
      <c r="N207" s="892"/>
      <c r="O207" s="892"/>
      <c r="P207" s="892"/>
      <c r="Q207" s="892"/>
      <c r="R207" s="892"/>
      <c r="S207" s="892"/>
      <c r="T207" s="892"/>
    </row>
    <row r="208" spans="2:20" ht="0.2" customHeight="1">
      <c r="B208" s="1152"/>
      <c r="C208" s="1149" t="s">
        <v>696</v>
      </c>
      <c r="D208" s="1162" t="s">
        <v>695</v>
      </c>
      <c r="E208" s="890"/>
      <c r="F208" s="889"/>
      <c r="G208" s="889"/>
      <c r="H208" s="889"/>
      <c r="I208" s="889"/>
      <c r="J208" s="889"/>
      <c r="K208" s="887"/>
      <c r="L208" s="888"/>
      <c r="M208" s="888"/>
      <c r="N208" s="887"/>
      <c r="O208" s="887"/>
      <c r="P208" s="887"/>
      <c r="Q208" s="887"/>
      <c r="R208" s="887"/>
      <c r="S208" s="887"/>
      <c r="T208" s="887"/>
    </row>
    <row r="209" spans="2:20" ht="0.2" customHeight="1">
      <c r="B209" s="1152"/>
      <c r="C209" s="1150"/>
      <c r="D209" s="1152"/>
      <c r="E209" s="885"/>
      <c r="F209" s="884"/>
      <c r="G209" s="884">
        <v>2.46</v>
      </c>
      <c r="H209" s="884"/>
      <c r="I209" s="884"/>
      <c r="J209" s="884"/>
      <c r="K209" s="886"/>
      <c r="L209" s="883"/>
      <c r="M209" s="883"/>
      <c r="N209" s="882"/>
      <c r="O209" s="882"/>
      <c r="P209" s="882"/>
      <c r="Q209" s="882"/>
      <c r="R209" s="882"/>
      <c r="S209" s="882"/>
      <c r="T209" s="882"/>
    </row>
    <row r="210" spans="2:20" ht="0.2" customHeight="1">
      <c r="B210" s="1152"/>
      <c r="C210" s="1150"/>
      <c r="D210" s="1152"/>
      <c r="E210" s="885"/>
      <c r="F210" s="884"/>
      <c r="G210" s="891"/>
      <c r="H210" s="884"/>
      <c r="I210" s="884"/>
      <c r="J210" s="884"/>
      <c r="K210" s="882" t="s">
        <v>692</v>
      </c>
      <c r="L210" s="883">
        <v>0</v>
      </c>
      <c r="M210" s="883">
        <v>8</v>
      </c>
      <c r="N210" s="882">
        <f>+G209</f>
        <v>2.46</v>
      </c>
      <c r="O210" s="882">
        <f t="shared" ref="O210:T210" si="36">IF(+$K210=O$11,+$L210*$M210*$N210,0)</f>
        <v>0</v>
      </c>
      <c r="P210" s="882">
        <f t="shared" si="36"/>
        <v>0</v>
      </c>
      <c r="Q210" s="882">
        <f t="shared" si="36"/>
        <v>0</v>
      </c>
      <c r="R210" s="882">
        <f t="shared" si="36"/>
        <v>0</v>
      </c>
      <c r="S210" s="882">
        <f t="shared" si="36"/>
        <v>0</v>
      </c>
      <c r="T210" s="882">
        <f t="shared" si="36"/>
        <v>0</v>
      </c>
    </row>
    <row r="211" spans="2:20" ht="0.2" customHeight="1">
      <c r="B211" s="1152"/>
      <c r="C211" s="1150"/>
      <c r="D211" s="1152"/>
      <c r="E211" s="885"/>
      <c r="F211" s="884"/>
      <c r="G211" s="891"/>
      <c r="H211" s="884"/>
      <c r="I211" s="884"/>
      <c r="J211" s="884"/>
      <c r="K211" s="882"/>
      <c r="L211" s="883"/>
      <c r="M211" s="883"/>
      <c r="N211" s="882"/>
      <c r="O211" s="882"/>
      <c r="P211" s="882"/>
      <c r="Q211" s="882"/>
      <c r="R211" s="882"/>
      <c r="S211" s="882"/>
      <c r="T211" s="882"/>
    </row>
    <row r="212" spans="2:20" ht="0.2" customHeight="1">
      <c r="B212" s="1152"/>
      <c r="C212" s="1150"/>
      <c r="D212" s="1152"/>
      <c r="E212" s="885"/>
      <c r="F212" s="884"/>
      <c r="G212" s="884"/>
      <c r="H212" s="884"/>
      <c r="I212" s="884"/>
      <c r="J212" s="884"/>
      <c r="K212" s="886"/>
      <c r="L212" s="882"/>
      <c r="M212" s="883"/>
      <c r="N212" s="882"/>
      <c r="O212" s="882"/>
      <c r="P212" s="882"/>
      <c r="Q212" s="882"/>
      <c r="R212" s="882"/>
      <c r="S212" s="882"/>
      <c r="T212" s="882"/>
    </row>
    <row r="213" spans="2:20" ht="0.2" customHeight="1">
      <c r="B213" s="1152"/>
      <c r="C213" s="1150"/>
      <c r="D213" s="1162" t="s">
        <v>695</v>
      </c>
      <c r="E213" s="890"/>
      <c r="F213" s="889"/>
      <c r="G213" s="889"/>
      <c r="H213" s="889"/>
      <c r="I213" s="889"/>
      <c r="J213" s="889"/>
      <c r="K213" s="887"/>
      <c r="L213" s="888"/>
      <c r="M213" s="888"/>
      <c r="N213" s="887"/>
      <c r="O213" s="887"/>
      <c r="P213" s="887"/>
      <c r="Q213" s="887"/>
      <c r="R213" s="887"/>
      <c r="S213" s="887"/>
      <c r="T213" s="887"/>
    </row>
    <row r="214" spans="2:20" ht="0.2" customHeight="1">
      <c r="B214" s="1152"/>
      <c r="C214" s="1150"/>
      <c r="D214" s="1152"/>
      <c r="E214" s="885"/>
      <c r="F214" s="884"/>
      <c r="G214" s="884">
        <v>1.528</v>
      </c>
      <c r="H214" s="884"/>
      <c r="I214" s="884"/>
      <c r="J214" s="884"/>
      <c r="K214" s="886"/>
      <c r="L214" s="883"/>
      <c r="M214" s="883"/>
      <c r="N214" s="882"/>
      <c r="O214" s="882"/>
      <c r="P214" s="882"/>
      <c r="Q214" s="882"/>
      <c r="R214" s="882"/>
      <c r="S214" s="882"/>
      <c r="T214" s="882"/>
    </row>
    <row r="215" spans="2:20" ht="0.2" customHeight="1">
      <c r="B215" s="1152"/>
      <c r="C215" s="1150"/>
      <c r="D215" s="1152"/>
      <c r="E215" s="885"/>
      <c r="F215" s="884"/>
      <c r="G215" s="891"/>
      <c r="H215" s="884"/>
      <c r="I215" s="884"/>
      <c r="J215" s="884"/>
      <c r="K215" s="882" t="s">
        <v>692</v>
      </c>
      <c r="L215" s="883">
        <v>0</v>
      </c>
      <c r="M215" s="883">
        <v>13</v>
      </c>
      <c r="N215" s="882">
        <f>+G214</f>
        <v>1.528</v>
      </c>
      <c r="O215" s="882">
        <f t="shared" ref="O215:T215" si="37">IF(+$K215=O$11,+$L215*$M215*$N215,0)</f>
        <v>0</v>
      </c>
      <c r="P215" s="882">
        <f t="shared" si="37"/>
        <v>0</v>
      </c>
      <c r="Q215" s="882">
        <f t="shared" si="37"/>
        <v>0</v>
      </c>
      <c r="R215" s="882">
        <f t="shared" si="37"/>
        <v>0</v>
      </c>
      <c r="S215" s="882">
        <f t="shared" si="37"/>
        <v>0</v>
      </c>
      <c r="T215" s="882">
        <f t="shared" si="37"/>
        <v>0</v>
      </c>
    </row>
    <row r="216" spans="2:20" ht="0.2" customHeight="1">
      <c r="B216" s="1152"/>
      <c r="C216" s="1150"/>
      <c r="D216" s="1152"/>
      <c r="E216" s="885"/>
      <c r="F216" s="884"/>
      <c r="G216" s="891"/>
      <c r="H216" s="884"/>
      <c r="I216" s="884"/>
      <c r="J216" s="884"/>
      <c r="K216" s="882"/>
      <c r="L216" s="883"/>
      <c r="M216" s="883"/>
      <c r="N216" s="882"/>
      <c r="O216" s="882"/>
      <c r="P216" s="882"/>
      <c r="Q216" s="882"/>
      <c r="R216" s="882"/>
      <c r="S216" s="882"/>
      <c r="T216" s="882"/>
    </row>
    <row r="217" spans="2:20" ht="0.2" customHeight="1">
      <c r="B217" s="1152"/>
      <c r="C217" s="1150"/>
      <c r="D217" s="1152"/>
      <c r="E217" s="885"/>
      <c r="F217" s="884"/>
      <c r="G217" s="884"/>
      <c r="H217" s="884"/>
      <c r="I217" s="884"/>
      <c r="J217" s="884"/>
      <c r="K217" s="886"/>
      <c r="L217" s="882"/>
      <c r="M217" s="883"/>
      <c r="N217" s="882"/>
      <c r="O217" s="882"/>
      <c r="P217" s="882"/>
      <c r="Q217" s="882"/>
      <c r="R217" s="882"/>
      <c r="S217" s="882"/>
      <c r="T217" s="882"/>
    </row>
    <row r="218" spans="2:20" ht="0.2" customHeight="1">
      <c r="B218" s="1152"/>
      <c r="C218" s="1150"/>
      <c r="D218" s="1149" t="s">
        <v>694</v>
      </c>
      <c r="E218" s="890"/>
      <c r="F218" s="889"/>
      <c r="G218" s="889"/>
      <c r="H218" s="889"/>
      <c r="I218" s="889"/>
      <c r="J218" s="889"/>
      <c r="K218" s="887"/>
      <c r="L218" s="888"/>
      <c r="M218" s="888"/>
      <c r="N218" s="887"/>
      <c r="O218" s="887"/>
      <c r="P218" s="887"/>
      <c r="Q218" s="887"/>
      <c r="R218" s="887"/>
      <c r="S218" s="887"/>
      <c r="T218" s="887"/>
    </row>
    <row r="219" spans="2:20" ht="0.2" customHeight="1">
      <c r="B219" s="1152"/>
      <c r="C219" s="1150"/>
      <c r="D219" s="1150"/>
      <c r="E219" s="885"/>
      <c r="F219" s="884"/>
      <c r="G219" s="884">
        <v>0.6</v>
      </c>
      <c r="H219" s="884"/>
      <c r="I219" s="884"/>
      <c r="J219" s="884"/>
      <c r="K219" s="886"/>
      <c r="L219" s="883"/>
      <c r="M219" s="883"/>
      <c r="N219" s="882"/>
      <c r="O219" s="882"/>
      <c r="P219" s="882"/>
      <c r="Q219" s="882"/>
      <c r="R219" s="882"/>
      <c r="S219" s="882"/>
      <c r="T219" s="882"/>
    </row>
    <row r="220" spans="2:20" ht="0.2" customHeight="1">
      <c r="B220" s="1152"/>
      <c r="C220" s="1150"/>
      <c r="D220" s="1150"/>
      <c r="E220" s="885"/>
      <c r="F220" s="884"/>
      <c r="G220" s="891"/>
      <c r="H220" s="884"/>
      <c r="I220" s="884"/>
      <c r="J220" s="884"/>
      <c r="K220" s="882" t="s">
        <v>692</v>
      </c>
      <c r="L220" s="883">
        <v>0</v>
      </c>
      <c r="M220" s="883">
        <v>8</v>
      </c>
      <c r="N220" s="882">
        <f>+G219</f>
        <v>0.6</v>
      </c>
      <c r="O220" s="882">
        <f t="shared" ref="O220:T220" si="38">IF(+$K220=O$11,+$L220*$M220*$N220,0)</f>
        <v>0</v>
      </c>
      <c r="P220" s="882">
        <f t="shared" si="38"/>
        <v>0</v>
      </c>
      <c r="Q220" s="882">
        <f t="shared" si="38"/>
        <v>0</v>
      </c>
      <c r="R220" s="882">
        <f t="shared" si="38"/>
        <v>0</v>
      </c>
      <c r="S220" s="882">
        <f t="shared" si="38"/>
        <v>0</v>
      </c>
      <c r="T220" s="882">
        <f t="shared" si="38"/>
        <v>0</v>
      </c>
    </row>
    <row r="221" spans="2:20" ht="0.2" customHeight="1">
      <c r="B221" s="1152"/>
      <c r="C221" s="1150"/>
      <c r="D221" s="1150"/>
      <c r="E221" s="885"/>
      <c r="F221" s="884"/>
      <c r="G221" s="891"/>
      <c r="H221" s="884"/>
      <c r="I221" s="884"/>
      <c r="J221" s="884"/>
      <c r="K221" s="882"/>
      <c r="L221" s="883"/>
      <c r="M221" s="883"/>
      <c r="N221" s="882"/>
      <c r="O221" s="882"/>
      <c r="P221" s="882"/>
      <c r="Q221" s="882"/>
      <c r="R221" s="882"/>
      <c r="S221" s="882"/>
      <c r="T221" s="882"/>
    </row>
    <row r="222" spans="2:20" ht="0.2" customHeight="1">
      <c r="B222" s="1152"/>
      <c r="C222" s="1150"/>
      <c r="D222" s="1150"/>
      <c r="E222" s="885"/>
      <c r="F222" s="884"/>
      <c r="G222" s="884"/>
      <c r="H222" s="884"/>
      <c r="I222" s="884"/>
      <c r="J222" s="884"/>
      <c r="K222" s="886"/>
      <c r="L222" s="882"/>
      <c r="M222" s="883"/>
      <c r="N222" s="882"/>
      <c r="O222" s="882"/>
      <c r="P222" s="882"/>
      <c r="Q222" s="882"/>
      <c r="R222" s="882"/>
      <c r="S222" s="882"/>
      <c r="T222" s="882"/>
    </row>
    <row r="223" spans="2:20" ht="0.2" customHeight="1">
      <c r="B223" s="1152"/>
      <c r="C223" s="1150"/>
      <c r="D223" s="1162" t="s">
        <v>693</v>
      </c>
      <c r="E223" s="890"/>
      <c r="F223" s="889"/>
      <c r="G223" s="889"/>
      <c r="H223" s="889"/>
      <c r="I223" s="889"/>
      <c r="J223" s="889"/>
      <c r="K223" s="887"/>
      <c r="L223" s="888"/>
      <c r="M223" s="888"/>
      <c r="N223" s="887"/>
      <c r="O223" s="887"/>
      <c r="P223" s="887"/>
      <c r="Q223" s="887"/>
      <c r="R223" s="887"/>
      <c r="S223" s="887"/>
      <c r="T223" s="887"/>
    </row>
    <row r="224" spans="2:20" ht="0.2" customHeight="1">
      <c r="B224" s="1152"/>
      <c r="C224" s="1150"/>
      <c r="D224" s="1152"/>
      <c r="E224" s="885"/>
      <c r="F224" s="884"/>
      <c r="G224" s="884"/>
      <c r="H224" s="884"/>
      <c r="I224" s="884"/>
      <c r="J224" s="884"/>
      <c r="K224" s="886"/>
      <c r="L224" s="883"/>
      <c r="M224" s="883"/>
      <c r="N224" s="882"/>
      <c r="O224" s="882"/>
      <c r="P224" s="882"/>
      <c r="Q224" s="882"/>
      <c r="R224" s="882"/>
      <c r="S224" s="882"/>
      <c r="T224" s="882"/>
    </row>
    <row r="225" spans="2:20" ht="0.2" customHeight="1">
      <c r="B225" s="1152"/>
      <c r="C225" s="1150"/>
      <c r="D225" s="1152"/>
      <c r="E225" s="885"/>
      <c r="F225" s="884"/>
      <c r="G225" s="884">
        <v>0.6</v>
      </c>
      <c r="H225" s="884"/>
      <c r="I225" s="884"/>
      <c r="J225" s="884"/>
      <c r="K225" s="882" t="s">
        <v>692</v>
      </c>
      <c r="L225" s="883">
        <v>0</v>
      </c>
      <c r="M225" s="883">
        <v>13</v>
      </c>
      <c r="N225" s="882">
        <f>+G225</f>
        <v>0.6</v>
      </c>
      <c r="O225" s="882">
        <f t="shared" ref="O225:T225" si="39">IF(+$K225=O$11,+$L225*$M225*$N225,0)</f>
        <v>0</v>
      </c>
      <c r="P225" s="882">
        <f t="shared" si="39"/>
        <v>0</v>
      </c>
      <c r="Q225" s="882">
        <f t="shared" si="39"/>
        <v>0</v>
      </c>
      <c r="R225" s="882">
        <f t="shared" si="39"/>
        <v>0</v>
      </c>
      <c r="S225" s="882">
        <f t="shared" si="39"/>
        <v>0</v>
      </c>
      <c r="T225" s="882">
        <f t="shared" si="39"/>
        <v>0</v>
      </c>
    </row>
    <row r="226" spans="2:20" ht="0.2" customHeight="1">
      <c r="B226" s="1152"/>
      <c r="C226" s="1150"/>
      <c r="D226" s="1152"/>
      <c r="E226" s="885"/>
      <c r="F226" s="884"/>
      <c r="G226" s="884"/>
      <c r="H226" s="884"/>
      <c r="I226" s="884"/>
      <c r="J226" s="884"/>
      <c r="K226" s="882"/>
      <c r="L226" s="883"/>
      <c r="M226" s="883"/>
      <c r="N226" s="882"/>
      <c r="O226" s="882"/>
      <c r="P226" s="882"/>
      <c r="Q226" s="882"/>
      <c r="R226" s="882"/>
      <c r="S226" s="882"/>
      <c r="T226" s="882"/>
    </row>
    <row r="227" spans="2:20" ht="0.2" customHeight="1" thickBot="1">
      <c r="B227" s="1153"/>
      <c r="C227" s="1158"/>
      <c r="D227" s="1153"/>
      <c r="E227" s="881"/>
      <c r="F227" s="880"/>
      <c r="G227" s="880"/>
      <c r="H227" s="880"/>
      <c r="I227" s="880"/>
      <c r="J227" s="880"/>
      <c r="K227" s="879"/>
      <c r="L227" s="877"/>
      <c r="M227" s="878"/>
      <c r="N227" s="877"/>
      <c r="O227" s="877"/>
      <c r="P227" s="877"/>
      <c r="Q227" s="877"/>
      <c r="R227" s="877"/>
      <c r="S227" s="877"/>
      <c r="T227" s="877"/>
    </row>
    <row r="228" spans="2:20">
      <c r="B228" s="872"/>
      <c r="C228" s="872"/>
      <c r="D228" s="872"/>
      <c r="E228" s="871"/>
      <c r="F228" s="874"/>
      <c r="G228" s="874"/>
      <c r="H228" s="874"/>
      <c r="I228" s="874"/>
      <c r="J228" s="874"/>
      <c r="K228" s="1171" t="s">
        <v>691</v>
      </c>
      <c r="L228" s="1172"/>
      <c r="M228" s="1172"/>
      <c r="N228" s="1173"/>
      <c r="O228" s="876">
        <f t="shared" ref="O228:T228" si="40">SUM(O14:O227)</f>
        <v>0</v>
      </c>
      <c r="P228" s="876">
        <f t="shared" si="40"/>
        <v>45.92</v>
      </c>
      <c r="Q228" s="876">
        <f t="shared" si="40"/>
        <v>0</v>
      </c>
      <c r="R228" s="876">
        <f t="shared" si="40"/>
        <v>0</v>
      </c>
      <c r="S228" s="876">
        <f t="shared" si="40"/>
        <v>0</v>
      </c>
      <c r="T228" s="876">
        <f t="shared" si="40"/>
        <v>0</v>
      </c>
    </row>
    <row r="229" spans="2:20">
      <c r="B229" s="872"/>
      <c r="C229" s="872"/>
      <c r="D229" s="872"/>
      <c r="E229" s="871"/>
      <c r="F229" s="874"/>
      <c r="G229" s="874"/>
      <c r="H229" s="874"/>
      <c r="I229" s="874"/>
      <c r="J229" s="874"/>
      <c r="K229" s="1174" t="s">
        <v>690</v>
      </c>
      <c r="L229" s="1175"/>
      <c r="M229" s="1175"/>
      <c r="N229" s="1176"/>
      <c r="O229" s="875">
        <v>0.222</v>
      </c>
      <c r="P229" s="875">
        <v>0.56000000000000005</v>
      </c>
      <c r="Q229" s="875">
        <v>0.99399999999999999</v>
      </c>
      <c r="R229" s="875">
        <v>1.552</v>
      </c>
      <c r="S229" s="875">
        <v>2.2349999999999999</v>
      </c>
      <c r="T229" s="875">
        <v>3.9729999999999999</v>
      </c>
    </row>
    <row r="230" spans="2:20">
      <c r="B230" s="872"/>
      <c r="C230" s="872"/>
      <c r="D230" s="872"/>
      <c r="E230" s="871"/>
      <c r="F230" s="874"/>
      <c r="G230" s="874"/>
      <c r="H230" s="874"/>
      <c r="I230" s="874"/>
      <c r="J230" s="874"/>
      <c r="K230" s="1174" t="s">
        <v>689</v>
      </c>
      <c r="L230" s="1175"/>
      <c r="M230" s="1175"/>
      <c r="N230" s="1176"/>
      <c r="O230" s="873">
        <f>+O228*O229</f>
        <v>0</v>
      </c>
      <c r="P230" s="873">
        <f>+P228*P229</f>
        <v>25.715200000000003</v>
      </c>
      <c r="Q230" s="873">
        <f>+Q228*Q229</f>
        <v>0</v>
      </c>
      <c r="R230" s="873">
        <f>+R228*R229</f>
        <v>0</v>
      </c>
      <c r="S230" s="873">
        <f>+S229*S228</f>
        <v>0</v>
      </c>
      <c r="T230" s="873">
        <f>+T229*T228</f>
        <v>0</v>
      </c>
    </row>
    <row r="231" spans="2:20" ht="16.5">
      <c r="B231" s="872"/>
      <c r="C231" s="872"/>
      <c r="D231" s="872"/>
      <c r="E231" s="871"/>
      <c r="F231" s="871"/>
      <c r="G231" s="871"/>
      <c r="H231" s="871"/>
      <c r="I231" s="871"/>
      <c r="J231" s="871"/>
      <c r="K231" s="1166" t="s">
        <v>688</v>
      </c>
      <c r="L231" s="1166"/>
      <c r="M231" s="1166"/>
      <c r="N231" s="1166"/>
      <c r="O231" s="1167">
        <f>SUM(O230:T230)</f>
        <v>25.715200000000003</v>
      </c>
      <c r="P231" s="1167"/>
      <c r="Q231" s="1167"/>
      <c r="R231" s="1167"/>
      <c r="S231" s="1167"/>
      <c r="T231" s="1167"/>
    </row>
  </sheetData>
  <mergeCells count="93">
    <mergeCell ref="K231:N231"/>
    <mergeCell ref="O231:T231"/>
    <mergeCell ref="F203:G203"/>
    <mergeCell ref="H203:I203"/>
    <mergeCell ref="G206:H206"/>
    <mergeCell ref="K228:N228"/>
    <mergeCell ref="K229:N229"/>
    <mergeCell ref="K230:N230"/>
    <mergeCell ref="D188:D192"/>
    <mergeCell ref="D193:D197"/>
    <mergeCell ref="C208:C227"/>
    <mergeCell ref="D208:D212"/>
    <mergeCell ref="D213:D217"/>
    <mergeCell ref="D218:D222"/>
    <mergeCell ref="D223:D227"/>
    <mergeCell ref="G196:H196"/>
    <mergeCell ref="B148:B227"/>
    <mergeCell ref="C148:C167"/>
    <mergeCell ref="D148:D152"/>
    <mergeCell ref="G151:H151"/>
    <mergeCell ref="D153:D157"/>
    <mergeCell ref="D158:D162"/>
    <mergeCell ref="G161:H161"/>
    <mergeCell ref="D163:D167"/>
    <mergeCell ref="C168:C207"/>
    <mergeCell ref="D198:D202"/>
    <mergeCell ref="D203:D207"/>
    <mergeCell ref="D168:D172"/>
    <mergeCell ref="D173:D177"/>
    <mergeCell ref="D178:D182"/>
    <mergeCell ref="D183:D187"/>
    <mergeCell ref="B128:B147"/>
    <mergeCell ref="C128:C137"/>
    <mergeCell ref="D128:D132"/>
    <mergeCell ref="D133:D137"/>
    <mergeCell ref="G136:H136"/>
    <mergeCell ref="C138:C147"/>
    <mergeCell ref="D138:D142"/>
    <mergeCell ref="G139:H139"/>
    <mergeCell ref="D143:D147"/>
    <mergeCell ref="G145:H145"/>
    <mergeCell ref="C88:C127"/>
    <mergeCell ref="D88:D92"/>
    <mergeCell ref="D93:D97"/>
    <mergeCell ref="D98:D102"/>
    <mergeCell ref="D103:D107"/>
    <mergeCell ref="D108:D112"/>
    <mergeCell ref="D113:D117"/>
    <mergeCell ref="D118:D122"/>
    <mergeCell ref="D123:D127"/>
    <mergeCell ref="G80:H80"/>
    <mergeCell ref="C13:C42"/>
    <mergeCell ref="D13:D17"/>
    <mergeCell ref="D18:D22"/>
    <mergeCell ref="G19:H19"/>
    <mergeCell ref="G22:H22"/>
    <mergeCell ref="D23:D27"/>
    <mergeCell ref="D33:D37"/>
    <mergeCell ref="G35:H35"/>
    <mergeCell ref="D38:D42"/>
    <mergeCell ref="G40:H40"/>
    <mergeCell ref="D53:D57"/>
    <mergeCell ref="G56:H56"/>
    <mergeCell ref="D83:D87"/>
    <mergeCell ref="G85:H85"/>
    <mergeCell ref="D58:D62"/>
    <mergeCell ref="G60:H60"/>
    <mergeCell ref="B63:B127"/>
    <mergeCell ref="C63:C82"/>
    <mergeCell ref="D63:D67"/>
    <mergeCell ref="D69:D72"/>
    <mergeCell ref="G70:H70"/>
    <mergeCell ref="D73:D77"/>
    <mergeCell ref="G75:H75"/>
    <mergeCell ref="D78:D82"/>
    <mergeCell ref="C43:C62"/>
    <mergeCell ref="D43:D47"/>
    <mergeCell ref="D48:D52"/>
    <mergeCell ref="G51:H51"/>
    <mergeCell ref="B13:B62"/>
    <mergeCell ref="G25:H25"/>
    <mergeCell ref="D28:D32"/>
    <mergeCell ref="G30:H30"/>
    <mergeCell ref="B3:T3"/>
    <mergeCell ref="B7:T7"/>
    <mergeCell ref="B11:D12"/>
    <mergeCell ref="E11:J12"/>
    <mergeCell ref="K11:K12"/>
    <mergeCell ref="L11:L12"/>
    <mergeCell ref="M11:M12"/>
    <mergeCell ref="N11:N12"/>
    <mergeCell ref="O11:T11"/>
    <mergeCell ref="B4:T5"/>
  </mergeCells>
  <dataValidations count="1">
    <dataValidation type="list" allowBlank="1" showInputMessage="1" showErrorMessage="1" sqref="K15 K20 K165 K225:K226 K170 K185 K40 K25 K130 K135 K45 K50 K60 K55 K90 K95 K125 K105 K65 K70 K80 K75 K140:K141 K145:K146 K150 K160 K155 K180 K175:K176 K195 K190 K205 K200 K210:K211 K30 K35 K100 K110 K120 K115 K85 K220:K221 K215:K216" xr:uid="{0230F188-5865-4969-806F-0C55E7CE52D5}">
      <formula1>$O$11:$T$11</formula1>
    </dataValidation>
  </dataValidations>
  <pageMargins left="0.7" right="0.7" top="0.75" bottom="0.75" header="0.3" footer="0.3"/>
  <pageSetup paperSize="9" scale="88" fitToHeight="0" orientation="landscape" r:id="rId1"/>
  <headerFooter>
    <oddFooter>Página &amp;P&amp;R&amp;A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9DD-5978-4488-9328-2D1D0F8143BE}">
  <sheetPr codeName="Hoja14">
    <tabColor rgb="FF0070C0"/>
    <pageSetUpPr fitToPage="1"/>
  </sheetPr>
  <dimension ref="A1:M61"/>
  <sheetViews>
    <sheetView showGridLines="0" view="pageBreakPreview" topLeftCell="A37" zoomScale="70" zoomScaleNormal="85" zoomScaleSheetLayoutView="70" zoomScalePageLayoutView="85" workbookViewId="0">
      <selection activeCell="G11" sqref="G11"/>
    </sheetView>
  </sheetViews>
  <sheetFormatPr baseColWidth="10" defaultColWidth="14.6640625" defaultRowHeight="13.5"/>
  <cols>
    <col min="1" max="1" width="25.5" style="596" customWidth="1"/>
    <col min="2" max="2" width="75.83203125" style="19" customWidth="1"/>
    <col min="3" max="3" width="8.5" style="19" customWidth="1"/>
    <col min="4" max="4" width="10.83203125" style="19" customWidth="1"/>
    <col min="5" max="5" width="14.5" style="19" customWidth="1"/>
    <col min="6" max="6" width="9.1640625" style="19" customWidth="1"/>
    <col min="7" max="9" width="11.1640625" style="19" customWidth="1"/>
    <col min="10" max="10" width="2.5" style="19" customWidth="1"/>
    <col min="11" max="16384" width="14.6640625" style="19"/>
  </cols>
  <sheetData>
    <row r="1" spans="1:13" ht="18" customHeight="1">
      <c r="A1" s="1179" t="s">
        <v>786</v>
      </c>
      <c r="B1" s="1180"/>
      <c r="C1" s="1180"/>
      <c r="D1" s="1180"/>
      <c r="E1" s="1180"/>
      <c r="F1" s="1180"/>
      <c r="G1" s="1180"/>
      <c r="H1" s="1180"/>
      <c r="I1" s="1181"/>
    </row>
    <row r="2" spans="1:13" ht="16.5" customHeight="1">
      <c r="A2" s="1182" t="s">
        <v>257</v>
      </c>
      <c r="B2" s="1184" t="s">
        <v>1086</v>
      </c>
      <c r="C2" s="1023"/>
      <c r="D2" s="1023"/>
      <c r="E2" s="1023"/>
      <c r="F2" s="1023"/>
      <c r="G2" s="1023"/>
      <c r="H2" s="1023"/>
      <c r="I2" s="1024"/>
      <c r="J2" s="641"/>
      <c r="K2" s="641"/>
      <c r="L2" s="641"/>
      <c r="M2" s="641"/>
    </row>
    <row r="3" spans="1:13" ht="27.75" customHeight="1">
      <c r="A3" s="1183"/>
      <c r="B3" s="1023"/>
      <c r="C3" s="1023"/>
      <c r="D3" s="1023"/>
      <c r="E3" s="1023"/>
      <c r="F3" s="1023"/>
      <c r="G3" s="1023"/>
      <c r="H3" s="1023"/>
      <c r="I3" s="1024"/>
    </row>
    <row r="4" spans="1:13" ht="18.75">
      <c r="A4" s="1185" t="s">
        <v>785</v>
      </c>
      <c r="B4" s="1186"/>
      <c r="C4" s="1186"/>
      <c r="D4" s="1186"/>
      <c r="E4" s="1186"/>
      <c r="F4" s="1186"/>
      <c r="G4" s="1186"/>
      <c r="H4" s="1186"/>
      <c r="I4" s="1187"/>
    </row>
    <row r="5" spans="1:13" ht="16.5" hidden="1" customHeight="1">
      <c r="A5" s="640">
        <v>1.1499999999999999</v>
      </c>
      <c r="B5" s="639" t="s">
        <v>784</v>
      </c>
      <c r="C5" s="638"/>
      <c r="D5" s="637" t="s">
        <v>783</v>
      </c>
      <c r="E5" s="1188">
        <v>4</v>
      </c>
      <c r="F5" s="1189"/>
      <c r="G5" s="636"/>
      <c r="H5" s="635" t="s">
        <v>782</v>
      </c>
      <c r="I5" s="634" t="s">
        <v>781</v>
      </c>
    </row>
    <row r="6" spans="1:13">
      <c r="A6" s="633"/>
      <c r="B6" s="632"/>
      <c r="C6" s="632"/>
      <c r="D6" s="632"/>
      <c r="E6" s="606"/>
      <c r="F6" s="606"/>
      <c r="G6" s="606"/>
      <c r="H6" s="606"/>
      <c r="I6" s="631"/>
    </row>
    <row r="7" spans="1:13" ht="15.75" customHeight="1">
      <c r="A7" s="1190" t="s">
        <v>278</v>
      </c>
      <c r="B7" s="1177" t="s">
        <v>2</v>
      </c>
      <c r="C7" s="1177" t="s">
        <v>43</v>
      </c>
      <c r="D7" s="1177" t="s">
        <v>780</v>
      </c>
      <c r="E7" s="1177" t="s">
        <v>779</v>
      </c>
      <c r="F7" s="1177"/>
      <c r="G7" s="1177"/>
      <c r="H7" s="1177" t="s">
        <v>778</v>
      </c>
      <c r="I7" s="1178" t="s">
        <v>8</v>
      </c>
    </row>
    <row r="8" spans="1:13">
      <c r="A8" s="1190"/>
      <c r="B8" s="1177"/>
      <c r="C8" s="1177"/>
      <c r="D8" s="1177"/>
      <c r="E8" s="630" t="s">
        <v>253</v>
      </c>
      <c r="F8" s="630" t="s">
        <v>5</v>
      </c>
      <c r="G8" s="630" t="s">
        <v>777</v>
      </c>
      <c r="H8" s="1177"/>
      <c r="I8" s="1178"/>
    </row>
    <row r="9" spans="1:13">
      <c r="A9" s="629">
        <v>1.1000000000000001</v>
      </c>
      <c r="B9" s="628" t="s">
        <v>776</v>
      </c>
      <c r="C9" s="627"/>
      <c r="D9" s="626"/>
      <c r="E9" s="627"/>
      <c r="F9" s="626"/>
      <c r="G9" s="627"/>
      <c r="H9" s="626"/>
      <c r="I9" s="625"/>
    </row>
    <row r="10" spans="1:13">
      <c r="A10" s="624" t="str">
        <f>+"01.10"</f>
        <v>01.10</v>
      </c>
      <c r="B10" s="623" t="s">
        <v>775</v>
      </c>
      <c r="C10" s="614"/>
      <c r="D10" s="613">
        <v>1</v>
      </c>
      <c r="E10" s="614"/>
      <c r="F10" s="613"/>
      <c r="G10" s="614"/>
      <c r="H10" s="613"/>
      <c r="I10" s="612"/>
    </row>
    <row r="11" spans="1:13">
      <c r="A11" s="518" t="str">
        <f>A$10 &amp; ".01"</f>
        <v>01.10.01</v>
      </c>
      <c r="B11" s="613" t="s">
        <v>107</v>
      </c>
      <c r="C11" s="614"/>
      <c r="D11" s="613"/>
      <c r="E11" s="614"/>
      <c r="F11" s="613"/>
      <c r="G11" s="614"/>
      <c r="H11" s="613"/>
      <c r="I11" s="612"/>
    </row>
    <row r="12" spans="1:13">
      <c r="A12" s="518" t="str">
        <f>A$11 &amp; ".01"</f>
        <v>01.10.01.01</v>
      </c>
      <c r="B12" s="621" t="s">
        <v>322</v>
      </c>
      <c r="C12" s="605" t="s">
        <v>55</v>
      </c>
      <c r="D12" s="604"/>
      <c r="E12" s="484"/>
      <c r="F12" s="604"/>
      <c r="G12" s="614"/>
      <c r="H12" s="604"/>
      <c r="I12" s="603">
        <f>SUM(H13:H13)</f>
        <v>2.21</v>
      </c>
    </row>
    <row r="13" spans="1:13">
      <c r="A13" s="607"/>
      <c r="B13" s="606" t="s">
        <v>763</v>
      </c>
      <c r="C13" s="605"/>
      <c r="D13" s="604">
        <v>1</v>
      </c>
      <c r="E13" s="484">
        <v>3.4</v>
      </c>
      <c r="F13" s="604">
        <v>0.65</v>
      </c>
      <c r="G13" s="614"/>
      <c r="H13" s="604">
        <f>+PRODUCT(D13:G13)</f>
        <v>2.21</v>
      </c>
      <c r="I13" s="603"/>
    </row>
    <row r="14" spans="1:13">
      <c r="A14" s="607"/>
      <c r="B14" s="618"/>
      <c r="C14" s="605"/>
      <c r="D14" s="604"/>
      <c r="E14" s="484"/>
      <c r="F14" s="604"/>
      <c r="G14" s="614"/>
      <c r="H14" s="604"/>
      <c r="I14" s="609"/>
    </row>
    <row r="15" spans="1:13">
      <c r="A15" s="518" t="str">
        <f>A$11 &amp; ".02"</f>
        <v>01.10.01.02</v>
      </c>
      <c r="B15" s="621" t="s">
        <v>642</v>
      </c>
      <c r="C15" s="605" t="s">
        <v>55</v>
      </c>
      <c r="D15" s="604"/>
      <c r="E15" s="484"/>
      <c r="F15" s="604"/>
      <c r="G15" s="614"/>
      <c r="H15" s="604"/>
      <c r="I15" s="603">
        <f>SUM(H16:H16)</f>
        <v>2.21</v>
      </c>
    </row>
    <row r="16" spans="1:13">
      <c r="A16" s="607"/>
      <c r="B16" s="606" t="s">
        <v>763</v>
      </c>
      <c r="C16" s="605"/>
      <c r="D16" s="604">
        <v>1</v>
      </c>
      <c r="E16" s="484">
        <f>E13</f>
        <v>3.4</v>
      </c>
      <c r="F16" s="604">
        <f>F13</f>
        <v>0.65</v>
      </c>
      <c r="G16" s="614"/>
      <c r="H16" s="604">
        <f>+PRODUCT(D16:G16)</f>
        <v>2.21</v>
      </c>
      <c r="I16" s="603"/>
    </row>
    <row r="17" spans="1:9">
      <c r="A17" s="607"/>
      <c r="B17" s="618"/>
      <c r="C17" s="605"/>
      <c r="D17" s="604"/>
      <c r="E17" s="484"/>
      <c r="F17" s="604"/>
      <c r="G17" s="614"/>
      <c r="H17" s="604"/>
      <c r="I17" s="609"/>
    </row>
    <row r="18" spans="1:9">
      <c r="A18" s="518" t="str">
        <f>A$11 &amp; ".03"</f>
        <v>01.10.01.03</v>
      </c>
      <c r="B18" s="621" t="s">
        <v>639</v>
      </c>
      <c r="C18" s="605" t="s">
        <v>55</v>
      </c>
      <c r="D18" s="604"/>
      <c r="E18" s="484"/>
      <c r="F18" s="604"/>
      <c r="G18" s="614"/>
      <c r="H18" s="604"/>
      <c r="I18" s="603">
        <f>SUM(H19:H19)</f>
        <v>2.21</v>
      </c>
    </row>
    <row r="19" spans="1:9">
      <c r="A19" s="607"/>
      <c r="B19" s="606" t="s">
        <v>763</v>
      </c>
      <c r="C19" s="605"/>
      <c r="D19" s="604">
        <v>1</v>
      </c>
      <c r="E19" s="484">
        <f>E13</f>
        <v>3.4</v>
      </c>
      <c r="F19" s="604">
        <f>F13</f>
        <v>0.65</v>
      </c>
      <c r="G19" s="614"/>
      <c r="H19" s="604">
        <f>+PRODUCT(D19:G19)</f>
        <v>2.21</v>
      </c>
      <c r="I19" s="603"/>
    </row>
    <row r="20" spans="1:9">
      <c r="A20" s="607"/>
      <c r="B20" s="606"/>
      <c r="C20" s="605"/>
      <c r="D20" s="604"/>
      <c r="E20" s="484"/>
      <c r="F20" s="604"/>
      <c r="G20" s="614"/>
      <c r="H20" s="604"/>
      <c r="I20" s="609"/>
    </row>
    <row r="21" spans="1:9">
      <c r="A21" s="518" t="str">
        <f>A$10 &amp; ".02"</f>
        <v>01.10.02</v>
      </c>
      <c r="B21" s="622" t="s">
        <v>101</v>
      </c>
      <c r="C21" s="614"/>
      <c r="D21" s="613"/>
      <c r="E21" s="614"/>
      <c r="F21" s="613"/>
      <c r="G21" s="614"/>
      <c r="H21" s="613"/>
      <c r="I21" s="612"/>
    </row>
    <row r="22" spans="1:9">
      <c r="A22" s="518" t="str">
        <f>A$10 &amp; ".02.01"</f>
        <v>01.10.02.01</v>
      </c>
      <c r="B22" s="621" t="s">
        <v>774</v>
      </c>
      <c r="C22" s="605" t="s">
        <v>93</v>
      </c>
      <c r="D22" s="604"/>
      <c r="E22" s="484"/>
      <c r="F22" s="604"/>
      <c r="G22" s="484"/>
      <c r="H22" s="604"/>
      <c r="I22" s="603">
        <f>SUM(H23:H23)</f>
        <v>0.99450000000000005</v>
      </c>
    </row>
    <row r="23" spans="1:9">
      <c r="A23" s="607"/>
      <c r="B23" s="606" t="s">
        <v>763</v>
      </c>
      <c r="C23" s="605"/>
      <c r="D23" s="604">
        <v>1</v>
      </c>
      <c r="E23" s="484">
        <f>E19</f>
        <v>3.4</v>
      </c>
      <c r="F23" s="604">
        <v>0.65</v>
      </c>
      <c r="G23" s="484">
        <v>0.45</v>
      </c>
      <c r="H23" s="604">
        <f>+PRODUCT(D23:G23)</f>
        <v>0.99450000000000005</v>
      </c>
      <c r="I23" s="603"/>
    </row>
    <row r="24" spans="1:9">
      <c r="A24" s="607"/>
      <c r="B24" s="618"/>
      <c r="C24" s="605"/>
      <c r="D24" s="604"/>
      <c r="E24" s="484"/>
      <c r="F24" s="604"/>
      <c r="G24" s="484"/>
      <c r="H24" s="604"/>
      <c r="I24" s="603"/>
    </row>
    <row r="25" spans="1:9">
      <c r="A25" s="518" t="str">
        <f>A$10&amp; ".02.02"</f>
        <v>01.10.02.02</v>
      </c>
      <c r="B25" s="604" t="s">
        <v>243</v>
      </c>
      <c r="C25" s="605" t="s">
        <v>55</v>
      </c>
      <c r="D25" s="604"/>
      <c r="E25" s="484"/>
      <c r="F25" s="604"/>
      <c r="G25" s="484"/>
      <c r="H25" s="604"/>
      <c r="I25" s="603">
        <f>SUM(H26:H26)</f>
        <v>2.21</v>
      </c>
    </row>
    <row r="26" spans="1:9">
      <c r="A26" s="619"/>
      <c r="B26" s="606" t="s">
        <v>763</v>
      </c>
      <c r="C26" s="605"/>
      <c r="D26" s="604">
        <v>1</v>
      </c>
      <c r="E26" s="484">
        <f>E23</f>
        <v>3.4</v>
      </c>
      <c r="F26" s="604">
        <f>F23</f>
        <v>0.65</v>
      </c>
      <c r="G26" s="484"/>
      <c r="H26" s="604">
        <f>+PRODUCT(D26:G26)</f>
        <v>2.21</v>
      </c>
      <c r="I26" s="603"/>
    </row>
    <row r="27" spans="1:9">
      <c r="A27" s="619"/>
      <c r="B27" s="618"/>
      <c r="C27" s="605"/>
      <c r="D27" s="604"/>
      <c r="E27" s="484"/>
      <c r="F27" s="604"/>
      <c r="G27" s="484"/>
      <c r="H27" s="604"/>
      <c r="I27" s="603"/>
    </row>
    <row r="28" spans="1:9">
      <c r="A28" s="518" t="str">
        <f>A$10&amp; ".02.03"</f>
        <v>01.10.02.03</v>
      </c>
      <c r="B28" s="604" t="s">
        <v>773</v>
      </c>
      <c r="C28" s="605" t="s">
        <v>93</v>
      </c>
      <c r="D28" s="604"/>
      <c r="E28" s="484"/>
      <c r="F28" s="604"/>
      <c r="G28" s="484"/>
      <c r="H28" s="604"/>
      <c r="I28" s="603">
        <f>SUM(H29:H29)</f>
        <v>0.10237500000000001</v>
      </c>
    </row>
    <row r="29" spans="1:9">
      <c r="A29" s="619"/>
      <c r="B29" s="606" t="s">
        <v>763</v>
      </c>
      <c r="C29" s="605"/>
      <c r="D29" s="604">
        <v>1</v>
      </c>
      <c r="E29" s="484">
        <v>0.65</v>
      </c>
      <c r="F29" s="604">
        <v>0.45</v>
      </c>
      <c r="G29" s="484">
        <v>0.35</v>
      </c>
      <c r="H29" s="604">
        <f>D29*E29*F29*G29</f>
        <v>0.10237500000000001</v>
      </c>
      <c r="I29" s="603"/>
    </row>
    <row r="30" spans="1:9">
      <c r="A30" s="619"/>
      <c r="B30" s="604"/>
      <c r="C30" s="605"/>
      <c r="D30" s="604"/>
      <c r="E30" s="484"/>
      <c r="F30" s="604"/>
      <c r="G30" s="484"/>
      <c r="H30" s="604"/>
      <c r="I30" s="603"/>
    </row>
    <row r="31" spans="1:9">
      <c r="A31" s="518" t="str">
        <f>A$10&amp; ".02.04"</f>
        <v>01.10.02.04</v>
      </c>
      <c r="B31" s="604" t="s">
        <v>317</v>
      </c>
      <c r="C31" s="605" t="s">
        <v>93</v>
      </c>
      <c r="D31" s="604"/>
      <c r="E31" s="620" t="s">
        <v>772</v>
      </c>
      <c r="F31" s="604"/>
      <c r="G31" s="484"/>
      <c r="H31" s="604"/>
      <c r="I31" s="603">
        <f>PRODUCT(D32:H32)</f>
        <v>1.0705500000000001</v>
      </c>
    </row>
    <row r="32" spans="1:9">
      <c r="A32" s="619"/>
      <c r="B32" s="618"/>
      <c r="C32" s="605"/>
      <c r="D32" s="604">
        <v>1</v>
      </c>
      <c r="E32" s="620">
        <v>1.2</v>
      </c>
      <c r="F32" s="604"/>
      <c r="G32" s="484"/>
      <c r="H32" s="604">
        <f>I22-I28</f>
        <v>0.89212500000000006</v>
      </c>
      <c r="I32" s="609"/>
    </row>
    <row r="33" spans="1:9">
      <c r="A33" s="619"/>
      <c r="B33" s="618"/>
      <c r="C33" s="605"/>
      <c r="D33" s="604"/>
      <c r="E33" s="484"/>
      <c r="F33" s="604"/>
      <c r="G33" s="484"/>
      <c r="H33" s="604"/>
      <c r="I33" s="609"/>
    </row>
    <row r="34" spans="1:9">
      <c r="A34" s="518" t="str">
        <f>A$10 &amp; ".03"</f>
        <v>01.10.03</v>
      </c>
      <c r="B34" s="613" t="s">
        <v>467</v>
      </c>
      <c r="C34" s="614"/>
      <c r="D34" s="613"/>
      <c r="E34" s="614"/>
      <c r="F34" s="613"/>
      <c r="G34" s="614"/>
      <c r="H34" s="613"/>
      <c r="I34" s="612"/>
    </row>
    <row r="35" spans="1:9">
      <c r="A35" s="518" t="str">
        <f>A$10 &amp; ".03.01"</f>
        <v>01.10.03.01</v>
      </c>
      <c r="B35" s="610" t="s">
        <v>771</v>
      </c>
      <c r="C35" s="605" t="s">
        <v>93</v>
      </c>
      <c r="D35" s="604"/>
      <c r="E35" s="484"/>
      <c r="F35" s="604"/>
      <c r="G35" s="484"/>
      <c r="H35" s="604"/>
      <c r="I35" s="603">
        <f>+SUM(H36:H36)</f>
        <v>0.10500000000000001</v>
      </c>
    </row>
    <row r="36" spans="1:9">
      <c r="A36" s="607"/>
      <c r="B36" s="606" t="s">
        <v>763</v>
      </c>
      <c r="C36" s="605"/>
      <c r="D36" s="604">
        <v>1</v>
      </c>
      <c r="E36" s="484">
        <v>2.5</v>
      </c>
      <c r="F36" s="604">
        <v>0.2</v>
      </c>
      <c r="G36" s="484">
        <v>0.2</v>
      </c>
      <c r="H36" s="604">
        <f>+PRODUCT(D36:G36)*1.05</f>
        <v>0.10500000000000001</v>
      </c>
      <c r="I36" s="603"/>
    </row>
    <row r="37" spans="1:9">
      <c r="A37" s="518" t="str">
        <f>A$10 &amp; ".03.02"</f>
        <v>01.10.03.02</v>
      </c>
      <c r="B37" s="610" t="s">
        <v>770</v>
      </c>
      <c r="C37" s="605" t="s">
        <v>93</v>
      </c>
      <c r="D37" s="604"/>
      <c r="E37" s="484"/>
      <c r="F37" s="604"/>
      <c r="G37" s="484"/>
      <c r="H37" s="604"/>
      <c r="I37" s="603">
        <f>+SUM(H38:H38)</f>
        <v>0.26325000000000004</v>
      </c>
    </row>
    <row r="38" spans="1:9">
      <c r="A38" s="607"/>
      <c r="B38" s="606" t="s">
        <v>763</v>
      </c>
      <c r="C38" s="605"/>
      <c r="D38" s="604">
        <v>2</v>
      </c>
      <c r="E38" s="484">
        <v>0.65</v>
      </c>
      <c r="F38" s="604">
        <v>0.45</v>
      </c>
      <c r="G38" s="484">
        <v>0.45</v>
      </c>
      <c r="H38" s="604">
        <f>PRODUCT(D38:G38)</f>
        <v>0.26325000000000004</v>
      </c>
      <c r="I38" s="603"/>
    </row>
    <row r="39" spans="1:9">
      <c r="A39" s="607"/>
      <c r="B39" s="610"/>
      <c r="C39" s="605"/>
      <c r="D39" s="604"/>
      <c r="E39" s="484"/>
      <c r="F39" s="604"/>
      <c r="G39" s="484"/>
      <c r="H39" s="604"/>
      <c r="I39" s="603"/>
    </row>
    <row r="40" spans="1:9">
      <c r="A40" s="518" t="str">
        <f>A$10 &amp; ".03.03"</f>
        <v>01.10.03.03</v>
      </c>
      <c r="B40" s="610" t="s">
        <v>769</v>
      </c>
      <c r="C40" s="605" t="s">
        <v>55</v>
      </c>
      <c r="D40" s="604"/>
      <c r="E40" s="484"/>
      <c r="F40" s="604"/>
      <c r="G40" s="484"/>
      <c r="H40" s="604"/>
      <c r="I40" s="603">
        <f>+SUM(H41:H44)</f>
        <v>3.8280000000000003</v>
      </c>
    </row>
    <row r="41" spans="1:9">
      <c r="A41" s="607"/>
      <c r="B41" s="606" t="s">
        <v>763</v>
      </c>
      <c r="C41" s="605"/>
      <c r="D41" s="604">
        <v>2</v>
      </c>
      <c r="E41" s="484">
        <v>2.5</v>
      </c>
      <c r="F41" s="604"/>
      <c r="G41" s="484">
        <v>0.2</v>
      </c>
      <c r="H41" s="604">
        <f>+PRODUCT(D41:G41)*1.1</f>
        <v>1.1000000000000001</v>
      </c>
      <c r="I41" s="603"/>
    </row>
    <row r="42" spans="1:9">
      <c r="A42" s="607"/>
      <c r="B42" s="610"/>
      <c r="C42" s="605"/>
      <c r="D42" s="604">
        <v>1</v>
      </c>
      <c r="E42" s="484">
        <v>2.5</v>
      </c>
      <c r="F42" s="604">
        <v>0.2</v>
      </c>
      <c r="G42" s="484"/>
      <c r="H42" s="604">
        <f>+PRODUCT(D42:G42)*1.1</f>
        <v>0.55000000000000004</v>
      </c>
      <c r="I42" s="603"/>
    </row>
    <row r="43" spans="1:9">
      <c r="A43" s="607"/>
      <c r="B43" s="610"/>
      <c r="C43" s="605"/>
      <c r="D43" s="604">
        <v>4</v>
      </c>
      <c r="E43" s="484"/>
      <c r="F43" s="604">
        <v>0.65</v>
      </c>
      <c r="G43" s="484">
        <v>0.45</v>
      </c>
      <c r="H43" s="604">
        <f>+PRODUCT(D43:G43)*1.1</f>
        <v>1.2870000000000004</v>
      </c>
      <c r="I43" s="603"/>
    </row>
    <row r="44" spans="1:9">
      <c r="A44" s="607"/>
      <c r="B44" s="610"/>
      <c r="C44" s="605"/>
      <c r="D44" s="604">
        <v>4</v>
      </c>
      <c r="E44" s="484"/>
      <c r="F44" s="604">
        <v>0.45</v>
      </c>
      <c r="G44" s="484">
        <v>0.45</v>
      </c>
      <c r="H44" s="604">
        <f>+PRODUCT(D44:G44)*1.1</f>
        <v>0.89100000000000013</v>
      </c>
      <c r="I44" s="603"/>
    </row>
    <row r="45" spans="1:9">
      <c r="A45" s="607"/>
      <c r="B45" s="610"/>
      <c r="C45" s="605"/>
      <c r="D45" s="604"/>
      <c r="E45" s="484"/>
      <c r="F45" s="604"/>
      <c r="G45" s="484"/>
      <c r="H45" s="604"/>
      <c r="I45" s="603"/>
    </row>
    <row r="46" spans="1:9">
      <c r="A46" s="518" t="str">
        <f>A$10 &amp; ".03.04"</f>
        <v>01.10.03.04</v>
      </c>
      <c r="B46" s="604" t="s">
        <v>768</v>
      </c>
      <c r="C46" s="605" t="s">
        <v>187</v>
      </c>
      <c r="D46" s="604"/>
      <c r="E46" s="484"/>
      <c r="F46" s="604"/>
      <c r="G46" s="484"/>
      <c r="H46" s="604"/>
      <c r="I46" s="603">
        <f>+SUM(H47:H49)</f>
        <v>23.872800000000005</v>
      </c>
    </row>
    <row r="47" spans="1:9">
      <c r="A47" s="607"/>
      <c r="B47" s="606" t="s">
        <v>763</v>
      </c>
      <c r="C47" s="605"/>
      <c r="D47" s="604"/>
      <c r="E47" s="484"/>
      <c r="F47" s="604"/>
      <c r="G47" s="484"/>
      <c r="H47" s="604"/>
      <c r="I47" s="603"/>
    </row>
    <row r="48" spans="1:9">
      <c r="A48" s="607"/>
      <c r="B48" s="617" t="s">
        <v>405</v>
      </c>
      <c r="C48" s="605"/>
      <c r="D48" s="604">
        <v>4</v>
      </c>
      <c r="E48" s="484">
        <v>3.5</v>
      </c>
      <c r="F48" s="604" t="s">
        <v>766</v>
      </c>
      <c r="G48" s="484">
        <v>0.56000000000000005</v>
      </c>
      <c r="H48" s="604">
        <f>+PRODUCT(D48:G48)*1.05</f>
        <v>8.2320000000000011</v>
      </c>
      <c r="I48" s="603"/>
    </row>
    <row r="49" spans="1:12">
      <c r="A49" s="607"/>
      <c r="B49" s="617" t="s">
        <v>767</v>
      </c>
      <c r="C49" s="605"/>
      <c r="D49" s="604">
        <v>28</v>
      </c>
      <c r="E49" s="484">
        <v>0.95</v>
      </c>
      <c r="F49" s="604" t="s">
        <v>766</v>
      </c>
      <c r="G49" s="484">
        <v>0.56000000000000005</v>
      </c>
      <c r="H49" s="604">
        <f>+PRODUCT(D49:G49)*1.05</f>
        <v>15.640800000000002</v>
      </c>
      <c r="I49" s="603"/>
    </row>
    <row r="50" spans="1:12">
      <c r="A50" s="607"/>
      <c r="B50" s="616"/>
      <c r="C50" s="605"/>
      <c r="D50" s="604"/>
      <c r="E50" s="484"/>
      <c r="F50" s="604"/>
      <c r="G50" s="484"/>
      <c r="H50" s="604"/>
      <c r="I50" s="603"/>
    </row>
    <row r="51" spans="1:12">
      <c r="A51" s="518" t="str">
        <f>A$10 &amp; ".04"</f>
        <v>01.10.04</v>
      </c>
      <c r="B51" s="615" t="s">
        <v>312</v>
      </c>
      <c r="C51" s="614"/>
      <c r="D51" s="613"/>
      <c r="E51" s="614"/>
      <c r="F51" s="613"/>
      <c r="G51" s="614"/>
      <c r="H51" s="613"/>
      <c r="I51" s="612"/>
    </row>
    <row r="52" spans="1:12">
      <c r="A52" s="518" t="str">
        <f>A$10 &amp; ".04.01"</f>
        <v>01.10.04.01</v>
      </c>
      <c r="B52" s="610" t="s">
        <v>765</v>
      </c>
      <c r="C52" s="605" t="s">
        <v>307</v>
      </c>
      <c r="D52" s="604"/>
      <c r="E52" s="484"/>
      <c r="F52" s="604"/>
      <c r="G52" s="484"/>
      <c r="H52" s="604"/>
      <c r="I52" s="603">
        <f>SUM(H53:H54)</f>
        <v>3.4</v>
      </c>
    </row>
    <row r="53" spans="1:12">
      <c r="A53" s="607"/>
      <c r="B53" s="606" t="s">
        <v>763</v>
      </c>
      <c r="C53" s="605" t="s">
        <v>0</v>
      </c>
      <c r="D53" s="604"/>
      <c r="E53" s="484"/>
      <c r="F53" s="604"/>
      <c r="G53" s="484"/>
      <c r="H53" s="604"/>
      <c r="I53" s="603"/>
    </row>
    <row r="54" spans="1:12">
      <c r="A54" s="607"/>
      <c r="B54" s="611" t="s">
        <v>764</v>
      </c>
      <c r="C54" s="605"/>
      <c r="D54" s="604">
        <v>1</v>
      </c>
      <c r="E54" s="484">
        <v>3.4</v>
      </c>
      <c r="F54" s="604"/>
      <c r="G54" s="484"/>
      <c r="H54" s="604">
        <f>D54*E54</f>
        <v>3.4</v>
      </c>
      <c r="I54" s="603"/>
    </row>
    <row r="55" spans="1:12">
      <c r="A55" s="607"/>
      <c r="B55" s="611"/>
      <c r="C55" s="605"/>
      <c r="D55" s="604"/>
      <c r="E55" s="484"/>
      <c r="F55" s="604"/>
      <c r="G55" s="484"/>
      <c r="H55" s="604"/>
      <c r="I55" s="603"/>
    </row>
    <row r="56" spans="1:12">
      <c r="A56" s="607"/>
      <c r="B56" s="611"/>
      <c r="C56" s="605"/>
      <c r="D56" s="604"/>
      <c r="E56" s="484"/>
      <c r="F56" s="604"/>
      <c r="G56" s="484"/>
      <c r="H56" s="604"/>
      <c r="I56" s="603"/>
    </row>
    <row r="57" spans="1:12" ht="27">
      <c r="A57" s="518" t="str">
        <f>A$10 &amp; ".04.02"</f>
        <v>01.10.04.02</v>
      </c>
      <c r="B57" s="930" t="s">
        <v>313</v>
      </c>
      <c r="C57" s="605" t="s">
        <v>307</v>
      </c>
      <c r="D57" s="604"/>
      <c r="E57" s="484"/>
      <c r="F57" s="604"/>
      <c r="G57" s="484"/>
      <c r="H57" s="604"/>
      <c r="I57" s="603">
        <f>SUM(H59:H60)</f>
        <v>3.4</v>
      </c>
    </row>
    <row r="58" spans="1:12">
      <c r="A58" s="607"/>
      <c r="B58" s="642" t="s">
        <v>763</v>
      </c>
      <c r="C58" s="605" t="s">
        <v>0</v>
      </c>
      <c r="D58" s="604"/>
      <c r="E58" s="484"/>
      <c r="F58" s="604"/>
      <c r="G58" s="484"/>
      <c r="H58" s="604"/>
      <c r="I58" s="609"/>
    </row>
    <row r="59" spans="1:12">
      <c r="A59" s="607"/>
      <c r="B59" s="611" t="s">
        <v>762</v>
      </c>
      <c r="C59" s="605"/>
      <c r="D59" s="604">
        <v>1</v>
      </c>
      <c r="E59" s="484">
        <v>3.4</v>
      </c>
      <c r="F59" s="604"/>
      <c r="G59" s="484"/>
      <c r="H59" s="604">
        <f>D59*E59</f>
        <v>3.4</v>
      </c>
      <c r="I59" s="603"/>
      <c r="L59" s="608"/>
    </row>
    <row r="60" spans="1:12">
      <c r="A60" s="607"/>
      <c r="B60" s="606"/>
      <c r="C60" s="605"/>
      <c r="D60" s="604"/>
      <c r="E60" s="484"/>
      <c r="F60" s="604"/>
      <c r="G60" s="484"/>
      <c r="H60" s="604"/>
      <c r="I60" s="603"/>
    </row>
    <row r="61" spans="1:12" ht="14.25" thickBot="1">
      <c r="A61" s="602"/>
      <c r="B61" s="601"/>
      <c r="C61" s="600"/>
      <c r="D61" s="598"/>
      <c r="E61" s="599"/>
      <c r="F61" s="598"/>
      <c r="G61" s="599"/>
      <c r="H61" s="598"/>
      <c r="I61" s="597"/>
    </row>
  </sheetData>
  <mergeCells count="12">
    <mergeCell ref="D7:D8"/>
    <mergeCell ref="E7:G7"/>
    <mergeCell ref="H7:H8"/>
    <mergeCell ref="I7:I8"/>
    <mergeCell ref="A1:I1"/>
    <mergeCell ref="A2:A3"/>
    <mergeCell ref="B2:I3"/>
    <mergeCell ref="A4:I4"/>
    <mergeCell ref="E5:F5"/>
    <mergeCell ref="A7:A8"/>
    <mergeCell ref="B7:B8"/>
    <mergeCell ref="C7:C8"/>
  </mergeCells>
  <printOptions horizontalCentered="1"/>
  <pageMargins left="0.53" right="0.24" top="0.56999999999999995" bottom="0.74803149606299213" header="0.31496062992125984" footer="0.31496062992125984"/>
  <pageSetup paperSize="9" scale="67" fitToHeight="0" orientation="portrait" r:id="rId1"/>
  <headerFooter>
    <oddFooter>Página &amp;P&amp;R&amp;A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26631-6F09-43E8-8A5F-78AA05548251}">
  <sheetPr codeName="Hoja15">
    <tabColor rgb="FF0070C0"/>
    <pageSetUpPr fitToPage="1"/>
  </sheetPr>
  <dimension ref="A1:M52"/>
  <sheetViews>
    <sheetView showGridLines="0" view="pageBreakPreview" zoomScale="75" zoomScaleNormal="85" zoomScaleSheetLayoutView="75" zoomScalePageLayoutView="85" workbookViewId="0">
      <selection activeCell="B13" sqref="B13"/>
    </sheetView>
  </sheetViews>
  <sheetFormatPr baseColWidth="10" defaultColWidth="14.6640625" defaultRowHeight="13.5"/>
  <cols>
    <col min="1" max="1" width="25.5" style="596" customWidth="1"/>
    <col min="2" max="2" width="75.83203125" style="19" customWidth="1"/>
    <col min="3" max="3" width="8.5" style="19" customWidth="1"/>
    <col min="4" max="4" width="10.83203125" style="19" customWidth="1"/>
    <col min="5" max="5" width="14.5" style="19" customWidth="1"/>
    <col min="6" max="6" width="9.1640625" style="19" customWidth="1"/>
    <col min="7" max="9" width="11.1640625" style="19" customWidth="1"/>
    <col min="10" max="10" width="2.5" style="19" customWidth="1"/>
    <col min="11" max="16384" width="14.6640625" style="19"/>
  </cols>
  <sheetData>
    <row r="1" spans="1:13" ht="18" customHeight="1">
      <c r="A1" s="1179" t="s">
        <v>786</v>
      </c>
      <c r="B1" s="1180"/>
      <c r="C1" s="1180"/>
      <c r="D1" s="1180"/>
      <c r="E1" s="1180"/>
      <c r="F1" s="1180"/>
      <c r="G1" s="1180"/>
      <c r="H1" s="1180"/>
      <c r="I1" s="1181"/>
    </row>
    <row r="2" spans="1:13" ht="16.5" customHeight="1">
      <c r="A2" s="1182" t="s">
        <v>257</v>
      </c>
      <c r="B2" s="1184" t="s">
        <v>1086</v>
      </c>
      <c r="C2" s="1023"/>
      <c r="D2" s="1023"/>
      <c r="E2" s="1023"/>
      <c r="F2" s="1023"/>
      <c r="G2" s="1023"/>
      <c r="H2" s="1023"/>
      <c r="I2" s="1024"/>
      <c r="J2" s="641"/>
      <c r="K2" s="641"/>
      <c r="L2" s="641"/>
      <c r="M2" s="641"/>
    </row>
    <row r="3" spans="1:13" ht="27.75" customHeight="1">
      <c r="A3" s="1183"/>
      <c r="B3" s="1023"/>
      <c r="C3" s="1023"/>
      <c r="D3" s="1023"/>
      <c r="E3" s="1023"/>
      <c r="F3" s="1023"/>
      <c r="G3" s="1023"/>
      <c r="H3" s="1023"/>
      <c r="I3" s="1024"/>
    </row>
    <row r="4" spans="1:13" ht="18.75">
      <c r="A4" s="1185" t="s">
        <v>797</v>
      </c>
      <c r="B4" s="1186"/>
      <c r="C4" s="1186"/>
      <c r="D4" s="1186"/>
      <c r="E4" s="1186"/>
      <c r="F4" s="1186"/>
      <c r="G4" s="1186"/>
      <c r="H4" s="1186"/>
      <c r="I4" s="1187"/>
    </row>
    <row r="5" spans="1:13" ht="16.5" hidden="1" customHeight="1">
      <c r="A5" s="640">
        <v>1.1499999999999999</v>
      </c>
      <c r="B5" s="639" t="s">
        <v>784</v>
      </c>
      <c r="C5" s="638"/>
      <c r="D5" s="637" t="s">
        <v>783</v>
      </c>
      <c r="E5" s="1188">
        <v>4</v>
      </c>
      <c r="F5" s="1189"/>
      <c r="G5" s="636"/>
      <c r="H5" s="635" t="s">
        <v>782</v>
      </c>
      <c r="I5" s="634" t="s">
        <v>781</v>
      </c>
    </row>
    <row r="6" spans="1:13">
      <c r="A6" s="633"/>
      <c r="B6" s="632"/>
      <c r="C6" s="632"/>
      <c r="D6" s="632"/>
      <c r="E6" s="606"/>
      <c r="F6" s="606"/>
      <c r="G6" s="606"/>
      <c r="H6" s="606"/>
      <c r="I6" s="631"/>
    </row>
    <row r="7" spans="1:13" ht="15.75" customHeight="1">
      <c r="A7" s="1190" t="s">
        <v>278</v>
      </c>
      <c r="B7" s="1177" t="s">
        <v>2</v>
      </c>
      <c r="C7" s="1177" t="s">
        <v>43</v>
      </c>
      <c r="D7" s="1177" t="s">
        <v>780</v>
      </c>
      <c r="E7" s="1177" t="s">
        <v>779</v>
      </c>
      <c r="F7" s="1177"/>
      <c r="G7" s="1177"/>
      <c r="H7" s="1177" t="s">
        <v>778</v>
      </c>
      <c r="I7" s="1178" t="s">
        <v>8</v>
      </c>
    </row>
    <row r="8" spans="1:13">
      <c r="A8" s="1190"/>
      <c r="B8" s="1177"/>
      <c r="C8" s="1177"/>
      <c r="D8" s="1177"/>
      <c r="E8" s="630" t="s">
        <v>253</v>
      </c>
      <c r="F8" s="630" t="s">
        <v>5</v>
      </c>
      <c r="G8" s="630" t="s">
        <v>777</v>
      </c>
      <c r="H8" s="1177"/>
      <c r="I8" s="1178"/>
    </row>
    <row r="9" spans="1:13">
      <c r="A9" s="629"/>
      <c r="B9" s="628" t="s">
        <v>796</v>
      </c>
      <c r="C9" s="627"/>
      <c r="D9" s="626"/>
      <c r="E9" s="627"/>
      <c r="F9" s="626"/>
      <c r="G9" s="627"/>
      <c r="H9" s="626"/>
      <c r="I9" s="625"/>
    </row>
    <row r="10" spans="1:13">
      <c r="A10" s="644" t="str">
        <f>+"01.11"</f>
        <v>01.11</v>
      </c>
      <c r="B10" s="623" t="s">
        <v>795</v>
      </c>
      <c r="C10" s="614"/>
      <c r="D10" s="613">
        <v>1</v>
      </c>
      <c r="E10" s="614"/>
      <c r="F10" s="613"/>
      <c r="G10" s="614"/>
      <c r="H10" s="613"/>
      <c r="I10" s="612"/>
    </row>
    <row r="11" spans="1:13">
      <c r="A11" s="643" t="str">
        <f>A$10 &amp; ".01"</f>
        <v>01.11.01</v>
      </c>
      <c r="B11" s="613" t="s">
        <v>107</v>
      </c>
      <c r="C11" s="614"/>
      <c r="D11" s="613"/>
      <c r="E11" s="614"/>
      <c r="F11" s="613"/>
      <c r="G11" s="614"/>
      <c r="H11" s="613"/>
      <c r="I11" s="612"/>
    </row>
    <row r="12" spans="1:13">
      <c r="A12" s="643" t="str">
        <f>A$11&amp; ".01"</f>
        <v>01.11.01.01</v>
      </c>
      <c r="B12" s="621" t="s">
        <v>106</v>
      </c>
      <c r="C12" s="605" t="s">
        <v>55</v>
      </c>
      <c r="D12" s="604"/>
      <c r="E12" s="484"/>
      <c r="F12" s="604"/>
      <c r="G12" s="614"/>
      <c r="H12" s="604"/>
      <c r="I12" s="603">
        <f>SUM(H13:H13)</f>
        <v>0.40500000000000003</v>
      </c>
    </row>
    <row r="13" spans="1:13">
      <c r="A13" s="643"/>
      <c r="B13" s="606" t="s">
        <v>794</v>
      </c>
      <c r="C13" s="605"/>
      <c r="D13" s="604">
        <v>1</v>
      </c>
      <c r="E13" s="484">
        <v>0.9</v>
      </c>
      <c r="F13" s="604">
        <v>0.45</v>
      </c>
      <c r="G13" s="614"/>
      <c r="H13" s="604">
        <f>+PRODUCT(D13:G13)</f>
        <v>0.40500000000000003</v>
      </c>
      <c r="I13" s="603"/>
    </row>
    <row r="14" spans="1:13">
      <c r="A14" s="643"/>
      <c r="B14" s="618"/>
      <c r="C14" s="605"/>
      <c r="D14" s="604"/>
      <c r="E14" s="484"/>
      <c r="F14" s="604"/>
      <c r="G14" s="614"/>
      <c r="H14" s="604"/>
      <c r="I14" s="609"/>
    </row>
    <row r="15" spans="1:13">
      <c r="A15" s="643" t="str">
        <f>A$11&amp; ".02"</f>
        <v>01.11.01.02</v>
      </c>
      <c r="B15" s="621" t="s">
        <v>642</v>
      </c>
      <c r="C15" s="605" t="s">
        <v>55</v>
      </c>
      <c r="D15" s="604"/>
      <c r="E15" s="484"/>
      <c r="F15" s="604"/>
      <c r="G15" s="614"/>
      <c r="H15" s="604"/>
      <c r="I15" s="603">
        <f>SUM(H16:H16)</f>
        <v>11.025</v>
      </c>
    </row>
    <row r="16" spans="1:13">
      <c r="A16" s="643"/>
      <c r="B16" s="606" t="s">
        <v>794</v>
      </c>
      <c r="C16" s="605"/>
      <c r="D16" s="604">
        <v>1</v>
      </c>
      <c r="E16" s="484">
        <v>24.5</v>
      </c>
      <c r="F16" s="604">
        <f>F13</f>
        <v>0.45</v>
      </c>
      <c r="G16" s="614"/>
      <c r="H16" s="604">
        <f>+PRODUCT(D16:G16)</f>
        <v>11.025</v>
      </c>
      <c r="I16" s="603"/>
    </row>
    <row r="17" spans="1:9">
      <c r="A17" s="643"/>
      <c r="B17" s="618"/>
      <c r="C17" s="605"/>
      <c r="D17" s="604"/>
      <c r="E17" s="484"/>
      <c r="F17" s="604"/>
      <c r="G17" s="614"/>
      <c r="H17" s="604"/>
      <c r="I17" s="609"/>
    </row>
    <row r="18" spans="1:9">
      <c r="A18" s="643" t="str">
        <f>A$11 &amp; ".03"</f>
        <v>01.11.01.03</v>
      </c>
      <c r="B18" s="621" t="s">
        <v>639</v>
      </c>
      <c r="C18" s="605" t="s">
        <v>55</v>
      </c>
      <c r="D18" s="604"/>
      <c r="E18" s="484"/>
      <c r="F18" s="604"/>
      <c r="G18" s="614"/>
      <c r="H18" s="604"/>
      <c r="I18" s="603">
        <f>SUM(H19:H19)</f>
        <v>11.025</v>
      </c>
    </row>
    <row r="19" spans="1:9">
      <c r="A19" s="607"/>
      <c r="B19" s="606" t="s">
        <v>794</v>
      </c>
      <c r="C19" s="605"/>
      <c r="D19" s="604">
        <v>1</v>
      </c>
      <c r="E19" s="484">
        <f>E16</f>
        <v>24.5</v>
      </c>
      <c r="F19" s="604">
        <f>F13</f>
        <v>0.45</v>
      </c>
      <c r="G19" s="614"/>
      <c r="H19" s="604">
        <f>+PRODUCT(D19:G19)</f>
        <v>11.025</v>
      </c>
      <c r="I19" s="603"/>
    </row>
    <row r="20" spans="1:9">
      <c r="A20" s="607"/>
      <c r="B20" s="606"/>
      <c r="C20" s="605"/>
      <c r="D20" s="604"/>
      <c r="E20" s="484"/>
      <c r="F20" s="604"/>
      <c r="G20" s="614"/>
      <c r="H20" s="604"/>
      <c r="I20" s="609"/>
    </row>
    <row r="21" spans="1:9">
      <c r="A21" s="643" t="str">
        <f>A$10 &amp; ".02"</f>
        <v>01.11.02</v>
      </c>
      <c r="B21" s="622" t="s">
        <v>101</v>
      </c>
      <c r="C21" s="614"/>
      <c r="D21" s="613"/>
      <c r="E21" s="614"/>
      <c r="F21" s="613"/>
      <c r="G21" s="614"/>
      <c r="H21" s="613"/>
      <c r="I21" s="612"/>
    </row>
    <row r="22" spans="1:9">
      <c r="A22" s="643" t="str">
        <f>A$21 &amp; ".01"</f>
        <v>01.11.02.01</v>
      </c>
      <c r="B22" s="621" t="s">
        <v>774</v>
      </c>
      <c r="C22" s="605" t="s">
        <v>93</v>
      </c>
      <c r="D22" s="604"/>
      <c r="E22" s="484"/>
      <c r="F22" s="604"/>
      <c r="G22" s="484"/>
      <c r="H22" s="604"/>
      <c r="I22" s="603">
        <f>SUM(H23:H23)</f>
        <v>0.32400000000000007</v>
      </c>
    </row>
    <row r="23" spans="1:9">
      <c r="A23" s="643"/>
      <c r="B23" s="606" t="s">
        <v>793</v>
      </c>
      <c r="C23" s="605"/>
      <c r="D23" s="604">
        <v>2</v>
      </c>
      <c r="E23" s="484">
        <v>0.8</v>
      </c>
      <c r="F23" s="604">
        <v>0.45</v>
      </c>
      <c r="G23" s="484">
        <v>0.45</v>
      </c>
      <c r="H23" s="604">
        <f>+PRODUCT(D23:G23)</f>
        <v>0.32400000000000007</v>
      </c>
      <c r="I23" s="603"/>
    </row>
    <row r="24" spans="1:9">
      <c r="A24" s="643"/>
      <c r="B24" s="618"/>
      <c r="C24" s="605"/>
      <c r="D24" s="604"/>
      <c r="E24" s="484"/>
      <c r="F24" s="604"/>
      <c r="G24" s="484"/>
      <c r="H24" s="604"/>
      <c r="I24" s="603"/>
    </row>
    <row r="25" spans="1:9">
      <c r="A25" s="643" t="str">
        <f>A$21 &amp; ".02"</f>
        <v>01.11.02.02</v>
      </c>
      <c r="B25" s="604" t="s">
        <v>243</v>
      </c>
      <c r="C25" s="605" t="s">
        <v>55</v>
      </c>
      <c r="D25" s="604"/>
      <c r="E25" s="484"/>
      <c r="F25" s="604"/>
      <c r="G25" s="484"/>
      <c r="H25" s="604"/>
      <c r="I25" s="603">
        <f>SUM(H26:H26)</f>
        <v>0.72000000000000008</v>
      </c>
    </row>
    <row r="26" spans="1:9">
      <c r="A26" s="643"/>
      <c r="B26" s="606" t="s">
        <v>793</v>
      </c>
      <c r="C26" s="605"/>
      <c r="D26" s="604">
        <v>2</v>
      </c>
      <c r="E26" s="484">
        <v>0.8</v>
      </c>
      <c r="F26" s="604">
        <v>0.45</v>
      </c>
      <c r="G26" s="484"/>
      <c r="H26" s="604">
        <f>+PRODUCT(D26:G26)</f>
        <v>0.72000000000000008</v>
      </c>
      <c r="I26" s="603"/>
    </row>
    <row r="27" spans="1:9">
      <c r="A27" s="643"/>
      <c r="B27" s="618"/>
      <c r="C27" s="605"/>
      <c r="D27" s="604"/>
      <c r="E27" s="484"/>
      <c r="F27" s="604"/>
      <c r="G27" s="484"/>
      <c r="H27" s="604"/>
      <c r="I27" s="603"/>
    </row>
    <row r="28" spans="1:9">
      <c r="A28" s="643" t="str">
        <f>A$21 &amp; ".03"</f>
        <v>01.11.02.03</v>
      </c>
      <c r="B28" s="604" t="s">
        <v>240</v>
      </c>
      <c r="C28" s="605" t="s">
        <v>93</v>
      </c>
      <c r="D28" s="604"/>
      <c r="E28" s="484"/>
      <c r="F28" s="604"/>
      <c r="G28" s="484"/>
      <c r="H28" s="604"/>
      <c r="I28" s="603">
        <f>SUM(H29:H29)</f>
        <v>0.16799999999999998</v>
      </c>
    </row>
    <row r="29" spans="1:9">
      <c r="A29" s="643"/>
      <c r="B29" s="606" t="s">
        <v>793</v>
      </c>
      <c r="C29" s="605"/>
      <c r="D29" s="604">
        <v>2</v>
      </c>
      <c r="E29" s="484">
        <v>0.8</v>
      </c>
      <c r="F29" s="604">
        <v>0.3</v>
      </c>
      <c r="G29" s="484">
        <v>0.35</v>
      </c>
      <c r="H29" s="604">
        <f>D29*E29*F29*G29</f>
        <v>0.16799999999999998</v>
      </c>
      <c r="I29" s="603"/>
    </row>
    <row r="30" spans="1:9">
      <c r="A30" s="643"/>
      <c r="B30" s="604"/>
      <c r="C30" s="605"/>
      <c r="D30" s="604"/>
      <c r="E30" s="484"/>
      <c r="F30" s="604"/>
      <c r="G30" s="484"/>
      <c r="H30" s="604"/>
      <c r="I30" s="603"/>
    </row>
    <row r="31" spans="1:9">
      <c r="A31" s="643" t="str">
        <f>A$21 &amp; ".04"</f>
        <v>01.11.02.04</v>
      </c>
      <c r="B31" s="604" t="s">
        <v>317</v>
      </c>
      <c r="C31" s="605" t="s">
        <v>93</v>
      </c>
      <c r="D31" s="604"/>
      <c r="E31" s="620" t="s">
        <v>772</v>
      </c>
      <c r="F31" s="604"/>
      <c r="G31" s="484"/>
      <c r="H31" s="604"/>
      <c r="I31" s="603">
        <f>PRODUCT(D32:H32)</f>
        <v>0.18720000000000009</v>
      </c>
    </row>
    <row r="32" spans="1:9">
      <c r="A32" s="619"/>
      <c r="B32" s="618"/>
      <c r="C32" s="605"/>
      <c r="D32" s="604">
        <v>1</v>
      </c>
      <c r="E32" s="620">
        <v>1.2</v>
      </c>
      <c r="F32" s="604"/>
      <c r="G32" s="484"/>
      <c r="H32" s="604">
        <f>I22-I28</f>
        <v>0.15600000000000008</v>
      </c>
      <c r="I32" s="609"/>
    </row>
    <row r="33" spans="1:9">
      <c r="A33" s="619"/>
      <c r="B33" s="618"/>
      <c r="C33" s="605"/>
      <c r="D33" s="604"/>
      <c r="E33" s="484"/>
      <c r="F33" s="604"/>
      <c r="G33" s="484"/>
      <c r="H33" s="604"/>
      <c r="I33" s="609"/>
    </row>
    <row r="34" spans="1:9">
      <c r="A34" s="643" t="str">
        <f>A$10 &amp; ".03"</f>
        <v>01.11.03</v>
      </c>
      <c r="B34" s="613" t="s">
        <v>467</v>
      </c>
      <c r="C34" s="614"/>
      <c r="D34" s="613"/>
      <c r="E34" s="614"/>
      <c r="F34" s="613"/>
      <c r="G34" s="614"/>
      <c r="H34" s="613"/>
      <c r="I34" s="612"/>
    </row>
    <row r="35" spans="1:9">
      <c r="A35" s="643" t="str">
        <f>A$10 &amp; ".03.01"</f>
        <v>01.11.03.01</v>
      </c>
      <c r="B35" s="610" t="s">
        <v>770</v>
      </c>
      <c r="C35" s="605" t="s">
        <v>93</v>
      </c>
      <c r="D35" s="604"/>
      <c r="E35" s="484"/>
      <c r="F35" s="604"/>
      <c r="G35" s="484"/>
      <c r="H35" s="604"/>
      <c r="I35" s="603">
        <f>+SUM(H36:H36)</f>
        <v>0.34020000000000006</v>
      </c>
    </row>
    <row r="36" spans="1:9">
      <c r="A36" s="607"/>
      <c r="B36" s="606" t="s">
        <v>793</v>
      </c>
      <c r="C36" s="605"/>
      <c r="D36" s="604">
        <v>2</v>
      </c>
      <c r="E36" s="484">
        <f>E23</f>
        <v>0.8</v>
      </c>
      <c r="F36" s="604">
        <f>F23</f>
        <v>0.45</v>
      </c>
      <c r="G36" s="484">
        <f>G23</f>
        <v>0.45</v>
      </c>
      <c r="H36" s="604">
        <f>+PRODUCT(D36:G36)*1.05</f>
        <v>0.34020000000000006</v>
      </c>
      <c r="I36" s="603"/>
    </row>
    <row r="37" spans="1:9">
      <c r="A37" s="607"/>
      <c r="B37" s="610"/>
      <c r="C37" s="605"/>
      <c r="D37" s="604"/>
      <c r="E37" s="484"/>
      <c r="F37" s="604"/>
      <c r="G37" s="484"/>
      <c r="H37" s="604"/>
      <c r="I37" s="603"/>
    </row>
    <row r="38" spans="1:9">
      <c r="A38" s="643" t="str">
        <f>A$10 &amp; ".03.02"</f>
        <v>01.11.03.02</v>
      </c>
      <c r="B38" s="610" t="s">
        <v>666</v>
      </c>
      <c r="C38" s="605" t="s">
        <v>55</v>
      </c>
      <c r="D38" s="604"/>
      <c r="E38" s="484"/>
      <c r="F38" s="604"/>
      <c r="G38" s="484"/>
      <c r="H38" s="604"/>
      <c r="I38" s="603">
        <f>+SUM(H39:H41)</f>
        <v>2.4750000000000005</v>
      </c>
    </row>
    <row r="39" spans="1:9">
      <c r="A39" s="607"/>
      <c r="B39" s="606" t="s">
        <v>793</v>
      </c>
      <c r="C39" s="605"/>
      <c r="D39" s="604"/>
      <c r="E39" s="484"/>
      <c r="F39" s="604"/>
      <c r="G39" s="484"/>
      <c r="H39" s="604"/>
      <c r="I39" s="603"/>
    </row>
    <row r="40" spans="1:9">
      <c r="A40" s="607"/>
      <c r="B40" s="610"/>
      <c r="C40" s="605"/>
      <c r="D40" s="604">
        <v>4</v>
      </c>
      <c r="E40" s="484"/>
      <c r="F40" s="604">
        <v>0.8</v>
      </c>
      <c r="G40" s="484">
        <v>0.45</v>
      </c>
      <c r="H40" s="604">
        <f>+PRODUCT(D40:G40)*1.1</f>
        <v>1.5840000000000003</v>
      </c>
      <c r="I40" s="603"/>
    </row>
    <row r="41" spans="1:9">
      <c r="A41" s="607"/>
      <c r="B41" s="610"/>
      <c r="C41" s="605"/>
      <c r="D41" s="604">
        <v>4</v>
      </c>
      <c r="E41" s="484"/>
      <c r="F41" s="604">
        <v>0.45</v>
      </c>
      <c r="G41" s="484">
        <v>0.45</v>
      </c>
      <c r="H41" s="604">
        <f>+PRODUCT(D41:G41)*1.1</f>
        <v>0.89100000000000013</v>
      </c>
      <c r="I41" s="603"/>
    </row>
    <row r="42" spans="1:9">
      <c r="A42" s="607"/>
      <c r="B42" s="610"/>
      <c r="C42" s="605"/>
      <c r="D42" s="604"/>
      <c r="E42" s="484"/>
      <c r="F42" s="604"/>
      <c r="G42" s="484"/>
      <c r="H42" s="604"/>
      <c r="I42" s="603"/>
    </row>
    <row r="43" spans="1:9">
      <c r="A43" s="643" t="str">
        <f>A$10 &amp; ".04"</f>
        <v>01.11.04</v>
      </c>
      <c r="B43" s="615" t="s">
        <v>312</v>
      </c>
      <c r="C43" s="614"/>
      <c r="D43" s="613"/>
      <c r="E43" s="614"/>
      <c r="F43" s="613"/>
      <c r="G43" s="614"/>
      <c r="H43" s="613"/>
      <c r="I43" s="612"/>
    </row>
    <row r="44" spans="1:9">
      <c r="A44" s="643" t="str">
        <f>A$10 &amp; ".04.01"</f>
        <v>01.11.04.01</v>
      </c>
      <c r="B44" s="610" t="s">
        <v>792</v>
      </c>
      <c r="C44" s="605" t="s">
        <v>307</v>
      </c>
      <c r="D44" s="604"/>
      <c r="E44" s="484"/>
      <c r="F44" s="604"/>
      <c r="G44" s="484"/>
      <c r="H44" s="604"/>
      <c r="I44" s="603">
        <f>SUM(H45:H45)</f>
        <v>25</v>
      </c>
    </row>
    <row r="45" spans="1:9">
      <c r="A45" s="607"/>
      <c r="B45" s="611" t="s">
        <v>791</v>
      </c>
      <c r="C45" s="605"/>
      <c r="D45" s="604">
        <v>1</v>
      </c>
      <c r="E45" s="484">
        <v>25</v>
      </c>
      <c r="F45" s="604"/>
      <c r="G45" s="484"/>
      <c r="H45" s="604">
        <f>D45*E45</f>
        <v>25</v>
      </c>
      <c r="I45" s="603"/>
    </row>
    <row r="46" spans="1:9">
      <c r="A46" s="607"/>
      <c r="B46" s="611"/>
      <c r="C46" s="605"/>
      <c r="D46" s="604"/>
      <c r="E46" s="484"/>
      <c r="F46" s="604"/>
      <c r="G46" s="484"/>
      <c r="H46" s="604"/>
      <c r="I46" s="603"/>
    </row>
    <row r="47" spans="1:9">
      <c r="A47" s="607"/>
      <c r="B47" s="611"/>
      <c r="C47" s="605"/>
      <c r="D47" s="604"/>
      <c r="E47" s="484"/>
      <c r="F47" s="604"/>
      <c r="G47" s="484"/>
      <c r="H47" s="604"/>
      <c r="I47" s="603"/>
    </row>
    <row r="48" spans="1:9">
      <c r="A48" s="643" t="str">
        <f>A$10 &amp; ".04.02"</f>
        <v>01.11.04.02</v>
      </c>
      <c r="B48" s="610" t="s">
        <v>790</v>
      </c>
      <c r="C48" s="605" t="s">
        <v>58</v>
      </c>
      <c r="D48" s="604">
        <v>8</v>
      </c>
      <c r="E48" s="484"/>
      <c r="F48" s="604"/>
      <c r="G48" s="484"/>
      <c r="H48" s="604"/>
      <c r="I48" s="603">
        <f>D48</f>
        <v>8</v>
      </c>
    </row>
    <row r="49" spans="1:12">
      <c r="A49" s="607"/>
      <c r="B49" s="611" t="s">
        <v>789</v>
      </c>
      <c r="C49" s="605" t="s">
        <v>58</v>
      </c>
      <c r="D49" s="604">
        <v>1</v>
      </c>
      <c r="E49" s="484"/>
      <c r="F49" s="604"/>
      <c r="G49" s="484"/>
      <c r="H49" s="604">
        <f>D49</f>
        <v>1</v>
      </c>
      <c r="I49" s="603"/>
      <c r="L49" s="608"/>
    </row>
    <row r="50" spans="1:12">
      <c r="A50" s="607"/>
      <c r="B50" s="606" t="s">
        <v>788</v>
      </c>
      <c r="C50" s="605" t="s">
        <v>58</v>
      </c>
      <c r="D50" s="604">
        <v>2</v>
      </c>
      <c r="E50" s="484"/>
      <c r="F50" s="604"/>
      <c r="G50" s="484"/>
      <c r="H50" s="604">
        <f>D50</f>
        <v>2</v>
      </c>
      <c r="I50" s="603"/>
    </row>
    <row r="51" spans="1:12">
      <c r="A51" s="607"/>
      <c r="B51" s="642" t="s">
        <v>787</v>
      </c>
      <c r="C51" s="605" t="s">
        <v>58</v>
      </c>
      <c r="D51" s="604">
        <v>2</v>
      </c>
      <c r="E51" s="484"/>
      <c r="F51" s="604"/>
      <c r="G51" s="484"/>
      <c r="H51" s="604">
        <f>D51</f>
        <v>2</v>
      </c>
      <c r="I51" s="603"/>
    </row>
    <row r="52" spans="1:12" ht="14.25" thickBot="1">
      <c r="A52" s="602"/>
      <c r="B52" s="601"/>
      <c r="C52" s="600"/>
      <c r="D52" s="598"/>
      <c r="E52" s="599"/>
      <c r="F52" s="598"/>
      <c r="G52" s="599"/>
      <c r="H52" s="598"/>
      <c r="I52" s="597"/>
    </row>
  </sheetData>
  <mergeCells count="12">
    <mergeCell ref="D7:D8"/>
    <mergeCell ref="E7:G7"/>
    <mergeCell ref="H7:H8"/>
    <mergeCell ref="I7:I8"/>
    <mergeCell ref="A1:I1"/>
    <mergeCell ref="A2:A3"/>
    <mergeCell ref="B2:I3"/>
    <mergeCell ref="A4:I4"/>
    <mergeCell ref="E5:F5"/>
    <mergeCell ref="A7:A8"/>
    <mergeCell ref="B7:B8"/>
    <mergeCell ref="C7:C8"/>
  </mergeCells>
  <conditionalFormatting sqref="A34:A35">
    <cfRule type="duplicateValues" dxfId="2" priority="3"/>
  </conditionalFormatting>
  <conditionalFormatting sqref="A43:A44">
    <cfRule type="duplicateValues" dxfId="1" priority="2"/>
  </conditionalFormatting>
  <conditionalFormatting sqref="A48">
    <cfRule type="duplicateValues" dxfId="0" priority="1"/>
  </conditionalFormatting>
  <printOptions horizontalCentered="1"/>
  <pageMargins left="0.53" right="0.24" top="0.56999999999999995" bottom="0.74803149606299213" header="0.31496062992125984" footer="0.31496062992125984"/>
  <pageSetup paperSize="9" scale="67" fitToHeight="0" orientation="portrait" r:id="rId1"/>
  <headerFooter>
    <oddFooter>Página &amp;P&amp;R&amp;A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E433-6B39-43A8-8BEC-281B4AA620A0}">
  <sheetPr codeName="Hoja16">
    <tabColor rgb="FF0070C0"/>
    <pageSetUpPr fitToPage="1"/>
  </sheetPr>
  <dimension ref="A1:M33"/>
  <sheetViews>
    <sheetView showGridLines="0" view="pageBreakPreview" topLeftCell="A10" zoomScale="80" zoomScaleNormal="85" zoomScaleSheetLayoutView="80" zoomScalePageLayoutView="85" workbookViewId="0">
      <selection activeCell="E23" sqref="E23"/>
    </sheetView>
  </sheetViews>
  <sheetFormatPr baseColWidth="10" defaultColWidth="14.6640625" defaultRowHeight="13.5"/>
  <cols>
    <col min="1" max="1" width="25.5" style="596" customWidth="1"/>
    <col min="2" max="2" width="75.83203125" style="19" customWidth="1"/>
    <col min="3" max="3" width="8.5" style="19" customWidth="1"/>
    <col min="4" max="4" width="10.83203125" style="19" customWidth="1"/>
    <col min="5" max="5" width="14.5" style="19" customWidth="1"/>
    <col min="6" max="6" width="9.1640625" style="19" customWidth="1"/>
    <col min="7" max="9" width="11.1640625" style="19" customWidth="1"/>
    <col min="10" max="10" width="2.5" style="19" customWidth="1"/>
    <col min="11" max="16384" width="14.6640625" style="19"/>
  </cols>
  <sheetData>
    <row r="1" spans="1:13" ht="18" customHeight="1">
      <c r="A1" s="1179" t="s">
        <v>786</v>
      </c>
      <c r="B1" s="1180"/>
      <c r="C1" s="1180"/>
      <c r="D1" s="1180"/>
      <c r="E1" s="1180"/>
      <c r="F1" s="1180"/>
      <c r="G1" s="1180"/>
      <c r="H1" s="1180"/>
      <c r="I1" s="1181"/>
    </row>
    <row r="2" spans="1:13" ht="16.5" customHeight="1">
      <c r="A2" s="1182" t="s">
        <v>257</v>
      </c>
      <c r="B2" s="1184" t="s">
        <v>1086</v>
      </c>
      <c r="C2" s="1023"/>
      <c r="D2" s="1023"/>
      <c r="E2" s="1023"/>
      <c r="F2" s="1023"/>
      <c r="G2" s="1023"/>
      <c r="H2" s="1023"/>
      <c r="I2" s="1024"/>
      <c r="J2" s="641"/>
      <c r="K2" s="641"/>
      <c r="L2" s="641"/>
      <c r="M2" s="641"/>
    </row>
    <row r="3" spans="1:13" ht="27.75" customHeight="1">
      <c r="A3" s="1183"/>
      <c r="B3" s="1023"/>
      <c r="C3" s="1023"/>
      <c r="D3" s="1023"/>
      <c r="E3" s="1023"/>
      <c r="F3" s="1023"/>
      <c r="G3" s="1023"/>
      <c r="H3" s="1023"/>
      <c r="I3" s="1024"/>
    </row>
    <row r="4" spans="1:13" ht="18.75">
      <c r="A4" s="1185" t="s">
        <v>804</v>
      </c>
      <c r="B4" s="1186"/>
      <c r="C4" s="1186"/>
      <c r="D4" s="1186"/>
      <c r="E4" s="1186"/>
      <c r="F4" s="1186"/>
      <c r="G4" s="1186"/>
      <c r="H4" s="1186"/>
      <c r="I4" s="1187"/>
    </row>
    <row r="5" spans="1:13" ht="16.5" hidden="1" customHeight="1">
      <c r="A5" s="640">
        <v>1.1499999999999999</v>
      </c>
      <c r="B5" s="639" t="s">
        <v>784</v>
      </c>
      <c r="C5" s="638"/>
      <c r="D5" s="637" t="s">
        <v>783</v>
      </c>
      <c r="E5" s="1188">
        <v>4</v>
      </c>
      <c r="F5" s="1189"/>
      <c r="G5" s="636"/>
      <c r="H5" s="635" t="s">
        <v>782</v>
      </c>
      <c r="I5" s="634" t="s">
        <v>781</v>
      </c>
    </row>
    <row r="6" spans="1:13">
      <c r="A6" s="633"/>
      <c r="B6" s="632"/>
      <c r="C6" s="632"/>
      <c r="D6" s="632"/>
      <c r="E6" s="606"/>
      <c r="F6" s="606"/>
      <c r="G6" s="606"/>
      <c r="H6" s="606"/>
      <c r="I6" s="631"/>
    </row>
    <row r="7" spans="1:13" ht="15.75" customHeight="1">
      <c r="A7" s="1190" t="s">
        <v>278</v>
      </c>
      <c r="B7" s="1177" t="s">
        <v>2</v>
      </c>
      <c r="C7" s="1177" t="s">
        <v>43</v>
      </c>
      <c r="D7" s="1177" t="s">
        <v>780</v>
      </c>
      <c r="E7" s="1177" t="s">
        <v>779</v>
      </c>
      <c r="F7" s="1177"/>
      <c r="G7" s="1177"/>
      <c r="H7" s="1177" t="s">
        <v>778</v>
      </c>
      <c r="I7" s="1178" t="s">
        <v>8</v>
      </c>
    </row>
    <row r="8" spans="1:13">
      <c r="A8" s="1190"/>
      <c r="B8" s="1177"/>
      <c r="C8" s="1177"/>
      <c r="D8" s="1177"/>
      <c r="E8" s="630" t="s">
        <v>253</v>
      </c>
      <c r="F8" s="630" t="s">
        <v>5</v>
      </c>
      <c r="G8" s="630" t="s">
        <v>777</v>
      </c>
      <c r="H8" s="1177"/>
      <c r="I8" s="1178"/>
    </row>
    <row r="9" spans="1:13">
      <c r="A9" s="629">
        <v>1.1200000000000001</v>
      </c>
      <c r="B9" s="628" t="s">
        <v>803</v>
      </c>
      <c r="C9" s="627"/>
      <c r="D9" s="626"/>
      <c r="E9" s="627"/>
      <c r="F9" s="626"/>
      <c r="G9" s="627"/>
      <c r="H9" s="626"/>
      <c r="I9" s="625"/>
    </row>
    <row r="10" spans="1:13">
      <c r="A10" s="644">
        <v>1.1200000000000001</v>
      </c>
      <c r="B10" s="623" t="s">
        <v>802</v>
      </c>
      <c r="C10" s="614"/>
      <c r="D10" s="613">
        <v>1</v>
      </c>
      <c r="E10" s="614"/>
      <c r="F10" s="613"/>
      <c r="G10" s="614"/>
      <c r="H10" s="613"/>
      <c r="I10" s="612"/>
    </row>
    <row r="11" spans="1:13">
      <c r="A11" s="645" t="str">
        <f>A$10 &amp; ".01"</f>
        <v>1.12.01</v>
      </c>
      <c r="B11" s="613" t="s">
        <v>107</v>
      </c>
      <c r="C11" s="614"/>
      <c r="D11" s="613"/>
      <c r="E11" s="614"/>
      <c r="F11" s="613"/>
      <c r="G11" s="614"/>
      <c r="H11" s="613"/>
      <c r="I11" s="612"/>
    </row>
    <row r="12" spans="1:13">
      <c r="A12" s="645" t="str">
        <f>A$11 &amp; ".01"</f>
        <v>1.12.01.01</v>
      </c>
      <c r="B12" s="621" t="s">
        <v>106</v>
      </c>
      <c r="C12" s="605" t="s">
        <v>55</v>
      </c>
      <c r="D12" s="604"/>
      <c r="E12" s="484"/>
      <c r="F12" s="604"/>
      <c r="G12" s="614"/>
      <c r="H12" s="604"/>
      <c r="I12" s="603">
        <f>SUM(H13:H13)</f>
        <v>1.2000000000000002</v>
      </c>
    </row>
    <row r="13" spans="1:13">
      <c r="A13" s="645"/>
      <c r="B13" s="606" t="s">
        <v>801</v>
      </c>
      <c r="C13" s="605"/>
      <c r="D13" s="604">
        <v>1</v>
      </c>
      <c r="E13" s="484">
        <v>6</v>
      </c>
      <c r="F13" s="604">
        <v>0.2</v>
      </c>
      <c r="G13" s="614"/>
      <c r="H13" s="604">
        <f>+PRODUCT(D13:G13)</f>
        <v>1.2000000000000002</v>
      </c>
      <c r="I13" s="603"/>
    </row>
    <row r="14" spans="1:13">
      <c r="A14" s="645"/>
      <c r="B14" s="618"/>
      <c r="C14" s="605"/>
      <c r="D14" s="604"/>
      <c r="E14" s="484"/>
      <c r="F14" s="604"/>
      <c r="G14" s="614"/>
      <c r="H14" s="604"/>
      <c r="I14" s="609"/>
    </row>
    <row r="15" spans="1:13">
      <c r="A15" s="645" t="str">
        <f>A$11 &amp; ".02"</f>
        <v>1.12.01.02</v>
      </c>
      <c r="B15" s="621" t="s">
        <v>642</v>
      </c>
      <c r="C15" s="605" t="s">
        <v>55</v>
      </c>
      <c r="D15" s="604"/>
      <c r="E15" s="484"/>
      <c r="F15" s="604"/>
      <c r="G15" s="614"/>
      <c r="H15" s="604"/>
      <c r="I15" s="603">
        <f>SUM(H16:H16)</f>
        <v>1.2000000000000002</v>
      </c>
    </row>
    <row r="16" spans="1:13">
      <c r="A16" s="645"/>
      <c r="B16" s="606" t="s">
        <v>801</v>
      </c>
      <c r="C16" s="605"/>
      <c r="D16" s="604">
        <v>1</v>
      </c>
      <c r="E16" s="484">
        <v>6</v>
      </c>
      <c r="F16" s="604">
        <f>F13</f>
        <v>0.2</v>
      </c>
      <c r="G16" s="614"/>
      <c r="H16" s="604">
        <f>+PRODUCT(D16:G16)</f>
        <v>1.2000000000000002</v>
      </c>
      <c r="I16" s="603"/>
    </row>
    <row r="17" spans="1:13">
      <c r="A17" s="645"/>
      <c r="B17" s="618"/>
      <c r="C17" s="605"/>
      <c r="D17" s="604"/>
      <c r="E17" s="484"/>
      <c r="F17" s="604"/>
      <c r="G17" s="614"/>
      <c r="H17" s="604"/>
      <c r="I17" s="609"/>
    </row>
    <row r="18" spans="1:13">
      <c r="A18" s="645" t="str">
        <f>A$11 &amp; ".03"</f>
        <v>1.12.01.03</v>
      </c>
      <c r="B18" s="621" t="s">
        <v>639</v>
      </c>
      <c r="C18" s="605" t="s">
        <v>55</v>
      </c>
      <c r="D18" s="604"/>
      <c r="E18" s="484"/>
      <c r="F18" s="604"/>
      <c r="G18" s="614"/>
      <c r="H18" s="604"/>
      <c r="I18" s="603">
        <f>SUM(H19:H19)</f>
        <v>1.2000000000000002</v>
      </c>
    </row>
    <row r="19" spans="1:13">
      <c r="A19" s="607"/>
      <c r="B19" s="606" t="s">
        <v>801</v>
      </c>
      <c r="C19" s="605"/>
      <c r="D19" s="604">
        <v>1</v>
      </c>
      <c r="E19" s="484">
        <f>E16</f>
        <v>6</v>
      </c>
      <c r="F19" s="604">
        <f>F13</f>
        <v>0.2</v>
      </c>
      <c r="G19" s="614"/>
      <c r="H19" s="604">
        <f>+PRODUCT(D19:G19)</f>
        <v>1.2000000000000002</v>
      </c>
      <c r="I19" s="603"/>
    </row>
    <row r="20" spans="1:13">
      <c r="A20" s="607"/>
      <c r="B20" s="606"/>
      <c r="C20" s="605"/>
      <c r="D20" s="604"/>
      <c r="E20" s="484"/>
      <c r="F20" s="604"/>
      <c r="G20" s="614"/>
      <c r="H20" s="604"/>
      <c r="I20" s="609"/>
    </row>
    <row r="21" spans="1:13">
      <c r="A21" s="645" t="str">
        <f>A$10 &amp; ".02"</f>
        <v>1.12.02</v>
      </c>
      <c r="B21" s="615" t="s">
        <v>312</v>
      </c>
      <c r="C21" s="614"/>
      <c r="D21" s="613"/>
      <c r="E21" s="614"/>
      <c r="F21" s="613"/>
      <c r="G21" s="614"/>
      <c r="H21" s="613"/>
      <c r="I21" s="612"/>
    </row>
    <row r="22" spans="1:13">
      <c r="A22" s="645" t="str">
        <f>A$10 &amp; ".02.01"</f>
        <v>1.12.02.01</v>
      </c>
      <c r="B22" s="610" t="s">
        <v>792</v>
      </c>
      <c r="C22" s="605" t="s">
        <v>307</v>
      </c>
      <c r="D22" s="604"/>
      <c r="E22" s="484"/>
      <c r="F22" s="604"/>
      <c r="G22" s="484"/>
      <c r="H22" s="604"/>
      <c r="I22" s="603">
        <f>SUM(H23:H23)</f>
        <v>6</v>
      </c>
      <c r="L22" s="19">
        <v>15</v>
      </c>
      <c r="M22" s="19">
        <f>L22/1.18</f>
        <v>12.711864406779661</v>
      </c>
    </row>
    <row r="23" spans="1:13">
      <c r="A23" s="645"/>
      <c r="B23" s="611" t="s">
        <v>791</v>
      </c>
      <c r="C23" s="605"/>
      <c r="D23" s="604">
        <v>1</v>
      </c>
      <c r="E23" s="484">
        <v>6</v>
      </c>
      <c r="F23" s="604"/>
      <c r="G23" s="484"/>
      <c r="H23" s="604">
        <f>D23*E23</f>
        <v>6</v>
      </c>
      <c r="I23" s="603"/>
    </row>
    <row r="24" spans="1:13">
      <c r="A24" s="645"/>
      <c r="B24" s="611"/>
      <c r="C24" s="605"/>
      <c r="D24" s="604"/>
      <c r="E24" s="484"/>
      <c r="F24" s="604"/>
      <c r="G24" s="484"/>
      <c r="H24" s="604"/>
      <c r="I24" s="603"/>
    </row>
    <row r="25" spans="1:13">
      <c r="A25" s="645" t="str">
        <f>A$10 &amp; ".02.02"</f>
        <v>1.12.02.02</v>
      </c>
      <c r="B25" s="610" t="s">
        <v>800</v>
      </c>
      <c r="C25" s="605" t="s">
        <v>43</v>
      </c>
      <c r="D25" s="604"/>
      <c r="E25" s="484"/>
      <c r="F25" s="604"/>
      <c r="G25" s="484"/>
      <c r="H25" s="604"/>
      <c r="I25" s="603">
        <f>SUM(H26:H27)</f>
        <v>4</v>
      </c>
    </row>
    <row r="26" spans="1:13">
      <c r="A26" s="645"/>
      <c r="B26" s="611" t="s">
        <v>799</v>
      </c>
      <c r="C26" s="605" t="s">
        <v>58</v>
      </c>
      <c r="D26" s="604">
        <v>2</v>
      </c>
      <c r="E26" s="484"/>
      <c r="F26" s="604"/>
      <c r="G26" s="484"/>
      <c r="H26" s="604">
        <f>D26</f>
        <v>2</v>
      </c>
      <c r="I26" s="603"/>
    </row>
    <row r="27" spans="1:13">
      <c r="A27" s="645"/>
      <c r="B27" s="611" t="s">
        <v>798</v>
      </c>
      <c r="C27" s="605" t="s">
        <v>58</v>
      </c>
      <c r="D27" s="604">
        <v>2</v>
      </c>
      <c r="E27" s="484"/>
      <c r="F27" s="604"/>
      <c r="G27" s="484"/>
      <c r="H27" s="604">
        <f>D27</f>
        <v>2</v>
      </c>
      <c r="I27" s="603"/>
    </row>
    <row r="28" spans="1:13">
      <c r="A28" s="645"/>
      <c r="B28" s="611"/>
      <c r="C28" s="605"/>
      <c r="D28" s="604"/>
      <c r="E28" s="484"/>
      <c r="F28" s="604"/>
      <c r="G28" s="484"/>
      <c r="H28" s="604"/>
      <c r="I28" s="603"/>
    </row>
    <row r="29" spans="1:13">
      <c r="A29" s="645" t="str">
        <f>A$10 &amp; ".02.03"</f>
        <v>1.12.02.03</v>
      </c>
      <c r="B29" s="610" t="s">
        <v>790</v>
      </c>
      <c r="C29" s="605" t="s">
        <v>58</v>
      </c>
      <c r="D29" s="604">
        <v>6</v>
      </c>
      <c r="E29" s="484"/>
      <c r="F29" s="604"/>
      <c r="G29" s="484"/>
      <c r="H29" s="604"/>
      <c r="I29" s="603">
        <f>D29</f>
        <v>6</v>
      </c>
    </row>
    <row r="30" spans="1:13">
      <c r="A30" s="607"/>
      <c r="B30" s="611" t="s">
        <v>789</v>
      </c>
      <c r="C30" s="605" t="s">
        <v>58</v>
      </c>
      <c r="D30" s="604">
        <v>1</v>
      </c>
      <c r="E30" s="484"/>
      <c r="F30" s="604"/>
      <c r="G30" s="484"/>
      <c r="H30" s="604">
        <f>D30</f>
        <v>1</v>
      </c>
      <c r="I30" s="603"/>
      <c r="L30" s="608"/>
    </row>
    <row r="31" spans="1:13">
      <c r="A31" s="607"/>
      <c r="B31" s="606" t="s">
        <v>788</v>
      </c>
      <c r="C31" s="605" t="s">
        <v>58</v>
      </c>
      <c r="D31" s="604">
        <v>2</v>
      </c>
      <c r="E31" s="484"/>
      <c r="F31" s="604"/>
      <c r="G31" s="484"/>
      <c r="H31" s="604">
        <f>D31</f>
        <v>2</v>
      </c>
      <c r="I31" s="603"/>
    </row>
    <row r="32" spans="1:13">
      <c r="A32" s="607"/>
      <c r="B32" s="642" t="s">
        <v>787</v>
      </c>
      <c r="C32" s="605" t="s">
        <v>58</v>
      </c>
      <c r="D32" s="604">
        <v>2</v>
      </c>
      <c r="E32" s="484"/>
      <c r="F32" s="604"/>
      <c r="G32" s="484"/>
      <c r="H32" s="604">
        <f>D32</f>
        <v>2</v>
      </c>
      <c r="I32" s="603"/>
    </row>
    <row r="33" spans="1:9" ht="14.25" thickBot="1">
      <c r="A33" s="602"/>
      <c r="B33" s="601"/>
      <c r="C33" s="600"/>
      <c r="D33" s="598"/>
      <c r="E33" s="599"/>
      <c r="F33" s="598"/>
      <c r="G33" s="599"/>
      <c r="H33" s="598"/>
      <c r="I33" s="597"/>
    </row>
  </sheetData>
  <mergeCells count="12">
    <mergeCell ref="D7:D8"/>
    <mergeCell ref="E7:G7"/>
    <mergeCell ref="H7:H8"/>
    <mergeCell ref="I7:I8"/>
    <mergeCell ref="A1:I1"/>
    <mergeCell ref="A2:A3"/>
    <mergeCell ref="B2:I3"/>
    <mergeCell ref="A4:I4"/>
    <mergeCell ref="E5:F5"/>
    <mergeCell ref="A7:A8"/>
    <mergeCell ref="B7:B8"/>
    <mergeCell ref="C7:C8"/>
  </mergeCells>
  <printOptions horizontalCentered="1"/>
  <pageMargins left="0.53" right="0.24" top="0.56999999999999995" bottom="0.74803149606299213" header="0.31496062992125984" footer="0.31496062992125984"/>
  <pageSetup paperSize="9" scale="67" fitToHeight="0" orientation="portrait" r:id="rId1"/>
  <headerFooter>
    <oddFooter>Página &amp;P&amp;R&amp;A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8A587-DE7A-4200-B1B8-8AF79802185E}">
  <sheetPr codeName="Hoja17">
    <tabColor theme="4" tint="0.79998168889431442"/>
    <pageSetUpPr fitToPage="1"/>
  </sheetPr>
  <dimension ref="A1:HY194"/>
  <sheetViews>
    <sheetView showGridLines="0" view="pageBreakPreview" topLeftCell="B10" zoomScale="65" zoomScaleNormal="55" zoomScaleSheetLayoutView="65" zoomScalePageLayoutView="70" workbookViewId="0">
      <selection activeCell="C30" sqref="C30"/>
    </sheetView>
  </sheetViews>
  <sheetFormatPr baseColWidth="10" defaultColWidth="13.33203125" defaultRowHeight="11.25"/>
  <cols>
    <col min="1" max="1" width="3.6640625" style="646" customWidth="1"/>
    <col min="2" max="2" width="13.5" style="647" customWidth="1"/>
    <col min="3" max="3" width="101.6640625" style="646" customWidth="1"/>
    <col min="4" max="4" width="10.83203125" style="646" customWidth="1"/>
    <col min="5" max="5" width="11.6640625" style="646" customWidth="1"/>
    <col min="6" max="6" width="10.83203125" style="646" customWidth="1"/>
    <col min="7" max="7" width="12.6640625" style="646" customWidth="1"/>
    <col min="8" max="8" width="8.83203125" style="646" customWidth="1"/>
    <col min="9" max="9" width="12.1640625" style="646" customWidth="1"/>
    <col min="10" max="10" width="15" style="646" customWidth="1"/>
    <col min="11" max="11" width="4.5" style="646" customWidth="1"/>
    <col min="12" max="12" width="17.1640625" style="646" bestFit="1" customWidth="1"/>
    <col min="13" max="16384" width="13.33203125" style="646"/>
  </cols>
  <sheetData>
    <row r="1" spans="2:11" ht="18" customHeight="1">
      <c r="B1" s="1194" t="s">
        <v>846</v>
      </c>
      <c r="C1" s="1195"/>
      <c r="D1" s="1195"/>
      <c r="E1" s="1195"/>
      <c r="F1" s="1195"/>
      <c r="G1" s="1195"/>
      <c r="H1" s="1195"/>
      <c r="I1" s="1195"/>
      <c r="J1" s="1196"/>
      <c r="K1" s="688"/>
    </row>
    <row r="2" spans="2:11" ht="50.45" customHeight="1">
      <c r="B2" s="1200" t="s">
        <v>1089</v>
      </c>
      <c r="C2" s="1201"/>
      <c r="D2" s="1201"/>
      <c r="E2" s="1201"/>
      <c r="F2" s="1201"/>
      <c r="G2" s="1201"/>
      <c r="H2" s="1201"/>
      <c r="I2" s="1201"/>
      <c r="J2" s="1202"/>
      <c r="K2" s="701"/>
    </row>
    <row r="3" spans="2:11" ht="19.5" customHeight="1" thickBot="1">
      <c r="B3" s="1197" t="s">
        <v>845</v>
      </c>
      <c r="C3" s="1198"/>
      <c r="D3" s="1198"/>
      <c r="E3" s="1198"/>
      <c r="F3" s="1198"/>
      <c r="G3" s="1198"/>
      <c r="H3" s="1198"/>
      <c r="I3" s="1198"/>
      <c r="J3" s="1199"/>
      <c r="K3" s="696"/>
    </row>
    <row r="4" spans="2:11" ht="15" customHeight="1">
      <c r="B4" s="700"/>
      <c r="C4" s="431"/>
      <c r="D4" s="431"/>
      <c r="E4" s="222"/>
      <c r="F4" s="222"/>
      <c r="G4" s="222"/>
      <c r="H4" s="222"/>
      <c r="I4" s="221"/>
      <c r="J4" s="699"/>
      <c r="K4" s="696"/>
    </row>
    <row r="5" spans="2:11" ht="15" customHeight="1">
      <c r="B5" s="700"/>
      <c r="C5" s="1050"/>
      <c r="D5" s="1051"/>
      <c r="E5" s="1051"/>
      <c r="F5" s="1051"/>
      <c r="G5" s="1051"/>
      <c r="H5" s="1052"/>
      <c r="I5" s="221"/>
      <c r="J5" s="699"/>
      <c r="K5" s="696"/>
    </row>
    <row r="6" spans="2:11" ht="15" customHeight="1">
      <c r="B6" s="700"/>
      <c r="C6" s="1053"/>
      <c r="D6" s="1054"/>
      <c r="E6" s="1054"/>
      <c r="F6" s="1054"/>
      <c r="G6" s="1054"/>
      <c r="H6" s="1055"/>
      <c r="I6" s="221"/>
      <c r="J6" s="699"/>
      <c r="K6" s="696"/>
    </row>
    <row r="7" spans="2:11" ht="15" customHeight="1">
      <c r="B7" s="700"/>
      <c r="C7" s="1053"/>
      <c r="D7" s="1054"/>
      <c r="E7" s="1054"/>
      <c r="F7" s="1054"/>
      <c r="G7" s="1054"/>
      <c r="H7" s="1055"/>
      <c r="I7" s="221"/>
      <c r="J7" s="699"/>
      <c r="K7" s="696"/>
    </row>
    <row r="8" spans="2:11" ht="15" customHeight="1">
      <c r="B8" s="700"/>
      <c r="C8" s="1053"/>
      <c r="D8" s="1054"/>
      <c r="E8" s="1054"/>
      <c r="F8" s="1054"/>
      <c r="G8" s="1054"/>
      <c r="H8" s="1055"/>
      <c r="I8" s="221"/>
      <c r="J8" s="699"/>
      <c r="K8" s="696"/>
    </row>
    <row r="9" spans="2:11" ht="15" customHeight="1">
      <c r="B9" s="700"/>
      <c r="C9" s="1053"/>
      <c r="D9" s="1054"/>
      <c r="E9" s="1054"/>
      <c r="F9" s="1054"/>
      <c r="G9" s="1054"/>
      <c r="H9" s="1055"/>
      <c r="I9" s="221"/>
      <c r="J9" s="699"/>
      <c r="K9" s="696"/>
    </row>
    <row r="10" spans="2:11" ht="15" customHeight="1">
      <c r="B10" s="700"/>
      <c r="C10" s="1053"/>
      <c r="D10" s="1054"/>
      <c r="E10" s="1054"/>
      <c r="F10" s="1054"/>
      <c r="G10" s="1054"/>
      <c r="H10" s="1055"/>
      <c r="I10" s="221"/>
      <c r="J10" s="699"/>
      <c r="K10" s="696"/>
    </row>
    <row r="11" spans="2:11" ht="15" customHeight="1">
      <c r="B11" s="700"/>
      <c r="C11" s="1053"/>
      <c r="D11" s="1054"/>
      <c r="E11" s="1054"/>
      <c r="F11" s="1054"/>
      <c r="G11" s="1054"/>
      <c r="H11" s="1055"/>
      <c r="I11" s="221"/>
      <c r="J11" s="699"/>
      <c r="K11" s="696"/>
    </row>
    <row r="12" spans="2:11" ht="15" customHeight="1">
      <c r="B12" s="700"/>
      <c r="C12" s="1053"/>
      <c r="D12" s="1054"/>
      <c r="E12" s="1054"/>
      <c r="F12" s="1054"/>
      <c r="G12" s="1054"/>
      <c r="H12" s="1055"/>
      <c r="I12" s="221"/>
      <c r="J12" s="699"/>
      <c r="K12" s="696"/>
    </row>
    <row r="13" spans="2:11" ht="15" customHeight="1">
      <c r="B13" s="700"/>
      <c r="C13" s="1053"/>
      <c r="D13" s="1054"/>
      <c r="E13" s="1054"/>
      <c r="F13" s="1054"/>
      <c r="G13" s="1054"/>
      <c r="H13" s="1055"/>
      <c r="I13" s="221"/>
      <c r="J13" s="699"/>
      <c r="K13" s="696"/>
    </row>
    <row r="14" spans="2:11" ht="15" customHeight="1">
      <c r="B14" s="700"/>
      <c r="C14" s="1053"/>
      <c r="D14" s="1054"/>
      <c r="E14" s="1054"/>
      <c r="F14" s="1054"/>
      <c r="G14" s="1054"/>
      <c r="H14" s="1055"/>
      <c r="I14" s="221"/>
      <c r="J14" s="699"/>
      <c r="K14" s="696"/>
    </row>
    <row r="15" spans="2:11" ht="15" customHeight="1">
      <c r="B15" s="700"/>
      <c r="C15" s="1053"/>
      <c r="D15" s="1054"/>
      <c r="E15" s="1054"/>
      <c r="F15" s="1054"/>
      <c r="G15" s="1054"/>
      <c r="H15" s="1055"/>
      <c r="I15" s="221"/>
      <c r="J15" s="699"/>
      <c r="K15" s="696"/>
    </row>
    <row r="16" spans="2:11" ht="15" customHeight="1">
      <c r="B16" s="700"/>
      <c r="C16" s="1056"/>
      <c r="D16" s="1057"/>
      <c r="E16" s="1057"/>
      <c r="F16" s="1057"/>
      <c r="G16" s="1057"/>
      <c r="H16" s="1058"/>
      <c r="I16" s="221"/>
      <c r="J16" s="699"/>
      <c r="K16" s="696"/>
    </row>
    <row r="17" spans="1:233" ht="15" customHeight="1">
      <c r="B17" s="700"/>
      <c r="C17" s="431"/>
      <c r="D17" s="431"/>
      <c r="E17" s="222"/>
      <c r="F17" s="222"/>
      <c r="G17" s="222"/>
      <c r="H17" s="222"/>
      <c r="I17" s="221"/>
      <c r="J17" s="699"/>
      <c r="K17" s="696"/>
    </row>
    <row r="18" spans="1:233" ht="15" customHeight="1" thickBot="1">
      <c r="B18" s="698" t="s">
        <v>1</v>
      </c>
      <c r="C18" s="377" t="s">
        <v>2</v>
      </c>
      <c r="D18" s="697" t="s">
        <v>325</v>
      </c>
      <c r="E18" s="377" t="s">
        <v>3</v>
      </c>
      <c r="F18" s="377" t="s">
        <v>324</v>
      </c>
      <c r="G18" s="377" t="s">
        <v>5</v>
      </c>
      <c r="H18" s="377" t="s">
        <v>6</v>
      </c>
      <c r="I18" s="377" t="s">
        <v>7</v>
      </c>
      <c r="J18" s="377" t="s">
        <v>8</v>
      </c>
      <c r="K18" s="696"/>
      <c r="L18" s="695" t="s">
        <v>844</v>
      </c>
      <c r="M18" s="689"/>
    </row>
    <row r="19" spans="1:233" ht="15" customHeight="1" thickTop="1">
      <c r="B19" s="694" t="str">
        <f>"01.13"</f>
        <v>01.13</v>
      </c>
      <c r="C19" s="693" t="str">
        <f>+"CONEXIÓNES DOMICILIARIAS ("&amp;E19&amp;" Und.)"</f>
        <v>CONEXIÓNES DOMICILIARIAS (15 Und.)</v>
      </c>
      <c r="D19" s="692"/>
      <c r="E19" s="691">
        <v>15</v>
      </c>
      <c r="F19" s="493"/>
      <c r="G19" s="493"/>
      <c r="H19" s="493"/>
      <c r="I19" s="493"/>
      <c r="J19" s="493"/>
      <c r="K19" s="686"/>
      <c r="L19" s="690">
        <f>76.95*1.5</f>
        <v>115.42500000000001</v>
      </c>
      <c r="M19" s="689"/>
    </row>
    <row r="20" spans="1:233" ht="15" customHeight="1">
      <c r="B20" s="685"/>
      <c r="C20" s="667" t="s">
        <v>843</v>
      </c>
      <c r="D20" s="182"/>
      <c r="E20" s="655"/>
      <c r="F20" s="103">
        <f>+L19/E19</f>
        <v>7.6950000000000012</v>
      </c>
      <c r="G20" s="103"/>
      <c r="H20" s="103"/>
      <c r="I20" s="448"/>
      <c r="J20" s="280"/>
      <c r="K20" s="686"/>
      <c r="L20" s="688"/>
    </row>
    <row r="21" spans="1:233" ht="15" customHeight="1">
      <c r="B21" s="685"/>
      <c r="C21" s="687"/>
      <c r="D21" s="182"/>
      <c r="E21" s="655"/>
      <c r="F21" s="103"/>
      <c r="G21" s="103"/>
      <c r="H21" s="103"/>
      <c r="I21" s="448"/>
      <c r="J21" s="280"/>
      <c r="K21" s="686"/>
    </row>
    <row r="22" spans="1:233" s="649" customFormat="1" ht="15" customHeight="1">
      <c r="A22" s="646"/>
      <c r="B22" s="658" t="str">
        <f>B$19 &amp; ".01"</f>
        <v>01.13.01</v>
      </c>
      <c r="C22" s="657" t="s">
        <v>107</v>
      </c>
      <c r="D22" s="195"/>
      <c r="E22" s="656">
        <f>+$E$19</f>
        <v>15</v>
      </c>
      <c r="F22" s="246"/>
      <c r="G22" s="246"/>
      <c r="H22" s="246"/>
      <c r="I22" s="246"/>
      <c r="J22" s="280"/>
      <c r="K22" s="650"/>
    </row>
    <row r="23" spans="1:233" s="649" customFormat="1" ht="15" customHeight="1">
      <c r="A23" s="646"/>
      <c r="B23" s="666" t="str">
        <f>B$22 &amp; ".01"</f>
        <v>01.13.01.01</v>
      </c>
      <c r="C23" s="202" t="s">
        <v>493</v>
      </c>
      <c r="D23" s="20" t="s">
        <v>0</v>
      </c>
      <c r="E23" s="655">
        <v>1</v>
      </c>
      <c r="F23" s="103">
        <f>+$F$20</f>
        <v>7.6950000000000012</v>
      </c>
      <c r="G23" s="103"/>
      <c r="H23" s="103"/>
      <c r="I23" s="448">
        <f>+ROUND(PRODUCT(E23:H23),2)</f>
        <v>7.7</v>
      </c>
      <c r="J23" s="280">
        <f>+I23*$E$22</f>
        <v>115.5</v>
      </c>
      <c r="K23" s="650"/>
    </row>
    <row r="24" spans="1:233" s="649" customFormat="1" ht="15" customHeight="1">
      <c r="A24" s="646"/>
      <c r="B24" s="666" t="str">
        <f>B$22 &amp; ".02"</f>
        <v>01.13.01.02</v>
      </c>
      <c r="C24" s="202" t="s">
        <v>842</v>
      </c>
      <c r="D24" s="20" t="s">
        <v>0</v>
      </c>
      <c r="E24" s="655">
        <v>1</v>
      </c>
      <c r="F24" s="103">
        <f>+$F$20</f>
        <v>7.6950000000000012</v>
      </c>
      <c r="G24" s="103"/>
      <c r="H24" s="103"/>
      <c r="I24" s="448">
        <f>+ROUND(PRODUCT(E24:H24),2)</f>
        <v>7.7</v>
      </c>
      <c r="J24" s="280">
        <f>+I24*$E$22</f>
        <v>115.5</v>
      </c>
      <c r="K24" s="650"/>
    </row>
    <row r="25" spans="1:233" s="649" customFormat="1" ht="15" customHeight="1">
      <c r="A25" s="646"/>
      <c r="B25" s="666" t="str">
        <f>B$22 &amp; ".03"</f>
        <v>01.13.01.03</v>
      </c>
      <c r="C25" s="202" t="s">
        <v>841</v>
      </c>
      <c r="D25" s="20" t="s">
        <v>0</v>
      </c>
      <c r="E25" s="655">
        <v>1</v>
      </c>
      <c r="F25" s="103">
        <f>+$F$20</f>
        <v>7.6950000000000012</v>
      </c>
      <c r="G25" s="103"/>
      <c r="H25" s="103"/>
      <c r="I25" s="448">
        <f>+ROUND(PRODUCT(E25:H25),2)</f>
        <v>7.7</v>
      </c>
      <c r="J25" s="280">
        <f>+I25*$E$22</f>
        <v>115.5</v>
      </c>
      <c r="K25" s="650"/>
      <c r="L25" s="1066" t="s">
        <v>840</v>
      </c>
      <c r="M25" s="1066"/>
      <c r="N25" s="1066"/>
      <c r="P25" s="1066" t="s">
        <v>715</v>
      </c>
      <c r="Q25" s="1066"/>
      <c r="R25" s="1066"/>
    </row>
    <row r="26" spans="1:233" s="649" customFormat="1" ht="15" customHeight="1">
      <c r="A26" s="646"/>
      <c r="B26" s="685"/>
      <c r="C26" s="684"/>
      <c r="D26" s="195"/>
      <c r="E26" s="683"/>
      <c r="F26" s="103"/>
      <c r="G26" s="246"/>
      <c r="H26" s="246"/>
      <c r="I26" s="246"/>
      <c r="J26" s="280"/>
      <c r="K26" s="650"/>
      <c r="L26" s="522"/>
      <c r="M26" s="522"/>
      <c r="N26" s="522"/>
      <c r="P26" s="522"/>
      <c r="Q26" s="522"/>
      <c r="R26" s="522"/>
    </row>
    <row r="27" spans="1:233" s="649" customFormat="1" ht="15" customHeight="1">
      <c r="A27" s="646"/>
      <c r="B27" s="658" t="str">
        <f>B$19 &amp; ".02"</f>
        <v>01.13.02</v>
      </c>
      <c r="C27" s="657" t="s">
        <v>839</v>
      </c>
      <c r="D27" s="195"/>
      <c r="E27" s="656">
        <f>+$E$19</f>
        <v>15</v>
      </c>
      <c r="F27" s="103"/>
      <c r="G27" s="246"/>
      <c r="H27" s="246"/>
      <c r="I27" s="246"/>
      <c r="J27" s="280"/>
      <c r="L27" s="481" t="s">
        <v>23</v>
      </c>
      <c r="M27" s="478">
        <v>0.4</v>
      </c>
      <c r="N27" s="681" t="s">
        <v>0</v>
      </c>
      <c r="P27" s="481" t="s">
        <v>23</v>
      </c>
      <c r="Q27" s="478">
        <v>0.8</v>
      </c>
      <c r="R27" s="681" t="s">
        <v>0</v>
      </c>
    </row>
    <row r="28" spans="1:233" s="678" customFormat="1" ht="13.5" customHeight="1">
      <c r="A28" s="646"/>
      <c r="B28" s="675" t="str">
        <f>B27 &amp; ".01"</f>
        <v>01.13.02.01</v>
      </c>
      <c r="C28" s="682" t="s">
        <v>838</v>
      </c>
      <c r="D28" s="668" t="s">
        <v>93</v>
      </c>
      <c r="E28" s="662">
        <v>1</v>
      </c>
      <c r="F28" s="246"/>
      <c r="G28" s="103"/>
      <c r="H28" s="103"/>
      <c r="I28" s="22">
        <f>+SUM(I29:I35)</f>
        <v>2.82</v>
      </c>
      <c r="J28" s="280">
        <f>+I28*$E$27</f>
        <v>42.3</v>
      </c>
      <c r="K28" s="649"/>
      <c r="L28" s="481" t="s">
        <v>328</v>
      </c>
      <c r="M28" s="478">
        <v>0.3</v>
      </c>
      <c r="N28" s="681" t="s">
        <v>0</v>
      </c>
      <c r="O28" s="649"/>
      <c r="P28" s="481" t="s">
        <v>328</v>
      </c>
      <c r="Q28" s="478">
        <v>0.7</v>
      </c>
      <c r="R28" s="681" t="s">
        <v>0</v>
      </c>
      <c r="S28" s="649"/>
      <c r="T28" s="649"/>
      <c r="U28" s="649"/>
      <c r="V28" s="649"/>
      <c r="W28" s="649"/>
      <c r="X28" s="649"/>
      <c r="Y28" s="649"/>
      <c r="Z28" s="649"/>
      <c r="AA28" s="649"/>
      <c r="AB28" s="649"/>
      <c r="AC28" s="649"/>
      <c r="AD28" s="649"/>
      <c r="AE28" s="649"/>
      <c r="AF28" s="649"/>
      <c r="AG28" s="649"/>
      <c r="AH28" s="649"/>
      <c r="AI28" s="649"/>
      <c r="AJ28" s="649"/>
      <c r="AK28" s="649"/>
      <c r="AL28" s="649"/>
      <c r="AM28" s="649"/>
      <c r="AN28" s="649"/>
      <c r="AO28" s="649"/>
      <c r="AP28" s="649"/>
      <c r="AQ28" s="649"/>
      <c r="AR28" s="649"/>
      <c r="AS28" s="649"/>
      <c r="AT28" s="649"/>
      <c r="AU28" s="649"/>
      <c r="AV28" s="649"/>
      <c r="AW28" s="649"/>
      <c r="AX28" s="649"/>
      <c r="AY28" s="649"/>
      <c r="AZ28" s="649"/>
      <c r="BA28" s="649"/>
      <c r="BB28" s="649"/>
      <c r="BC28" s="649"/>
      <c r="BD28" s="649"/>
      <c r="BE28" s="649"/>
      <c r="BF28" s="649"/>
      <c r="BG28" s="649"/>
      <c r="BH28" s="649"/>
      <c r="BI28" s="649"/>
      <c r="BJ28" s="649"/>
      <c r="BK28" s="649"/>
      <c r="BL28" s="649"/>
      <c r="BM28" s="649"/>
      <c r="BN28" s="649"/>
      <c r="BO28" s="649"/>
      <c r="BP28" s="649"/>
      <c r="BQ28" s="649"/>
      <c r="BR28" s="649"/>
      <c r="BS28" s="649"/>
      <c r="BT28" s="649"/>
      <c r="BU28" s="649"/>
      <c r="BV28" s="649"/>
      <c r="BW28" s="649"/>
      <c r="BX28" s="649"/>
      <c r="BY28" s="649"/>
      <c r="BZ28" s="649"/>
      <c r="CA28" s="649"/>
      <c r="CB28" s="649"/>
      <c r="CC28" s="649"/>
      <c r="CD28" s="649"/>
      <c r="CE28" s="649"/>
      <c r="CF28" s="649"/>
      <c r="CG28" s="649"/>
      <c r="CH28" s="649"/>
      <c r="CI28" s="649"/>
      <c r="CJ28" s="649"/>
      <c r="CK28" s="649"/>
      <c r="CL28" s="649"/>
      <c r="CM28" s="649"/>
      <c r="CN28" s="649"/>
      <c r="CO28" s="649"/>
      <c r="CP28" s="649"/>
      <c r="CQ28" s="649"/>
      <c r="CR28" s="649"/>
      <c r="CS28" s="649"/>
      <c r="CT28" s="649"/>
      <c r="CU28" s="649"/>
      <c r="CV28" s="649"/>
      <c r="CW28" s="649"/>
      <c r="CX28" s="649"/>
      <c r="CY28" s="649"/>
      <c r="CZ28" s="649"/>
      <c r="DA28" s="649"/>
      <c r="DB28" s="649"/>
      <c r="DC28" s="649"/>
      <c r="DD28" s="649"/>
      <c r="DE28" s="649"/>
      <c r="DF28" s="649"/>
      <c r="DG28" s="649"/>
      <c r="DH28" s="649"/>
      <c r="DI28" s="649"/>
      <c r="DJ28" s="649"/>
      <c r="DK28" s="649"/>
      <c r="DL28" s="649"/>
      <c r="DM28" s="649"/>
      <c r="DN28" s="649"/>
      <c r="DO28" s="649"/>
      <c r="DP28" s="649"/>
      <c r="DQ28" s="649"/>
      <c r="DR28" s="649"/>
      <c r="DS28" s="649"/>
      <c r="DT28" s="649"/>
      <c r="DU28" s="649"/>
      <c r="DV28" s="649"/>
      <c r="DW28" s="649"/>
      <c r="DX28" s="649"/>
      <c r="DY28" s="649"/>
      <c r="DZ28" s="649"/>
      <c r="EA28" s="649"/>
      <c r="EB28" s="649"/>
      <c r="EC28" s="649"/>
      <c r="ED28" s="649"/>
      <c r="EE28" s="649"/>
      <c r="EF28" s="649"/>
      <c r="EG28" s="649"/>
      <c r="EH28" s="649"/>
      <c r="EI28" s="649"/>
      <c r="EJ28" s="649"/>
      <c r="EK28" s="649"/>
      <c r="EL28" s="649"/>
      <c r="EM28" s="649"/>
      <c r="EN28" s="649"/>
      <c r="EO28" s="649"/>
      <c r="EP28" s="649"/>
      <c r="EQ28" s="649"/>
      <c r="ER28" s="649"/>
      <c r="ES28" s="649"/>
      <c r="ET28" s="649"/>
      <c r="EU28" s="649"/>
      <c r="EV28" s="649"/>
      <c r="EW28" s="649"/>
      <c r="EX28" s="649"/>
      <c r="EY28" s="649"/>
      <c r="EZ28" s="649"/>
      <c r="FA28" s="649"/>
      <c r="FB28" s="649"/>
      <c r="FC28" s="649"/>
      <c r="FD28" s="649"/>
      <c r="FE28" s="649"/>
      <c r="FF28" s="649"/>
      <c r="FG28" s="649"/>
      <c r="FH28" s="649"/>
      <c r="FI28" s="649"/>
      <c r="FJ28" s="649"/>
      <c r="FK28" s="649"/>
      <c r="FL28" s="649"/>
      <c r="FM28" s="649"/>
      <c r="FN28" s="649"/>
      <c r="FO28" s="649"/>
      <c r="FP28" s="649"/>
      <c r="FQ28" s="649"/>
      <c r="FR28" s="649"/>
      <c r="FS28" s="649"/>
      <c r="FT28" s="649"/>
      <c r="FU28" s="649"/>
      <c r="FV28" s="649"/>
      <c r="FW28" s="649"/>
      <c r="FX28" s="649"/>
      <c r="FY28" s="649"/>
      <c r="FZ28" s="649"/>
      <c r="GA28" s="649"/>
      <c r="GB28" s="649"/>
      <c r="GC28" s="649"/>
      <c r="GD28" s="649"/>
      <c r="GE28" s="649"/>
      <c r="GF28" s="649"/>
      <c r="GG28" s="649"/>
      <c r="GH28" s="649"/>
      <c r="GI28" s="649"/>
      <c r="GJ28" s="649"/>
      <c r="GK28" s="649"/>
      <c r="GL28" s="649"/>
      <c r="GM28" s="649"/>
      <c r="GN28" s="649"/>
      <c r="GO28" s="649"/>
      <c r="GP28" s="649"/>
      <c r="GQ28" s="649"/>
      <c r="GR28" s="649"/>
      <c r="GS28" s="649"/>
      <c r="GT28" s="649"/>
      <c r="GU28" s="649"/>
      <c r="GV28" s="649"/>
      <c r="GW28" s="649"/>
      <c r="GX28" s="649"/>
      <c r="GY28" s="649"/>
      <c r="GZ28" s="649"/>
      <c r="HA28" s="649"/>
      <c r="HB28" s="649"/>
      <c r="HC28" s="649"/>
      <c r="HD28" s="649"/>
      <c r="HE28" s="649"/>
      <c r="HF28" s="649"/>
      <c r="HG28" s="649"/>
      <c r="HH28" s="649"/>
      <c r="HI28" s="649"/>
      <c r="HJ28" s="649"/>
      <c r="HK28" s="649"/>
      <c r="HL28" s="649"/>
      <c r="HM28" s="649"/>
      <c r="HN28" s="649"/>
      <c r="HO28" s="649"/>
      <c r="HP28" s="649"/>
      <c r="HQ28" s="649"/>
      <c r="HR28" s="649"/>
      <c r="HS28" s="649"/>
      <c r="HT28" s="649"/>
      <c r="HU28" s="649"/>
      <c r="HV28" s="649"/>
      <c r="HW28" s="649"/>
      <c r="HX28" s="649"/>
      <c r="HY28" s="649"/>
    </row>
    <row r="29" spans="1:233" s="678" customFormat="1" ht="15" customHeight="1">
      <c r="A29" s="646"/>
      <c r="B29" s="675"/>
      <c r="C29" s="663" t="s">
        <v>837</v>
      </c>
      <c r="D29" s="668"/>
      <c r="E29" s="662">
        <v>1</v>
      </c>
      <c r="F29" s="103">
        <f>+$F$20</f>
        <v>7.6950000000000012</v>
      </c>
      <c r="G29" s="103">
        <v>0.5</v>
      </c>
      <c r="H29" s="103">
        <v>0.7</v>
      </c>
      <c r="I29" s="22">
        <f>+ROUND(PRODUCT(E29:H29),2)</f>
        <v>2.69</v>
      </c>
      <c r="J29" s="280"/>
      <c r="K29" s="649"/>
      <c r="L29" s="481" t="s">
        <v>329</v>
      </c>
      <c r="M29" s="478">
        <v>0.3</v>
      </c>
      <c r="N29" s="681" t="s">
        <v>0</v>
      </c>
      <c r="O29" s="649"/>
      <c r="P29" s="481" t="s">
        <v>329</v>
      </c>
      <c r="Q29" s="478">
        <v>0.1</v>
      </c>
      <c r="R29" s="681" t="s">
        <v>0</v>
      </c>
      <c r="S29" s="649"/>
      <c r="T29" s="649"/>
      <c r="U29" s="649"/>
      <c r="V29" s="649"/>
      <c r="W29" s="649"/>
      <c r="X29" s="649"/>
      <c r="Y29" s="649"/>
      <c r="Z29" s="649"/>
      <c r="AA29" s="649"/>
      <c r="AB29" s="649"/>
      <c r="AC29" s="649"/>
      <c r="AD29" s="649"/>
      <c r="AE29" s="649"/>
      <c r="AF29" s="649"/>
      <c r="AG29" s="649"/>
      <c r="AH29" s="649"/>
      <c r="AI29" s="649"/>
      <c r="AJ29" s="649"/>
      <c r="AK29" s="649"/>
      <c r="AL29" s="649"/>
      <c r="AM29" s="649"/>
      <c r="AN29" s="649"/>
      <c r="AO29" s="649"/>
      <c r="AP29" s="649"/>
      <c r="AQ29" s="649"/>
      <c r="AR29" s="649"/>
      <c r="AS29" s="649"/>
      <c r="AT29" s="649"/>
      <c r="AU29" s="649"/>
      <c r="AV29" s="649"/>
      <c r="AW29" s="649"/>
      <c r="AX29" s="649"/>
      <c r="AY29" s="649"/>
      <c r="AZ29" s="649"/>
      <c r="BA29" s="649"/>
      <c r="BB29" s="649"/>
      <c r="BC29" s="649"/>
      <c r="BD29" s="649"/>
      <c r="BE29" s="649"/>
      <c r="BF29" s="649"/>
      <c r="BG29" s="649"/>
      <c r="BH29" s="649"/>
      <c r="BI29" s="649"/>
      <c r="BJ29" s="649"/>
      <c r="BK29" s="649"/>
      <c r="BL29" s="649"/>
      <c r="BM29" s="649"/>
      <c r="BN29" s="649"/>
      <c r="BO29" s="649"/>
      <c r="BP29" s="649"/>
      <c r="BQ29" s="649"/>
      <c r="BR29" s="649"/>
      <c r="BS29" s="649"/>
      <c r="BT29" s="649"/>
      <c r="BU29" s="649"/>
      <c r="BV29" s="649"/>
      <c r="BW29" s="649"/>
      <c r="BX29" s="649"/>
      <c r="BY29" s="649"/>
      <c r="BZ29" s="649"/>
      <c r="CA29" s="649"/>
      <c r="CB29" s="649"/>
      <c r="CC29" s="649"/>
      <c r="CD29" s="649"/>
      <c r="CE29" s="649"/>
      <c r="CF29" s="649"/>
      <c r="CG29" s="649"/>
      <c r="CH29" s="649"/>
      <c r="CI29" s="649"/>
      <c r="CJ29" s="649"/>
      <c r="CK29" s="649"/>
      <c r="CL29" s="649"/>
      <c r="CM29" s="649"/>
      <c r="CN29" s="649"/>
      <c r="CO29" s="649"/>
      <c r="CP29" s="649"/>
      <c r="CQ29" s="649"/>
      <c r="CR29" s="649"/>
      <c r="CS29" s="649"/>
      <c r="CT29" s="649"/>
      <c r="CU29" s="649"/>
      <c r="CV29" s="649"/>
      <c r="CW29" s="649"/>
      <c r="CX29" s="649"/>
      <c r="CY29" s="649"/>
      <c r="CZ29" s="649"/>
      <c r="DA29" s="649"/>
      <c r="DB29" s="649"/>
      <c r="DC29" s="649"/>
      <c r="DD29" s="649"/>
      <c r="DE29" s="649"/>
      <c r="DF29" s="649"/>
      <c r="DG29" s="649"/>
      <c r="DH29" s="649"/>
      <c r="DI29" s="649"/>
      <c r="DJ29" s="649"/>
      <c r="DK29" s="649"/>
      <c r="DL29" s="649"/>
      <c r="DM29" s="649"/>
      <c r="DN29" s="649"/>
      <c r="DO29" s="649"/>
      <c r="DP29" s="649"/>
      <c r="DQ29" s="649"/>
      <c r="DR29" s="649"/>
      <c r="DS29" s="649"/>
      <c r="DT29" s="649"/>
      <c r="DU29" s="649"/>
      <c r="DV29" s="649"/>
      <c r="DW29" s="649"/>
      <c r="DX29" s="649"/>
      <c r="DY29" s="649"/>
      <c r="DZ29" s="649"/>
      <c r="EA29" s="649"/>
      <c r="EB29" s="649"/>
      <c r="EC29" s="649"/>
      <c r="ED29" s="649"/>
      <c r="EE29" s="649"/>
      <c r="EF29" s="649"/>
      <c r="EG29" s="649"/>
      <c r="EH29" s="649"/>
      <c r="EI29" s="649"/>
      <c r="EJ29" s="649"/>
      <c r="EK29" s="649"/>
      <c r="EL29" s="649"/>
      <c r="EM29" s="649"/>
      <c r="EN29" s="649"/>
      <c r="EO29" s="649"/>
      <c r="EP29" s="649"/>
      <c r="EQ29" s="649"/>
      <c r="ER29" s="649"/>
      <c r="ES29" s="649"/>
      <c r="ET29" s="649"/>
      <c r="EU29" s="649"/>
      <c r="EV29" s="649"/>
      <c r="EW29" s="649"/>
      <c r="EX29" s="649"/>
      <c r="EY29" s="649"/>
      <c r="EZ29" s="649"/>
      <c r="FA29" s="649"/>
      <c r="FB29" s="649"/>
      <c r="FC29" s="649"/>
      <c r="FD29" s="649"/>
      <c r="FE29" s="649"/>
      <c r="FF29" s="649"/>
      <c r="FG29" s="649"/>
      <c r="FH29" s="649"/>
      <c r="FI29" s="649"/>
      <c r="FJ29" s="649"/>
      <c r="FK29" s="649"/>
      <c r="FL29" s="649"/>
      <c r="FM29" s="649"/>
      <c r="FN29" s="649"/>
      <c r="FO29" s="649"/>
      <c r="FP29" s="649"/>
      <c r="FQ29" s="649"/>
      <c r="FR29" s="649"/>
      <c r="FS29" s="649"/>
      <c r="FT29" s="649"/>
      <c r="FU29" s="649"/>
      <c r="FV29" s="649"/>
      <c r="FW29" s="649"/>
      <c r="FX29" s="649"/>
      <c r="FY29" s="649"/>
      <c r="FZ29" s="649"/>
      <c r="GA29" s="649"/>
      <c r="GB29" s="649"/>
      <c r="GC29" s="649"/>
      <c r="GD29" s="649"/>
      <c r="GE29" s="649"/>
      <c r="GF29" s="649"/>
      <c r="GG29" s="649"/>
      <c r="GH29" s="649"/>
      <c r="GI29" s="649"/>
      <c r="GJ29" s="649"/>
      <c r="GK29" s="649"/>
      <c r="GL29" s="649"/>
      <c r="GM29" s="649"/>
      <c r="GN29" s="649"/>
      <c r="GO29" s="649"/>
      <c r="GP29" s="649"/>
      <c r="GQ29" s="649"/>
      <c r="GR29" s="649"/>
      <c r="GS29" s="649"/>
      <c r="GT29" s="649"/>
      <c r="GU29" s="649"/>
      <c r="GV29" s="649"/>
      <c r="GW29" s="649"/>
      <c r="GX29" s="649"/>
      <c r="GY29" s="649"/>
      <c r="GZ29" s="649"/>
      <c r="HA29" s="649"/>
      <c r="HB29" s="649"/>
      <c r="HC29" s="649"/>
      <c r="HD29" s="649"/>
      <c r="HE29" s="649"/>
      <c r="HF29" s="649"/>
      <c r="HG29" s="649"/>
      <c r="HH29" s="649"/>
      <c r="HI29" s="649"/>
      <c r="HJ29" s="649"/>
      <c r="HK29" s="649"/>
      <c r="HL29" s="649"/>
      <c r="HM29" s="649"/>
      <c r="HN29" s="649"/>
      <c r="HO29" s="649"/>
      <c r="HP29" s="649"/>
      <c r="HQ29" s="649"/>
      <c r="HR29" s="649"/>
      <c r="HS29" s="649"/>
      <c r="HT29" s="649"/>
      <c r="HU29" s="649"/>
      <c r="HV29" s="649"/>
      <c r="HW29" s="649"/>
      <c r="HX29" s="649"/>
      <c r="HY29" s="649"/>
    </row>
    <row r="30" spans="1:233" s="678" customFormat="1" ht="15" customHeight="1">
      <c r="A30" s="646"/>
      <c r="B30" s="675"/>
      <c r="C30" s="669" t="s">
        <v>715</v>
      </c>
      <c r="D30" s="649"/>
      <c r="E30" s="662"/>
      <c r="F30" s="103"/>
      <c r="G30" s="103"/>
      <c r="H30" s="103"/>
      <c r="I30" s="22"/>
      <c r="J30" s="280"/>
      <c r="K30" s="649"/>
      <c r="L30" s="481" t="s">
        <v>624</v>
      </c>
      <c r="M30" s="478">
        <v>0.05</v>
      </c>
      <c r="N30" s="681" t="s">
        <v>0</v>
      </c>
      <c r="O30" s="649"/>
      <c r="P30" s="481" t="s">
        <v>628</v>
      </c>
      <c r="Q30" s="478">
        <v>0.1</v>
      </c>
      <c r="R30" s="681" t="s">
        <v>0</v>
      </c>
      <c r="S30" s="649"/>
      <c r="T30" s="649"/>
      <c r="U30" s="649"/>
      <c r="V30" s="649"/>
      <c r="W30" s="649"/>
      <c r="X30" s="649"/>
      <c r="Y30" s="649"/>
      <c r="Z30" s="649"/>
      <c r="AA30" s="649"/>
      <c r="AB30" s="649"/>
      <c r="AC30" s="649"/>
      <c r="AD30" s="649"/>
      <c r="AE30" s="649"/>
      <c r="AF30" s="649"/>
      <c r="AG30" s="649"/>
      <c r="AH30" s="649"/>
      <c r="AI30" s="649"/>
      <c r="AJ30" s="649"/>
      <c r="AK30" s="649"/>
      <c r="AL30" s="649"/>
      <c r="AM30" s="649"/>
      <c r="AN30" s="649"/>
      <c r="AO30" s="649"/>
      <c r="AP30" s="649"/>
      <c r="AQ30" s="649"/>
      <c r="AR30" s="649"/>
      <c r="AS30" s="649"/>
      <c r="AT30" s="649"/>
      <c r="AU30" s="649"/>
      <c r="AV30" s="649"/>
      <c r="AW30" s="649"/>
      <c r="AX30" s="649"/>
      <c r="AY30" s="649"/>
      <c r="AZ30" s="649"/>
      <c r="BA30" s="649"/>
      <c r="BB30" s="649"/>
      <c r="BC30" s="649"/>
      <c r="BD30" s="649"/>
      <c r="BE30" s="649"/>
      <c r="BF30" s="649"/>
      <c r="BG30" s="649"/>
      <c r="BH30" s="649"/>
      <c r="BI30" s="649"/>
      <c r="BJ30" s="649"/>
      <c r="BK30" s="649"/>
      <c r="BL30" s="649"/>
      <c r="BM30" s="649"/>
      <c r="BN30" s="649"/>
      <c r="BO30" s="649"/>
      <c r="BP30" s="649"/>
      <c r="BQ30" s="649"/>
      <c r="BR30" s="649"/>
      <c r="BS30" s="649"/>
      <c r="BT30" s="649"/>
      <c r="BU30" s="649"/>
      <c r="BV30" s="649"/>
      <c r="BW30" s="649"/>
      <c r="BX30" s="649"/>
      <c r="BY30" s="649"/>
      <c r="BZ30" s="649"/>
      <c r="CA30" s="649"/>
      <c r="CB30" s="649"/>
      <c r="CC30" s="649"/>
      <c r="CD30" s="649"/>
      <c r="CE30" s="649"/>
      <c r="CF30" s="649"/>
      <c r="CG30" s="649"/>
      <c r="CH30" s="649"/>
      <c r="CI30" s="649"/>
      <c r="CJ30" s="649"/>
      <c r="CK30" s="649"/>
      <c r="CL30" s="649"/>
      <c r="CM30" s="649"/>
      <c r="CN30" s="649"/>
      <c r="CO30" s="649"/>
      <c r="CP30" s="649"/>
      <c r="CQ30" s="649"/>
      <c r="CR30" s="649"/>
      <c r="CS30" s="649"/>
      <c r="CT30" s="649"/>
      <c r="CU30" s="649"/>
      <c r="CV30" s="649"/>
      <c r="CW30" s="649"/>
      <c r="CX30" s="649"/>
      <c r="CY30" s="649"/>
      <c r="CZ30" s="649"/>
      <c r="DA30" s="649"/>
      <c r="DB30" s="649"/>
      <c r="DC30" s="649"/>
      <c r="DD30" s="649"/>
      <c r="DE30" s="649"/>
      <c r="DF30" s="649"/>
      <c r="DG30" s="649"/>
      <c r="DH30" s="649"/>
      <c r="DI30" s="649"/>
      <c r="DJ30" s="649"/>
      <c r="DK30" s="649"/>
      <c r="DL30" s="649"/>
      <c r="DM30" s="649"/>
      <c r="DN30" s="649"/>
      <c r="DO30" s="649"/>
      <c r="DP30" s="649"/>
      <c r="DQ30" s="649"/>
      <c r="DR30" s="649"/>
      <c r="DS30" s="649"/>
      <c r="DT30" s="649"/>
      <c r="DU30" s="649"/>
      <c r="DV30" s="649"/>
      <c r="DW30" s="649"/>
      <c r="DX30" s="649"/>
      <c r="DY30" s="649"/>
      <c r="DZ30" s="649"/>
      <c r="EA30" s="649"/>
      <c r="EB30" s="649"/>
      <c r="EC30" s="649"/>
      <c r="ED30" s="649"/>
      <c r="EE30" s="649"/>
      <c r="EF30" s="649"/>
      <c r="EG30" s="649"/>
      <c r="EH30" s="649"/>
      <c r="EI30" s="649"/>
      <c r="EJ30" s="649"/>
      <c r="EK30" s="649"/>
      <c r="EL30" s="649"/>
      <c r="EM30" s="649"/>
      <c r="EN30" s="649"/>
      <c r="EO30" s="649"/>
      <c r="EP30" s="649"/>
      <c r="EQ30" s="649"/>
      <c r="ER30" s="649"/>
      <c r="ES30" s="649"/>
      <c r="ET30" s="649"/>
      <c r="EU30" s="649"/>
      <c r="EV30" s="649"/>
      <c r="EW30" s="649"/>
      <c r="EX30" s="649"/>
      <c r="EY30" s="649"/>
      <c r="EZ30" s="649"/>
      <c r="FA30" s="649"/>
      <c r="FB30" s="649"/>
      <c r="FC30" s="649"/>
      <c r="FD30" s="649"/>
      <c r="FE30" s="649"/>
      <c r="FF30" s="649"/>
      <c r="FG30" s="649"/>
      <c r="FH30" s="649"/>
      <c r="FI30" s="649"/>
      <c r="FJ30" s="649"/>
      <c r="FK30" s="649"/>
      <c r="FL30" s="649"/>
      <c r="FM30" s="649"/>
      <c r="FN30" s="649"/>
      <c r="FO30" s="649"/>
      <c r="FP30" s="649"/>
      <c r="FQ30" s="649"/>
      <c r="FR30" s="649"/>
      <c r="FS30" s="649"/>
      <c r="FT30" s="649"/>
      <c r="FU30" s="649"/>
      <c r="FV30" s="649"/>
      <c r="FW30" s="649"/>
      <c r="FX30" s="649"/>
      <c r="FY30" s="649"/>
      <c r="FZ30" s="649"/>
      <c r="GA30" s="649"/>
      <c r="GB30" s="649"/>
      <c r="GC30" s="649"/>
      <c r="GD30" s="649"/>
      <c r="GE30" s="649"/>
      <c r="GF30" s="649"/>
      <c r="GG30" s="649"/>
      <c r="GH30" s="649"/>
      <c r="GI30" s="649"/>
      <c r="GJ30" s="649"/>
      <c r="GK30" s="649"/>
      <c r="GL30" s="649"/>
      <c r="GM30" s="649"/>
      <c r="GN30" s="649"/>
      <c r="GO30" s="649"/>
      <c r="GP30" s="649"/>
      <c r="GQ30" s="649"/>
      <c r="GR30" s="649"/>
      <c r="GS30" s="649"/>
      <c r="GT30" s="649"/>
      <c r="GU30" s="649"/>
      <c r="GV30" s="649"/>
      <c r="GW30" s="649"/>
      <c r="GX30" s="649"/>
      <c r="GY30" s="649"/>
      <c r="GZ30" s="649"/>
      <c r="HA30" s="649"/>
      <c r="HB30" s="649"/>
      <c r="HC30" s="649"/>
      <c r="HD30" s="649"/>
      <c r="HE30" s="649"/>
      <c r="HF30" s="649"/>
      <c r="HG30" s="649"/>
      <c r="HH30" s="649"/>
      <c r="HI30" s="649"/>
      <c r="HJ30" s="649"/>
      <c r="HK30" s="649"/>
      <c r="HL30" s="649"/>
      <c r="HM30" s="649"/>
      <c r="HN30" s="649"/>
      <c r="HO30" s="649"/>
      <c r="HP30" s="649"/>
      <c r="HQ30" s="649"/>
      <c r="HR30" s="649"/>
      <c r="HS30" s="649"/>
      <c r="HT30" s="649"/>
      <c r="HU30" s="649"/>
      <c r="HV30" s="649"/>
      <c r="HW30" s="649"/>
      <c r="HX30" s="649"/>
      <c r="HY30" s="649"/>
    </row>
    <row r="31" spans="1:233" s="678" customFormat="1" ht="15" customHeight="1">
      <c r="A31" s="646"/>
      <c r="B31" s="675"/>
      <c r="C31" s="680" t="s">
        <v>836</v>
      </c>
      <c r="D31" s="649"/>
      <c r="E31" s="662">
        <v>1</v>
      </c>
      <c r="F31" s="103">
        <f>+Q27+2*Q32</f>
        <v>1</v>
      </c>
      <c r="G31" s="103">
        <f>+Q28+2*Q32</f>
        <v>0.89999999999999991</v>
      </c>
      <c r="H31" s="103">
        <f>+Q32</f>
        <v>0.1</v>
      </c>
      <c r="I31" s="22">
        <f>+ROUND(PRODUCT(E31:H31),2)</f>
        <v>0.09</v>
      </c>
      <c r="J31" s="280"/>
      <c r="K31" s="649"/>
      <c r="L31" s="1066" t="s">
        <v>615</v>
      </c>
      <c r="M31" s="1066"/>
      <c r="N31" s="1066"/>
      <c r="O31" s="649"/>
      <c r="P31" s="1191" t="s">
        <v>835</v>
      </c>
      <c r="Q31" s="1192"/>
      <c r="R31" s="1193"/>
      <c r="S31" s="649"/>
      <c r="T31" s="649"/>
      <c r="U31" s="649"/>
      <c r="V31" s="649"/>
      <c r="W31" s="649"/>
      <c r="X31" s="649"/>
      <c r="Y31" s="649"/>
      <c r="Z31" s="649"/>
      <c r="AA31" s="649"/>
      <c r="AB31" s="649"/>
      <c r="AC31" s="649"/>
      <c r="AD31" s="649"/>
      <c r="AE31" s="649"/>
      <c r="AF31" s="649"/>
      <c r="AG31" s="649"/>
      <c r="AH31" s="649"/>
      <c r="AI31" s="649"/>
      <c r="AJ31" s="649"/>
      <c r="AK31" s="649"/>
      <c r="AL31" s="649"/>
      <c r="AM31" s="649"/>
      <c r="AN31" s="649"/>
      <c r="AO31" s="649"/>
      <c r="AP31" s="649"/>
      <c r="AQ31" s="649"/>
      <c r="AR31" s="649"/>
      <c r="AS31" s="649"/>
      <c r="AT31" s="649"/>
      <c r="AU31" s="649"/>
      <c r="AV31" s="649"/>
      <c r="AW31" s="649"/>
      <c r="AX31" s="649"/>
      <c r="AY31" s="649"/>
      <c r="AZ31" s="649"/>
      <c r="BA31" s="649"/>
      <c r="BB31" s="649"/>
      <c r="BC31" s="649"/>
      <c r="BD31" s="649"/>
      <c r="BE31" s="649"/>
      <c r="BF31" s="649"/>
      <c r="BG31" s="649"/>
      <c r="BH31" s="649"/>
      <c r="BI31" s="649"/>
      <c r="BJ31" s="649"/>
      <c r="BK31" s="649"/>
      <c r="BL31" s="649"/>
      <c r="BM31" s="649"/>
      <c r="BN31" s="649"/>
      <c r="BO31" s="649"/>
      <c r="BP31" s="649"/>
      <c r="BQ31" s="649"/>
      <c r="BR31" s="649"/>
      <c r="BS31" s="649"/>
      <c r="BT31" s="649"/>
      <c r="BU31" s="649"/>
      <c r="BV31" s="649"/>
      <c r="BW31" s="649"/>
      <c r="BX31" s="649"/>
      <c r="BY31" s="649"/>
      <c r="BZ31" s="649"/>
      <c r="CA31" s="649"/>
      <c r="CB31" s="649"/>
      <c r="CC31" s="649"/>
      <c r="CD31" s="649"/>
      <c r="CE31" s="649"/>
      <c r="CF31" s="649"/>
      <c r="CG31" s="649"/>
      <c r="CH31" s="649"/>
      <c r="CI31" s="649"/>
      <c r="CJ31" s="649"/>
      <c r="CK31" s="649"/>
      <c r="CL31" s="649"/>
      <c r="CM31" s="649"/>
      <c r="CN31" s="649"/>
      <c r="CO31" s="649"/>
      <c r="CP31" s="649"/>
      <c r="CQ31" s="649"/>
      <c r="CR31" s="649"/>
      <c r="CS31" s="649"/>
      <c r="CT31" s="649"/>
      <c r="CU31" s="649"/>
      <c r="CV31" s="649"/>
      <c r="CW31" s="649"/>
      <c r="CX31" s="649"/>
      <c r="CY31" s="649"/>
      <c r="CZ31" s="649"/>
      <c r="DA31" s="649"/>
      <c r="DB31" s="649"/>
      <c r="DC31" s="649"/>
      <c r="DD31" s="649"/>
      <c r="DE31" s="649"/>
      <c r="DF31" s="649"/>
      <c r="DG31" s="649"/>
      <c r="DH31" s="649"/>
      <c r="DI31" s="649"/>
      <c r="DJ31" s="649"/>
      <c r="DK31" s="649"/>
      <c r="DL31" s="649"/>
      <c r="DM31" s="649"/>
      <c r="DN31" s="649"/>
      <c r="DO31" s="649"/>
      <c r="DP31" s="649"/>
      <c r="DQ31" s="649"/>
      <c r="DR31" s="649"/>
      <c r="DS31" s="649"/>
      <c r="DT31" s="649"/>
      <c r="DU31" s="649"/>
      <c r="DV31" s="649"/>
      <c r="DW31" s="649"/>
      <c r="DX31" s="649"/>
      <c r="DY31" s="649"/>
      <c r="DZ31" s="649"/>
      <c r="EA31" s="649"/>
      <c r="EB31" s="649"/>
      <c r="EC31" s="649"/>
      <c r="ED31" s="649"/>
      <c r="EE31" s="649"/>
      <c r="EF31" s="649"/>
      <c r="EG31" s="649"/>
      <c r="EH31" s="649"/>
      <c r="EI31" s="649"/>
      <c r="EJ31" s="649"/>
      <c r="EK31" s="649"/>
      <c r="EL31" s="649"/>
      <c r="EM31" s="649"/>
      <c r="EN31" s="649"/>
      <c r="EO31" s="649"/>
      <c r="EP31" s="649"/>
      <c r="EQ31" s="649"/>
      <c r="ER31" s="649"/>
      <c r="ES31" s="649"/>
      <c r="ET31" s="649"/>
      <c r="EU31" s="649"/>
      <c r="EV31" s="649"/>
      <c r="EW31" s="649"/>
      <c r="EX31" s="649"/>
      <c r="EY31" s="649"/>
      <c r="EZ31" s="649"/>
      <c r="FA31" s="649"/>
      <c r="FB31" s="649"/>
      <c r="FC31" s="649"/>
      <c r="FD31" s="649"/>
      <c r="FE31" s="649"/>
      <c r="FF31" s="649"/>
      <c r="FG31" s="649"/>
      <c r="FH31" s="649"/>
      <c r="FI31" s="649"/>
      <c r="FJ31" s="649"/>
      <c r="FK31" s="649"/>
      <c r="FL31" s="649"/>
      <c r="FM31" s="649"/>
      <c r="FN31" s="649"/>
      <c r="FO31" s="649"/>
      <c r="FP31" s="649"/>
      <c r="FQ31" s="649"/>
      <c r="FR31" s="649"/>
      <c r="FS31" s="649"/>
      <c r="FT31" s="649"/>
      <c r="FU31" s="649"/>
      <c r="FV31" s="649"/>
      <c r="FW31" s="649"/>
      <c r="FX31" s="649"/>
      <c r="FY31" s="649"/>
      <c r="FZ31" s="649"/>
      <c r="GA31" s="649"/>
      <c r="GB31" s="649"/>
      <c r="GC31" s="649"/>
      <c r="GD31" s="649"/>
      <c r="GE31" s="649"/>
      <c r="GF31" s="649"/>
      <c r="GG31" s="649"/>
      <c r="GH31" s="649"/>
      <c r="GI31" s="649"/>
      <c r="GJ31" s="649"/>
      <c r="GK31" s="649"/>
      <c r="GL31" s="649"/>
      <c r="GM31" s="649"/>
      <c r="GN31" s="649"/>
      <c r="GO31" s="649"/>
      <c r="GP31" s="649"/>
      <c r="GQ31" s="649"/>
      <c r="GR31" s="649"/>
      <c r="GS31" s="649"/>
      <c r="GT31" s="649"/>
      <c r="GU31" s="649"/>
      <c r="GV31" s="649"/>
      <c r="GW31" s="649"/>
      <c r="GX31" s="649"/>
      <c r="GY31" s="649"/>
      <c r="GZ31" s="649"/>
      <c r="HA31" s="649"/>
      <c r="HB31" s="649"/>
      <c r="HC31" s="649"/>
      <c r="HD31" s="649"/>
      <c r="HE31" s="649"/>
      <c r="HF31" s="649"/>
      <c r="HG31" s="649"/>
      <c r="HH31" s="649"/>
      <c r="HI31" s="649"/>
      <c r="HJ31" s="649"/>
      <c r="HK31" s="649"/>
      <c r="HL31" s="649"/>
      <c r="HM31" s="649"/>
      <c r="HN31" s="649"/>
      <c r="HO31" s="649"/>
      <c r="HP31" s="649"/>
      <c r="HQ31" s="649"/>
      <c r="HR31" s="649"/>
      <c r="HS31" s="649"/>
      <c r="HT31" s="649"/>
      <c r="HU31" s="649"/>
      <c r="HV31" s="649"/>
      <c r="HW31" s="649"/>
      <c r="HX31" s="649"/>
      <c r="HY31" s="649"/>
    </row>
    <row r="32" spans="1:233" s="678" customFormat="1" ht="15" customHeight="1">
      <c r="A32" s="646"/>
      <c r="B32" s="675"/>
      <c r="C32" s="663" t="s">
        <v>834</v>
      </c>
      <c r="D32" s="649"/>
      <c r="E32" s="662"/>
      <c r="F32" s="103"/>
      <c r="G32" s="103"/>
      <c r="H32" s="103"/>
      <c r="I32" s="22"/>
      <c r="J32" s="280"/>
      <c r="K32" s="649"/>
      <c r="L32" s="481" t="s">
        <v>615</v>
      </c>
      <c r="M32" s="478">
        <v>0.05</v>
      </c>
      <c r="N32" s="681" t="s">
        <v>0</v>
      </c>
      <c r="O32" s="649"/>
      <c r="P32" s="481" t="s">
        <v>833</v>
      </c>
      <c r="Q32" s="478">
        <v>0.1</v>
      </c>
      <c r="R32" s="681" t="s">
        <v>0</v>
      </c>
      <c r="S32" s="649"/>
      <c r="T32" s="649"/>
      <c r="U32" s="649"/>
      <c r="V32" s="649"/>
      <c r="W32" s="649"/>
      <c r="X32" s="649"/>
      <c r="Y32" s="649"/>
      <c r="Z32" s="649"/>
      <c r="AA32" s="649"/>
      <c r="AB32" s="649"/>
      <c r="AC32" s="649"/>
      <c r="AD32" s="649"/>
      <c r="AE32" s="649"/>
      <c r="AF32" s="649"/>
      <c r="AG32" s="649"/>
      <c r="AH32" s="649"/>
      <c r="AI32" s="649"/>
      <c r="AJ32" s="649"/>
      <c r="AK32" s="649"/>
      <c r="AL32" s="649"/>
      <c r="AM32" s="649"/>
      <c r="AN32" s="649"/>
      <c r="AO32" s="649"/>
      <c r="AP32" s="649"/>
      <c r="AQ32" s="649"/>
      <c r="AR32" s="649"/>
      <c r="AS32" s="649"/>
      <c r="AT32" s="649"/>
      <c r="AU32" s="649"/>
      <c r="AV32" s="649"/>
      <c r="AW32" s="649"/>
      <c r="AX32" s="649"/>
      <c r="AY32" s="649"/>
      <c r="AZ32" s="649"/>
      <c r="BA32" s="649"/>
      <c r="BB32" s="649"/>
      <c r="BC32" s="649"/>
      <c r="BD32" s="649"/>
      <c r="BE32" s="649"/>
      <c r="BF32" s="649"/>
      <c r="BG32" s="649"/>
      <c r="BH32" s="649"/>
      <c r="BI32" s="649"/>
      <c r="BJ32" s="649"/>
      <c r="BK32" s="649"/>
      <c r="BL32" s="649"/>
      <c r="BM32" s="649"/>
      <c r="BN32" s="649"/>
      <c r="BO32" s="649"/>
      <c r="BP32" s="649"/>
      <c r="BQ32" s="649"/>
      <c r="BR32" s="649"/>
      <c r="BS32" s="649"/>
      <c r="BT32" s="649"/>
      <c r="BU32" s="649"/>
      <c r="BV32" s="649"/>
      <c r="BW32" s="649"/>
      <c r="BX32" s="649"/>
      <c r="BY32" s="649"/>
      <c r="BZ32" s="649"/>
      <c r="CA32" s="649"/>
      <c r="CB32" s="649"/>
      <c r="CC32" s="649"/>
      <c r="CD32" s="649"/>
      <c r="CE32" s="649"/>
      <c r="CF32" s="649"/>
      <c r="CG32" s="649"/>
      <c r="CH32" s="649"/>
      <c r="CI32" s="649"/>
      <c r="CJ32" s="649"/>
      <c r="CK32" s="649"/>
      <c r="CL32" s="649"/>
      <c r="CM32" s="649"/>
      <c r="CN32" s="649"/>
      <c r="CO32" s="649"/>
      <c r="CP32" s="649"/>
      <c r="CQ32" s="649"/>
      <c r="CR32" s="649"/>
      <c r="CS32" s="649"/>
      <c r="CT32" s="649"/>
      <c r="CU32" s="649"/>
      <c r="CV32" s="649"/>
      <c r="CW32" s="649"/>
      <c r="CX32" s="649"/>
      <c r="CY32" s="649"/>
      <c r="CZ32" s="649"/>
      <c r="DA32" s="649"/>
      <c r="DB32" s="649"/>
      <c r="DC32" s="649"/>
      <c r="DD32" s="649"/>
      <c r="DE32" s="649"/>
      <c r="DF32" s="649"/>
      <c r="DG32" s="649"/>
      <c r="DH32" s="649"/>
      <c r="DI32" s="649"/>
      <c r="DJ32" s="649"/>
      <c r="DK32" s="649"/>
      <c r="DL32" s="649"/>
      <c r="DM32" s="649"/>
      <c r="DN32" s="649"/>
      <c r="DO32" s="649"/>
      <c r="DP32" s="649"/>
      <c r="DQ32" s="649"/>
      <c r="DR32" s="649"/>
      <c r="DS32" s="649"/>
      <c r="DT32" s="649"/>
      <c r="DU32" s="649"/>
      <c r="DV32" s="649"/>
      <c r="DW32" s="649"/>
      <c r="DX32" s="649"/>
      <c r="DY32" s="649"/>
      <c r="DZ32" s="649"/>
      <c r="EA32" s="649"/>
      <c r="EB32" s="649"/>
      <c r="EC32" s="649"/>
      <c r="ED32" s="649"/>
      <c r="EE32" s="649"/>
      <c r="EF32" s="649"/>
      <c r="EG32" s="649"/>
      <c r="EH32" s="649"/>
      <c r="EI32" s="649"/>
      <c r="EJ32" s="649"/>
      <c r="EK32" s="649"/>
      <c r="EL32" s="649"/>
      <c r="EM32" s="649"/>
      <c r="EN32" s="649"/>
      <c r="EO32" s="649"/>
      <c r="EP32" s="649"/>
      <c r="EQ32" s="649"/>
      <c r="ER32" s="649"/>
      <c r="ES32" s="649"/>
      <c r="ET32" s="649"/>
      <c r="EU32" s="649"/>
      <c r="EV32" s="649"/>
      <c r="EW32" s="649"/>
      <c r="EX32" s="649"/>
      <c r="EY32" s="649"/>
      <c r="EZ32" s="649"/>
      <c r="FA32" s="649"/>
      <c r="FB32" s="649"/>
      <c r="FC32" s="649"/>
      <c r="FD32" s="649"/>
      <c r="FE32" s="649"/>
      <c r="FF32" s="649"/>
      <c r="FG32" s="649"/>
      <c r="FH32" s="649"/>
      <c r="FI32" s="649"/>
      <c r="FJ32" s="649"/>
      <c r="FK32" s="649"/>
      <c r="FL32" s="649"/>
      <c r="FM32" s="649"/>
      <c r="FN32" s="649"/>
      <c r="FO32" s="649"/>
      <c r="FP32" s="649"/>
      <c r="FQ32" s="649"/>
      <c r="FR32" s="649"/>
      <c r="FS32" s="649"/>
      <c r="FT32" s="649"/>
      <c r="FU32" s="649"/>
      <c r="FV32" s="649"/>
      <c r="FW32" s="649"/>
      <c r="FX32" s="649"/>
      <c r="FY32" s="649"/>
      <c r="FZ32" s="649"/>
      <c r="GA32" s="649"/>
      <c r="GB32" s="649"/>
      <c r="GC32" s="649"/>
      <c r="GD32" s="649"/>
      <c r="GE32" s="649"/>
      <c r="GF32" s="649"/>
      <c r="GG32" s="649"/>
      <c r="GH32" s="649"/>
      <c r="GI32" s="649"/>
      <c r="GJ32" s="649"/>
      <c r="GK32" s="649"/>
      <c r="GL32" s="649"/>
      <c r="GM32" s="649"/>
      <c r="GN32" s="649"/>
      <c r="GO32" s="649"/>
      <c r="GP32" s="649"/>
      <c r="GQ32" s="649"/>
      <c r="GR32" s="649"/>
      <c r="GS32" s="649"/>
      <c r="GT32" s="649"/>
      <c r="GU32" s="649"/>
      <c r="GV32" s="649"/>
      <c r="GW32" s="649"/>
      <c r="GX32" s="649"/>
      <c r="GY32" s="649"/>
      <c r="GZ32" s="649"/>
      <c r="HA32" s="649"/>
      <c r="HB32" s="649"/>
      <c r="HC32" s="649"/>
      <c r="HD32" s="649"/>
      <c r="HE32" s="649"/>
      <c r="HF32" s="649"/>
      <c r="HG32" s="649"/>
      <c r="HH32" s="649"/>
      <c r="HI32" s="649"/>
      <c r="HJ32" s="649"/>
      <c r="HK32" s="649"/>
      <c r="HL32" s="649"/>
      <c r="HM32" s="649"/>
      <c r="HN32" s="649"/>
      <c r="HO32" s="649"/>
      <c r="HP32" s="649"/>
      <c r="HQ32" s="649"/>
      <c r="HR32" s="649"/>
      <c r="HS32" s="649"/>
      <c r="HT32" s="649"/>
      <c r="HU32" s="649"/>
      <c r="HV32" s="649"/>
      <c r="HW32" s="649"/>
      <c r="HX32" s="649"/>
      <c r="HY32" s="649"/>
    </row>
    <row r="33" spans="1:233" s="678" customFormat="1" ht="15" customHeight="1">
      <c r="A33" s="646"/>
      <c r="B33" s="675"/>
      <c r="C33" s="680" t="s">
        <v>832</v>
      </c>
      <c r="D33" s="649"/>
      <c r="E33" s="662">
        <v>1</v>
      </c>
      <c r="F33" s="103">
        <f>+M27+2*M32</f>
        <v>0.5</v>
      </c>
      <c r="G33" s="103">
        <f>+M28+2*M32</f>
        <v>0.4</v>
      </c>
      <c r="H33" s="103">
        <f>+M29-Q30</f>
        <v>0.19999999999999998</v>
      </c>
      <c r="I33" s="22">
        <f>+ROUND(PRODUCT(E33:H33),2)</f>
        <v>0.04</v>
      </c>
      <c r="J33" s="280"/>
      <c r="K33" s="649"/>
      <c r="L33" s="649"/>
      <c r="M33" s="649"/>
      <c r="N33" s="649"/>
      <c r="O33" s="649"/>
      <c r="P33" s="649"/>
      <c r="Q33" s="649"/>
      <c r="R33" s="649"/>
      <c r="S33" s="649"/>
      <c r="T33" s="649"/>
      <c r="U33" s="649"/>
      <c r="V33" s="649"/>
      <c r="W33" s="649"/>
      <c r="X33" s="649"/>
      <c r="Y33" s="649"/>
      <c r="Z33" s="649"/>
      <c r="AA33" s="649"/>
      <c r="AB33" s="649"/>
      <c r="AC33" s="649"/>
      <c r="AD33" s="649"/>
      <c r="AE33" s="649"/>
      <c r="AF33" s="649"/>
      <c r="AG33" s="649"/>
      <c r="AH33" s="649"/>
      <c r="AI33" s="649"/>
      <c r="AJ33" s="649"/>
      <c r="AK33" s="649"/>
      <c r="AL33" s="649"/>
      <c r="AM33" s="649"/>
      <c r="AN33" s="649"/>
      <c r="AO33" s="649"/>
      <c r="AP33" s="649"/>
      <c r="AQ33" s="649"/>
      <c r="AR33" s="649"/>
      <c r="AS33" s="649"/>
      <c r="AT33" s="649"/>
      <c r="AU33" s="649"/>
      <c r="AV33" s="649"/>
      <c r="AW33" s="649"/>
      <c r="AX33" s="649"/>
      <c r="AY33" s="649"/>
      <c r="AZ33" s="649"/>
      <c r="BA33" s="649"/>
      <c r="BB33" s="649"/>
      <c r="BC33" s="649"/>
      <c r="BD33" s="649"/>
      <c r="BE33" s="649"/>
      <c r="BF33" s="649"/>
      <c r="BG33" s="649"/>
      <c r="BH33" s="649"/>
      <c r="BI33" s="649"/>
      <c r="BJ33" s="649"/>
      <c r="BK33" s="649"/>
      <c r="BL33" s="649"/>
      <c r="BM33" s="649"/>
      <c r="BN33" s="649"/>
      <c r="BO33" s="649"/>
      <c r="BP33" s="649"/>
      <c r="BQ33" s="649"/>
      <c r="BR33" s="649"/>
      <c r="BS33" s="649"/>
      <c r="BT33" s="649"/>
      <c r="BU33" s="649"/>
      <c r="BV33" s="649"/>
      <c r="BW33" s="649"/>
      <c r="BX33" s="649"/>
      <c r="BY33" s="649"/>
      <c r="BZ33" s="649"/>
      <c r="CA33" s="649"/>
      <c r="CB33" s="649"/>
      <c r="CC33" s="649"/>
      <c r="CD33" s="649"/>
      <c r="CE33" s="649"/>
      <c r="CF33" s="649"/>
      <c r="CG33" s="649"/>
      <c r="CH33" s="649"/>
      <c r="CI33" s="649"/>
      <c r="CJ33" s="649"/>
      <c r="CK33" s="649"/>
      <c r="CL33" s="649"/>
      <c r="CM33" s="649"/>
      <c r="CN33" s="649"/>
      <c r="CO33" s="649"/>
      <c r="CP33" s="649"/>
      <c r="CQ33" s="649"/>
      <c r="CR33" s="649"/>
      <c r="CS33" s="649"/>
      <c r="CT33" s="649"/>
      <c r="CU33" s="649"/>
      <c r="CV33" s="649"/>
      <c r="CW33" s="649"/>
      <c r="CX33" s="649"/>
      <c r="CY33" s="649"/>
      <c r="CZ33" s="649"/>
      <c r="DA33" s="649"/>
      <c r="DB33" s="649"/>
      <c r="DC33" s="649"/>
      <c r="DD33" s="649"/>
      <c r="DE33" s="649"/>
      <c r="DF33" s="649"/>
      <c r="DG33" s="649"/>
      <c r="DH33" s="649"/>
      <c r="DI33" s="649"/>
      <c r="DJ33" s="649"/>
      <c r="DK33" s="649"/>
      <c r="DL33" s="649"/>
      <c r="DM33" s="649"/>
      <c r="DN33" s="649"/>
      <c r="DO33" s="649"/>
      <c r="DP33" s="649"/>
      <c r="DQ33" s="649"/>
      <c r="DR33" s="649"/>
      <c r="DS33" s="649"/>
      <c r="DT33" s="649"/>
      <c r="DU33" s="649"/>
      <c r="DV33" s="649"/>
      <c r="DW33" s="649"/>
      <c r="DX33" s="649"/>
      <c r="DY33" s="649"/>
      <c r="DZ33" s="649"/>
      <c r="EA33" s="649"/>
      <c r="EB33" s="649"/>
      <c r="EC33" s="649"/>
      <c r="ED33" s="649"/>
      <c r="EE33" s="649"/>
      <c r="EF33" s="649"/>
      <c r="EG33" s="649"/>
      <c r="EH33" s="649"/>
      <c r="EI33" s="649"/>
      <c r="EJ33" s="649"/>
      <c r="EK33" s="649"/>
      <c r="EL33" s="649"/>
      <c r="EM33" s="649"/>
      <c r="EN33" s="649"/>
      <c r="EO33" s="649"/>
      <c r="EP33" s="649"/>
      <c r="EQ33" s="649"/>
      <c r="ER33" s="649"/>
      <c r="ES33" s="649"/>
      <c r="ET33" s="649"/>
      <c r="EU33" s="649"/>
      <c r="EV33" s="649"/>
      <c r="EW33" s="649"/>
      <c r="EX33" s="649"/>
      <c r="EY33" s="649"/>
      <c r="EZ33" s="649"/>
      <c r="FA33" s="649"/>
      <c r="FB33" s="649"/>
      <c r="FC33" s="649"/>
      <c r="FD33" s="649"/>
      <c r="FE33" s="649"/>
      <c r="FF33" s="649"/>
      <c r="FG33" s="649"/>
      <c r="FH33" s="649"/>
      <c r="FI33" s="649"/>
      <c r="FJ33" s="649"/>
      <c r="FK33" s="649"/>
      <c r="FL33" s="649"/>
      <c r="FM33" s="649"/>
      <c r="FN33" s="649"/>
      <c r="FO33" s="649"/>
      <c r="FP33" s="649"/>
      <c r="FQ33" s="649"/>
      <c r="FR33" s="649"/>
      <c r="FS33" s="649"/>
      <c r="FT33" s="649"/>
      <c r="FU33" s="649"/>
      <c r="FV33" s="649"/>
      <c r="FW33" s="649"/>
      <c r="FX33" s="649"/>
      <c r="FY33" s="649"/>
      <c r="FZ33" s="649"/>
      <c r="GA33" s="649"/>
      <c r="GB33" s="649"/>
      <c r="GC33" s="649"/>
      <c r="GD33" s="649"/>
      <c r="GE33" s="649"/>
      <c r="GF33" s="649"/>
      <c r="GG33" s="649"/>
      <c r="GH33" s="649"/>
      <c r="GI33" s="649"/>
      <c r="GJ33" s="649"/>
      <c r="GK33" s="649"/>
      <c r="GL33" s="649"/>
      <c r="GM33" s="649"/>
      <c r="GN33" s="649"/>
      <c r="GO33" s="649"/>
      <c r="GP33" s="649"/>
      <c r="GQ33" s="649"/>
      <c r="GR33" s="649"/>
      <c r="GS33" s="649"/>
      <c r="GT33" s="649"/>
      <c r="GU33" s="649"/>
      <c r="GV33" s="649"/>
      <c r="GW33" s="649"/>
      <c r="GX33" s="649"/>
      <c r="GY33" s="649"/>
      <c r="GZ33" s="649"/>
      <c r="HA33" s="649"/>
      <c r="HB33" s="649"/>
      <c r="HC33" s="649"/>
      <c r="HD33" s="649"/>
      <c r="HE33" s="649"/>
      <c r="HF33" s="649"/>
      <c r="HG33" s="649"/>
      <c r="HH33" s="649"/>
      <c r="HI33" s="649"/>
      <c r="HJ33" s="649"/>
      <c r="HK33" s="649"/>
      <c r="HL33" s="649"/>
      <c r="HM33" s="649"/>
      <c r="HN33" s="649"/>
      <c r="HO33" s="649"/>
      <c r="HP33" s="649"/>
      <c r="HQ33" s="649"/>
      <c r="HR33" s="649"/>
      <c r="HS33" s="649"/>
      <c r="HT33" s="649"/>
      <c r="HU33" s="649"/>
      <c r="HV33" s="649"/>
      <c r="HW33" s="649"/>
      <c r="HX33" s="649"/>
      <c r="HY33" s="649"/>
    </row>
    <row r="34" spans="1:233" s="678" customFormat="1" ht="15" customHeight="1">
      <c r="A34" s="646"/>
      <c r="B34" s="675"/>
      <c r="C34" s="669" t="s">
        <v>831</v>
      </c>
      <c r="D34" s="649"/>
      <c r="E34" s="662">
        <v>1</v>
      </c>
      <c r="F34" s="103">
        <f>+M27+2*M32</f>
        <v>0.5</v>
      </c>
      <c r="G34" s="103">
        <f>+M28+2*M32</f>
        <v>0.4</v>
      </c>
      <c r="H34" s="103">
        <f>+M30</f>
        <v>0.05</v>
      </c>
      <c r="I34" s="22">
        <f>+ROUND(PRODUCT(E34:H34),2)</f>
        <v>0.01</v>
      </c>
      <c r="J34" s="280"/>
      <c r="K34" s="649"/>
      <c r="L34" s="649"/>
      <c r="M34" s="649"/>
      <c r="N34" s="649"/>
      <c r="O34" s="649"/>
      <c r="P34" s="649"/>
      <c r="Q34" s="649"/>
      <c r="R34" s="649"/>
      <c r="S34" s="649"/>
      <c r="T34" s="649"/>
      <c r="U34" s="649"/>
      <c r="V34" s="649"/>
      <c r="W34" s="649"/>
      <c r="X34" s="649"/>
      <c r="Y34" s="649"/>
      <c r="Z34" s="649"/>
      <c r="AA34" s="649"/>
      <c r="AB34" s="649"/>
      <c r="AC34" s="649"/>
      <c r="AD34" s="649"/>
      <c r="AE34" s="649"/>
      <c r="AF34" s="649"/>
      <c r="AG34" s="649"/>
      <c r="AH34" s="649"/>
      <c r="AI34" s="649"/>
      <c r="AJ34" s="649"/>
      <c r="AK34" s="649"/>
      <c r="AL34" s="649"/>
      <c r="AM34" s="649"/>
      <c r="AN34" s="649"/>
      <c r="AO34" s="649"/>
      <c r="AP34" s="649"/>
      <c r="AQ34" s="649"/>
      <c r="AR34" s="649"/>
      <c r="AS34" s="649"/>
      <c r="AT34" s="649"/>
      <c r="AU34" s="649"/>
      <c r="AV34" s="649"/>
      <c r="AW34" s="649"/>
      <c r="AX34" s="649"/>
      <c r="AY34" s="649"/>
      <c r="AZ34" s="649"/>
      <c r="BA34" s="649"/>
      <c r="BB34" s="649"/>
      <c r="BC34" s="649"/>
      <c r="BD34" s="649"/>
      <c r="BE34" s="649"/>
      <c r="BF34" s="649"/>
      <c r="BG34" s="649"/>
      <c r="BH34" s="649"/>
      <c r="BI34" s="649"/>
      <c r="BJ34" s="649"/>
      <c r="BK34" s="649"/>
      <c r="BL34" s="649"/>
      <c r="BM34" s="649"/>
      <c r="BN34" s="649"/>
      <c r="BO34" s="649"/>
      <c r="BP34" s="649"/>
      <c r="BQ34" s="649"/>
      <c r="BR34" s="649"/>
      <c r="BS34" s="649"/>
      <c r="BT34" s="649"/>
      <c r="BU34" s="649"/>
      <c r="BV34" s="649"/>
      <c r="BW34" s="649"/>
      <c r="BX34" s="649"/>
      <c r="BY34" s="649"/>
      <c r="BZ34" s="649"/>
      <c r="CA34" s="649"/>
      <c r="CB34" s="649"/>
      <c r="CC34" s="649"/>
      <c r="CD34" s="649"/>
      <c r="CE34" s="649"/>
      <c r="CF34" s="649"/>
      <c r="CG34" s="649"/>
      <c r="CH34" s="649"/>
      <c r="CI34" s="649"/>
      <c r="CJ34" s="649"/>
      <c r="CK34" s="649"/>
      <c r="CL34" s="649"/>
      <c r="CM34" s="649"/>
      <c r="CN34" s="649"/>
      <c r="CO34" s="649"/>
      <c r="CP34" s="649"/>
      <c r="CQ34" s="649"/>
      <c r="CR34" s="649"/>
      <c r="CS34" s="649"/>
      <c r="CT34" s="649"/>
      <c r="CU34" s="649"/>
      <c r="CV34" s="649"/>
      <c r="CW34" s="649"/>
      <c r="CX34" s="649"/>
      <c r="CY34" s="649"/>
      <c r="CZ34" s="649"/>
      <c r="DA34" s="649"/>
      <c r="DB34" s="649"/>
      <c r="DC34" s="649"/>
      <c r="DD34" s="649"/>
      <c r="DE34" s="649"/>
      <c r="DF34" s="649"/>
      <c r="DG34" s="649"/>
      <c r="DH34" s="649"/>
      <c r="DI34" s="649"/>
      <c r="DJ34" s="649"/>
      <c r="DK34" s="649"/>
      <c r="DL34" s="649"/>
      <c r="DM34" s="649"/>
      <c r="DN34" s="649"/>
      <c r="DO34" s="649"/>
      <c r="DP34" s="649"/>
      <c r="DQ34" s="649"/>
      <c r="DR34" s="649"/>
      <c r="DS34" s="649"/>
      <c r="DT34" s="649"/>
      <c r="DU34" s="649"/>
      <c r="DV34" s="649"/>
      <c r="DW34" s="649"/>
      <c r="DX34" s="649"/>
      <c r="DY34" s="649"/>
      <c r="DZ34" s="649"/>
      <c r="EA34" s="649"/>
      <c r="EB34" s="649"/>
      <c r="EC34" s="649"/>
      <c r="ED34" s="649"/>
      <c r="EE34" s="649"/>
      <c r="EF34" s="649"/>
      <c r="EG34" s="649"/>
      <c r="EH34" s="649"/>
      <c r="EI34" s="649"/>
      <c r="EJ34" s="649"/>
      <c r="EK34" s="649"/>
      <c r="EL34" s="649"/>
      <c r="EM34" s="649"/>
      <c r="EN34" s="649"/>
      <c r="EO34" s="649"/>
      <c r="EP34" s="649"/>
      <c r="EQ34" s="649"/>
      <c r="ER34" s="649"/>
      <c r="ES34" s="649"/>
      <c r="ET34" s="649"/>
      <c r="EU34" s="649"/>
      <c r="EV34" s="649"/>
      <c r="EW34" s="649"/>
      <c r="EX34" s="649"/>
      <c r="EY34" s="649"/>
      <c r="EZ34" s="649"/>
      <c r="FA34" s="649"/>
      <c r="FB34" s="649"/>
      <c r="FC34" s="649"/>
      <c r="FD34" s="649"/>
      <c r="FE34" s="649"/>
      <c r="FF34" s="649"/>
      <c r="FG34" s="649"/>
      <c r="FH34" s="649"/>
      <c r="FI34" s="649"/>
      <c r="FJ34" s="649"/>
      <c r="FK34" s="649"/>
      <c r="FL34" s="649"/>
      <c r="FM34" s="649"/>
      <c r="FN34" s="649"/>
      <c r="FO34" s="649"/>
      <c r="FP34" s="649"/>
      <c r="FQ34" s="649"/>
      <c r="FR34" s="649"/>
      <c r="FS34" s="649"/>
      <c r="FT34" s="649"/>
      <c r="FU34" s="649"/>
      <c r="FV34" s="649"/>
      <c r="FW34" s="649"/>
      <c r="FX34" s="649"/>
      <c r="FY34" s="649"/>
      <c r="FZ34" s="649"/>
      <c r="GA34" s="649"/>
      <c r="GB34" s="649"/>
      <c r="GC34" s="649"/>
      <c r="GD34" s="649"/>
      <c r="GE34" s="649"/>
      <c r="GF34" s="649"/>
      <c r="GG34" s="649"/>
      <c r="GH34" s="649"/>
      <c r="GI34" s="649"/>
      <c r="GJ34" s="649"/>
      <c r="GK34" s="649"/>
      <c r="GL34" s="649"/>
      <c r="GM34" s="649"/>
      <c r="GN34" s="649"/>
      <c r="GO34" s="649"/>
      <c r="GP34" s="649"/>
      <c r="GQ34" s="649"/>
      <c r="GR34" s="649"/>
      <c r="GS34" s="649"/>
      <c r="GT34" s="649"/>
      <c r="GU34" s="649"/>
      <c r="GV34" s="649"/>
      <c r="GW34" s="649"/>
      <c r="GX34" s="649"/>
      <c r="GY34" s="649"/>
      <c r="GZ34" s="649"/>
      <c r="HA34" s="649"/>
      <c r="HB34" s="649"/>
      <c r="HC34" s="649"/>
      <c r="HD34" s="649"/>
      <c r="HE34" s="649"/>
      <c r="HF34" s="649"/>
      <c r="HG34" s="649"/>
      <c r="HH34" s="649"/>
      <c r="HI34" s="649"/>
      <c r="HJ34" s="649"/>
      <c r="HK34" s="649"/>
      <c r="HL34" s="649"/>
      <c r="HM34" s="649"/>
      <c r="HN34" s="649"/>
      <c r="HO34" s="649"/>
      <c r="HP34" s="649"/>
      <c r="HQ34" s="649"/>
      <c r="HR34" s="649"/>
      <c r="HS34" s="649"/>
      <c r="HT34" s="649"/>
      <c r="HU34" s="649"/>
      <c r="HV34" s="649"/>
      <c r="HW34" s="649"/>
      <c r="HX34" s="649"/>
      <c r="HY34" s="649"/>
    </row>
    <row r="35" spans="1:233" s="678" customFormat="1" ht="15" customHeight="1">
      <c r="A35" s="646"/>
      <c r="B35" s="675"/>
      <c r="C35" s="669" t="s">
        <v>820</v>
      </c>
      <c r="D35" s="668"/>
      <c r="E35" s="662">
        <v>-1</v>
      </c>
      <c r="F35" s="103">
        <f>+M27</f>
        <v>0.4</v>
      </c>
      <c r="G35" s="103">
        <f>+M28</f>
        <v>0.3</v>
      </c>
      <c r="H35" s="103">
        <f>+M30</f>
        <v>0.05</v>
      </c>
      <c r="I35" s="22">
        <f>ROUND(PRODUCT(E35:H35),2)</f>
        <v>-0.01</v>
      </c>
      <c r="J35" s="280"/>
      <c r="K35" s="649"/>
      <c r="L35" s="649"/>
      <c r="M35" s="649"/>
      <c r="N35" s="649"/>
      <c r="O35" s="649"/>
      <c r="P35" s="649"/>
      <c r="Q35" s="649"/>
      <c r="R35" s="649"/>
      <c r="S35" s="649"/>
      <c r="T35" s="649"/>
      <c r="U35" s="649"/>
      <c r="V35" s="649"/>
      <c r="W35" s="649"/>
      <c r="X35" s="649"/>
      <c r="Y35" s="649"/>
      <c r="Z35" s="649"/>
      <c r="AA35" s="649"/>
      <c r="AB35" s="649"/>
      <c r="AC35" s="649"/>
      <c r="AD35" s="649"/>
      <c r="AE35" s="649"/>
      <c r="AF35" s="649"/>
      <c r="AG35" s="649"/>
      <c r="AH35" s="649"/>
      <c r="AI35" s="649"/>
      <c r="AJ35" s="649"/>
      <c r="AK35" s="649"/>
      <c r="AL35" s="649"/>
      <c r="AM35" s="649"/>
      <c r="AN35" s="649"/>
      <c r="AO35" s="649"/>
      <c r="AP35" s="649"/>
      <c r="AQ35" s="649"/>
      <c r="AR35" s="649"/>
      <c r="AS35" s="649"/>
      <c r="AT35" s="649"/>
      <c r="AU35" s="649"/>
      <c r="AV35" s="649"/>
      <c r="AW35" s="649"/>
      <c r="AX35" s="649"/>
      <c r="AY35" s="649"/>
      <c r="AZ35" s="649"/>
      <c r="BA35" s="649"/>
      <c r="BB35" s="649"/>
      <c r="BC35" s="649"/>
      <c r="BD35" s="649"/>
      <c r="BE35" s="649"/>
      <c r="BF35" s="649"/>
      <c r="BG35" s="649"/>
      <c r="BH35" s="649"/>
      <c r="BI35" s="649"/>
      <c r="BJ35" s="649"/>
      <c r="BK35" s="649"/>
      <c r="BL35" s="649"/>
      <c r="BM35" s="649"/>
      <c r="BN35" s="649"/>
      <c r="BO35" s="649"/>
      <c r="BP35" s="649"/>
      <c r="BQ35" s="649"/>
      <c r="BR35" s="649"/>
      <c r="BS35" s="649"/>
      <c r="BT35" s="649"/>
      <c r="BU35" s="649"/>
      <c r="BV35" s="649"/>
      <c r="BW35" s="649"/>
      <c r="BX35" s="649"/>
      <c r="BY35" s="649"/>
      <c r="BZ35" s="649"/>
      <c r="CA35" s="649"/>
      <c r="CB35" s="649"/>
      <c r="CC35" s="649"/>
      <c r="CD35" s="649"/>
      <c r="CE35" s="649"/>
      <c r="CF35" s="649"/>
      <c r="CG35" s="649"/>
      <c r="CH35" s="649"/>
      <c r="CI35" s="649"/>
      <c r="CJ35" s="649"/>
      <c r="CK35" s="649"/>
      <c r="CL35" s="649"/>
      <c r="CM35" s="649"/>
      <c r="CN35" s="649"/>
      <c r="CO35" s="649"/>
      <c r="CP35" s="649"/>
      <c r="CQ35" s="649"/>
      <c r="CR35" s="649"/>
      <c r="CS35" s="649"/>
      <c r="CT35" s="649"/>
      <c r="CU35" s="649"/>
      <c r="CV35" s="649"/>
      <c r="CW35" s="649"/>
      <c r="CX35" s="649"/>
      <c r="CY35" s="649"/>
      <c r="CZ35" s="649"/>
      <c r="DA35" s="649"/>
      <c r="DB35" s="649"/>
      <c r="DC35" s="649"/>
      <c r="DD35" s="649"/>
      <c r="DE35" s="649"/>
      <c r="DF35" s="649"/>
      <c r="DG35" s="649"/>
      <c r="DH35" s="649"/>
      <c r="DI35" s="649"/>
      <c r="DJ35" s="649"/>
      <c r="DK35" s="649"/>
      <c r="DL35" s="649"/>
      <c r="DM35" s="649"/>
      <c r="DN35" s="649"/>
      <c r="DO35" s="649"/>
      <c r="DP35" s="649"/>
      <c r="DQ35" s="649"/>
      <c r="DR35" s="649"/>
      <c r="DS35" s="649"/>
      <c r="DT35" s="649"/>
      <c r="DU35" s="649"/>
      <c r="DV35" s="649"/>
      <c r="DW35" s="649"/>
      <c r="DX35" s="649"/>
      <c r="DY35" s="649"/>
      <c r="DZ35" s="649"/>
      <c r="EA35" s="649"/>
      <c r="EB35" s="649"/>
      <c r="EC35" s="649"/>
      <c r="ED35" s="649"/>
      <c r="EE35" s="649"/>
      <c r="EF35" s="649"/>
      <c r="EG35" s="649"/>
      <c r="EH35" s="649"/>
      <c r="EI35" s="649"/>
      <c r="EJ35" s="649"/>
      <c r="EK35" s="649"/>
      <c r="EL35" s="649"/>
      <c r="EM35" s="649"/>
      <c r="EN35" s="649"/>
      <c r="EO35" s="649"/>
      <c r="EP35" s="649"/>
      <c r="EQ35" s="649"/>
      <c r="ER35" s="649"/>
      <c r="ES35" s="649"/>
      <c r="ET35" s="649"/>
      <c r="EU35" s="649"/>
      <c r="EV35" s="649"/>
      <c r="EW35" s="649"/>
      <c r="EX35" s="649"/>
      <c r="EY35" s="649"/>
      <c r="EZ35" s="649"/>
      <c r="FA35" s="649"/>
      <c r="FB35" s="649"/>
      <c r="FC35" s="649"/>
      <c r="FD35" s="649"/>
      <c r="FE35" s="649"/>
      <c r="FF35" s="649"/>
      <c r="FG35" s="649"/>
      <c r="FH35" s="649"/>
      <c r="FI35" s="649"/>
      <c r="FJ35" s="649"/>
      <c r="FK35" s="649"/>
      <c r="FL35" s="649"/>
      <c r="FM35" s="649"/>
      <c r="FN35" s="649"/>
      <c r="FO35" s="649"/>
      <c r="FP35" s="649"/>
      <c r="FQ35" s="649"/>
      <c r="FR35" s="649"/>
      <c r="FS35" s="649"/>
      <c r="FT35" s="649"/>
      <c r="FU35" s="649"/>
      <c r="FV35" s="649"/>
      <c r="FW35" s="649"/>
      <c r="FX35" s="649"/>
      <c r="FY35" s="649"/>
      <c r="FZ35" s="649"/>
      <c r="GA35" s="649"/>
      <c r="GB35" s="649"/>
      <c r="GC35" s="649"/>
      <c r="GD35" s="649"/>
      <c r="GE35" s="649"/>
      <c r="GF35" s="649"/>
      <c r="GG35" s="649"/>
      <c r="GH35" s="649"/>
      <c r="GI35" s="649"/>
      <c r="GJ35" s="649"/>
      <c r="GK35" s="649"/>
      <c r="GL35" s="649"/>
      <c r="GM35" s="649"/>
      <c r="GN35" s="649"/>
      <c r="GO35" s="649"/>
      <c r="GP35" s="649"/>
      <c r="GQ35" s="649"/>
      <c r="GR35" s="649"/>
      <c r="GS35" s="649"/>
      <c r="GT35" s="649"/>
      <c r="GU35" s="649"/>
      <c r="GV35" s="649"/>
      <c r="GW35" s="649"/>
      <c r="GX35" s="649"/>
      <c r="GY35" s="649"/>
      <c r="GZ35" s="649"/>
      <c r="HA35" s="649"/>
      <c r="HB35" s="649"/>
      <c r="HC35" s="649"/>
      <c r="HD35" s="649"/>
      <c r="HE35" s="649"/>
      <c r="HF35" s="649"/>
      <c r="HG35" s="649"/>
      <c r="HH35" s="649"/>
      <c r="HI35" s="649"/>
      <c r="HJ35" s="649"/>
      <c r="HK35" s="649"/>
      <c r="HL35" s="649"/>
      <c r="HM35" s="649"/>
      <c r="HN35" s="649"/>
      <c r="HO35" s="649"/>
      <c r="HP35" s="649"/>
      <c r="HQ35" s="649"/>
      <c r="HR35" s="649"/>
      <c r="HS35" s="649"/>
      <c r="HT35" s="649"/>
      <c r="HU35" s="649"/>
      <c r="HV35" s="649"/>
      <c r="HW35" s="649"/>
      <c r="HX35" s="649"/>
      <c r="HY35" s="649"/>
    </row>
    <row r="36" spans="1:233" s="678" customFormat="1" ht="15" customHeight="1">
      <c r="A36" s="646"/>
      <c r="B36" s="675"/>
      <c r="C36" s="679"/>
      <c r="D36" s="668"/>
      <c r="E36" s="662"/>
      <c r="F36" s="103"/>
      <c r="G36" s="103"/>
      <c r="H36" s="103"/>
      <c r="I36" s="22"/>
      <c r="J36" s="280"/>
      <c r="K36" s="649"/>
      <c r="L36" s="649"/>
      <c r="M36" s="649"/>
      <c r="N36" s="649"/>
      <c r="O36" s="649"/>
      <c r="P36" s="649"/>
      <c r="Q36" s="649"/>
      <c r="R36" s="649"/>
      <c r="S36" s="649"/>
      <c r="T36" s="649"/>
      <c r="U36" s="649"/>
      <c r="V36" s="649"/>
      <c r="W36" s="649"/>
      <c r="X36" s="649"/>
      <c r="Y36" s="649"/>
      <c r="Z36" s="649"/>
      <c r="AA36" s="649"/>
      <c r="AB36" s="649"/>
      <c r="AC36" s="649"/>
      <c r="AD36" s="649"/>
      <c r="AE36" s="649"/>
      <c r="AF36" s="649"/>
      <c r="AG36" s="649"/>
      <c r="AH36" s="649"/>
      <c r="AI36" s="649"/>
      <c r="AJ36" s="649"/>
      <c r="AK36" s="649"/>
      <c r="AL36" s="649"/>
      <c r="AM36" s="649"/>
      <c r="AN36" s="649"/>
      <c r="AO36" s="649"/>
      <c r="AP36" s="649"/>
      <c r="AQ36" s="649"/>
      <c r="AR36" s="649"/>
      <c r="AS36" s="649"/>
      <c r="AT36" s="649"/>
      <c r="AU36" s="649"/>
      <c r="AV36" s="649"/>
      <c r="AW36" s="649"/>
      <c r="AX36" s="649"/>
      <c r="AY36" s="649"/>
      <c r="AZ36" s="649"/>
      <c r="BA36" s="649"/>
      <c r="BB36" s="649"/>
      <c r="BC36" s="649"/>
      <c r="BD36" s="649"/>
      <c r="BE36" s="649"/>
      <c r="BF36" s="649"/>
      <c r="BG36" s="649"/>
      <c r="BH36" s="649"/>
      <c r="BI36" s="649"/>
      <c r="BJ36" s="649"/>
      <c r="BK36" s="649"/>
      <c r="BL36" s="649"/>
      <c r="BM36" s="649"/>
      <c r="BN36" s="649"/>
      <c r="BO36" s="649"/>
      <c r="BP36" s="649"/>
      <c r="BQ36" s="649"/>
      <c r="BR36" s="649"/>
      <c r="BS36" s="649"/>
      <c r="BT36" s="649"/>
      <c r="BU36" s="649"/>
      <c r="BV36" s="649"/>
      <c r="BW36" s="649"/>
      <c r="BX36" s="649"/>
      <c r="BY36" s="649"/>
      <c r="BZ36" s="649"/>
      <c r="CA36" s="649"/>
      <c r="CB36" s="649"/>
      <c r="CC36" s="649"/>
      <c r="CD36" s="649"/>
      <c r="CE36" s="649"/>
      <c r="CF36" s="649"/>
      <c r="CG36" s="649"/>
      <c r="CH36" s="649"/>
      <c r="CI36" s="649"/>
      <c r="CJ36" s="649"/>
      <c r="CK36" s="649"/>
      <c r="CL36" s="649"/>
      <c r="CM36" s="649"/>
      <c r="CN36" s="649"/>
      <c r="CO36" s="649"/>
      <c r="CP36" s="649"/>
      <c r="CQ36" s="649"/>
      <c r="CR36" s="649"/>
      <c r="CS36" s="649"/>
      <c r="CT36" s="649"/>
      <c r="CU36" s="649"/>
      <c r="CV36" s="649"/>
      <c r="CW36" s="649"/>
      <c r="CX36" s="649"/>
      <c r="CY36" s="649"/>
      <c r="CZ36" s="649"/>
      <c r="DA36" s="649"/>
      <c r="DB36" s="649"/>
      <c r="DC36" s="649"/>
      <c r="DD36" s="649"/>
      <c r="DE36" s="649"/>
      <c r="DF36" s="649"/>
      <c r="DG36" s="649"/>
      <c r="DH36" s="649"/>
      <c r="DI36" s="649"/>
      <c r="DJ36" s="649"/>
      <c r="DK36" s="649"/>
      <c r="DL36" s="649"/>
      <c r="DM36" s="649"/>
      <c r="DN36" s="649"/>
      <c r="DO36" s="649"/>
      <c r="DP36" s="649"/>
      <c r="DQ36" s="649"/>
      <c r="DR36" s="649"/>
      <c r="DS36" s="649"/>
      <c r="DT36" s="649"/>
      <c r="DU36" s="649"/>
      <c r="DV36" s="649"/>
      <c r="DW36" s="649"/>
      <c r="DX36" s="649"/>
      <c r="DY36" s="649"/>
      <c r="DZ36" s="649"/>
      <c r="EA36" s="649"/>
      <c r="EB36" s="649"/>
      <c r="EC36" s="649"/>
      <c r="ED36" s="649"/>
      <c r="EE36" s="649"/>
      <c r="EF36" s="649"/>
      <c r="EG36" s="649"/>
      <c r="EH36" s="649"/>
      <c r="EI36" s="649"/>
      <c r="EJ36" s="649"/>
      <c r="EK36" s="649"/>
      <c r="EL36" s="649"/>
      <c r="EM36" s="649"/>
      <c r="EN36" s="649"/>
      <c r="EO36" s="649"/>
      <c r="EP36" s="649"/>
      <c r="EQ36" s="649"/>
      <c r="ER36" s="649"/>
      <c r="ES36" s="649"/>
      <c r="ET36" s="649"/>
      <c r="EU36" s="649"/>
      <c r="EV36" s="649"/>
      <c r="EW36" s="649"/>
      <c r="EX36" s="649"/>
      <c r="EY36" s="649"/>
      <c r="EZ36" s="649"/>
      <c r="FA36" s="649"/>
      <c r="FB36" s="649"/>
      <c r="FC36" s="649"/>
      <c r="FD36" s="649"/>
      <c r="FE36" s="649"/>
      <c r="FF36" s="649"/>
      <c r="FG36" s="649"/>
      <c r="FH36" s="649"/>
      <c r="FI36" s="649"/>
      <c r="FJ36" s="649"/>
      <c r="FK36" s="649"/>
      <c r="FL36" s="649"/>
      <c r="FM36" s="649"/>
      <c r="FN36" s="649"/>
      <c r="FO36" s="649"/>
      <c r="FP36" s="649"/>
      <c r="FQ36" s="649"/>
      <c r="FR36" s="649"/>
      <c r="FS36" s="649"/>
      <c r="FT36" s="649"/>
      <c r="FU36" s="649"/>
      <c r="FV36" s="649"/>
      <c r="FW36" s="649"/>
      <c r="FX36" s="649"/>
      <c r="FY36" s="649"/>
      <c r="FZ36" s="649"/>
      <c r="GA36" s="649"/>
      <c r="GB36" s="649"/>
      <c r="GC36" s="649"/>
      <c r="GD36" s="649"/>
      <c r="GE36" s="649"/>
      <c r="GF36" s="649"/>
      <c r="GG36" s="649"/>
      <c r="GH36" s="649"/>
      <c r="GI36" s="649"/>
      <c r="GJ36" s="649"/>
      <c r="GK36" s="649"/>
      <c r="GL36" s="649"/>
      <c r="GM36" s="649"/>
      <c r="GN36" s="649"/>
      <c r="GO36" s="649"/>
      <c r="GP36" s="649"/>
      <c r="GQ36" s="649"/>
      <c r="GR36" s="649"/>
      <c r="GS36" s="649"/>
      <c r="GT36" s="649"/>
      <c r="GU36" s="649"/>
      <c r="GV36" s="649"/>
      <c r="GW36" s="649"/>
      <c r="GX36" s="649"/>
      <c r="GY36" s="649"/>
      <c r="GZ36" s="649"/>
      <c r="HA36" s="649"/>
      <c r="HB36" s="649"/>
      <c r="HC36" s="649"/>
      <c r="HD36" s="649"/>
      <c r="HE36" s="649"/>
      <c r="HF36" s="649"/>
      <c r="HG36" s="649"/>
      <c r="HH36" s="649"/>
      <c r="HI36" s="649"/>
      <c r="HJ36" s="649"/>
      <c r="HK36" s="649"/>
      <c r="HL36" s="649"/>
      <c r="HM36" s="649"/>
      <c r="HN36" s="649"/>
      <c r="HO36" s="649"/>
      <c r="HP36" s="649"/>
      <c r="HQ36" s="649"/>
      <c r="HR36" s="649"/>
      <c r="HS36" s="649"/>
      <c r="HT36" s="649"/>
      <c r="HU36" s="649"/>
      <c r="HV36" s="649"/>
      <c r="HW36" s="649"/>
      <c r="HX36" s="649"/>
      <c r="HY36" s="649"/>
    </row>
    <row r="37" spans="1:233" s="649" customFormat="1" ht="15" customHeight="1">
      <c r="A37" s="646"/>
      <c r="B37" s="202" t="str">
        <f>B27 &amp; ".02"</f>
        <v>01.13.02.02</v>
      </c>
      <c r="C37" s="665" t="s">
        <v>545</v>
      </c>
      <c r="D37" s="20" t="s">
        <v>0</v>
      </c>
      <c r="E37" s="662">
        <v>1</v>
      </c>
      <c r="F37" s="103">
        <f>+$F$20</f>
        <v>7.6950000000000012</v>
      </c>
      <c r="G37" s="103"/>
      <c r="H37" s="103"/>
      <c r="I37" s="448">
        <f>+ROUND(PRODUCT(E37:H37),2)</f>
        <v>7.7</v>
      </c>
      <c r="J37" s="280">
        <f>+I37*$E$27</f>
        <v>115.5</v>
      </c>
    </row>
    <row r="38" spans="1:233" s="649" customFormat="1" ht="15" customHeight="1">
      <c r="A38" s="646"/>
      <c r="B38" s="202"/>
      <c r="C38" s="665"/>
      <c r="D38" s="20"/>
      <c r="E38" s="662"/>
      <c r="F38" s="103"/>
      <c r="G38" s="103"/>
      <c r="H38" s="103"/>
      <c r="I38" s="448"/>
      <c r="J38" s="280"/>
    </row>
    <row r="39" spans="1:233" s="649" customFormat="1" ht="15" customHeight="1">
      <c r="A39" s="646"/>
      <c r="B39" s="202"/>
      <c r="C39" s="665"/>
      <c r="D39" s="20"/>
      <c r="E39" s="662"/>
      <c r="F39" s="103"/>
      <c r="G39" s="103"/>
      <c r="H39" s="103"/>
      <c r="I39" s="448"/>
      <c r="J39" s="280"/>
    </row>
    <row r="40" spans="1:233" s="649" customFormat="1" ht="15" customHeight="1">
      <c r="A40" s="646"/>
      <c r="B40" s="202" t="str">
        <f>B27 &amp; ".03"</f>
        <v>01.13.02.03</v>
      </c>
      <c r="C40" s="665" t="s">
        <v>543</v>
      </c>
      <c r="D40" s="20" t="s">
        <v>0</v>
      </c>
      <c r="E40" s="662">
        <v>1</v>
      </c>
      <c r="F40" s="103">
        <f>+$F$20</f>
        <v>7.6950000000000012</v>
      </c>
      <c r="G40" s="103"/>
      <c r="H40" s="103"/>
      <c r="I40" s="448">
        <f>+ROUND(PRODUCT(E40:H40),2)</f>
        <v>7.7</v>
      </c>
      <c r="J40" s="280">
        <f>+I40*$E$27</f>
        <v>115.5</v>
      </c>
    </row>
    <row r="41" spans="1:233" s="649" customFormat="1" ht="15" customHeight="1">
      <c r="A41" s="646"/>
      <c r="B41" s="202"/>
      <c r="C41" s="665"/>
      <c r="D41" s="20"/>
      <c r="E41" s="662"/>
      <c r="F41" s="103"/>
      <c r="G41" s="103"/>
      <c r="H41" s="103"/>
      <c r="I41" s="448"/>
      <c r="J41" s="280"/>
    </row>
    <row r="42" spans="1:233" s="649" customFormat="1" ht="15" customHeight="1">
      <c r="A42" s="646"/>
      <c r="B42" s="202" t="str">
        <f>B27 &amp; ".04"</f>
        <v>01.13.02.04</v>
      </c>
      <c r="C42" s="665" t="s">
        <v>541</v>
      </c>
      <c r="D42" s="20" t="s">
        <v>0</v>
      </c>
      <c r="E42" s="662">
        <v>1</v>
      </c>
      <c r="F42" s="103">
        <f>+$F$20</f>
        <v>7.6950000000000012</v>
      </c>
      <c r="G42" s="103"/>
      <c r="H42" s="103"/>
      <c r="I42" s="448">
        <f>+ROUND(PRODUCT(E42:H42),2)</f>
        <v>7.7</v>
      </c>
      <c r="J42" s="280">
        <f>+I42*$E$27</f>
        <v>115.5</v>
      </c>
    </row>
    <row r="43" spans="1:233" s="649" customFormat="1" ht="15" customHeight="1">
      <c r="A43" s="646"/>
      <c r="B43" s="202"/>
      <c r="C43" s="675"/>
      <c r="D43" s="668"/>
      <c r="E43" s="662"/>
      <c r="F43" s="246"/>
      <c r="G43" s="246"/>
      <c r="H43" s="246"/>
      <c r="I43" s="246"/>
      <c r="J43" s="280"/>
    </row>
    <row r="44" spans="1:233" s="678" customFormat="1" ht="15" customHeight="1">
      <c r="A44" s="646"/>
      <c r="B44" s="202" t="str">
        <f>$B$27 &amp; ".05"</f>
        <v>01.13.02.05</v>
      </c>
      <c r="C44" s="675" t="s">
        <v>830</v>
      </c>
      <c r="D44" s="668" t="s">
        <v>0</v>
      </c>
      <c r="E44" s="662">
        <v>1</v>
      </c>
      <c r="F44" s="103">
        <f>+$F$20</f>
        <v>7.6950000000000012</v>
      </c>
      <c r="G44" s="103"/>
      <c r="H44" s="103"/>
      <c r="I44" s="22">
        <f>+ROUND(PRODUCT(E44:H44),2)</f>
        <v>7.7</v>
      </c>
      <c r="J44" s="280">
        <f>+I44*$E$27</f>
        <v>115.5</v>
      </c>
      <c r="K44" s="649"/>
      <c r="L44" s="649"/>
      <c r="M44" s="649"/>
      <c r="N44" s="649"/>
      <c r="O44" s="649"/>
      <c r="P44" s="649"/>
      <c r="Q44" s="649"/>
      <c r="R44" s="649"/>
      <c r="S44" s="649"/>
      <c r="T44" s="649"/>
      <c r="U44" s="649"/>
      <c r="V44" s="649"/>
      <c r="W44" s="649"/>
      <c r="X44" s="649"/>
      <c r="Y44" s="649"/>
      <c r="Z44" s="649"/>
      <c r="AA44" s="649"/>
      <c r="AB44" s="649"/>
      <c r="AC44" s="649"/>
      <c r="AD44" s="649"/>
      <c r="AE44" s="649"/>
      <c r="AF44" s="649"/>
      <c r="AG44" s="649"/>
      <c r="AH44" s="649"/>
      <c r="AI44" s="649"/>
      <c r="AJ44" s="649"/>
      <c r="AK44" s="649"/>
      <c r="AL44" s="649"/>
      <c r="AM44" s="649"/>
      <c r="AN44" s="649"/>
      <c r="AO44" s="649"/>
      <c r="AP44" s="649"/>
      <c r="AQ44" s="649"/>
      <c r="AR44" s="649"/>
      <c r="AS44" s="649"/>
      <c r="AT44" s="649"/>
      <c r="AU44" s="649"/>
      <c r="AV44" s="649"/>
      <c r="AW44" s="649"/>
      <c r="AX44" s="649"/>
      <c r="AY44" s="649"/>
      <c r="AZ44" s="649"/>
      <c r="BA44" s="649"/>
      <c r="BB44" s="649"/>
      <c r="BC44" s="649"/>
      <c r="BD44" s="649"/>
      <c r="BE44" s="649"/>
      <c r="BF44" s="649"/>
      <c r="BG44" s="649"/>
      <c r="BH44" s="649"/>
      <c r="BI44" s="649"/>
      <c r="BJ44" s="649"/>
      <c r="BK44" s="649"/>
      <c r="BL44" s="649"/>
      <c r="BM44" s="649"/>
      <c r="BN44" s="649"/>
      <c r="BO44" s="649"/>
      <c r="BP44" s="649"/>
      <c r="BQ44" s="649"/>
      <c r="BR44" s="649"/>
      <c r="BS44" s="649"/>
      <c r="BT44" s="649"/>
      <c r="BU44" s="649"/>
      <c r="BV44" s="649"/>
      <c r="BW44" s="649"/>
      <c r="BX44" s="649"/>
      <c r="BY44" s="649"/>
      <c r="BZ44" s="649"/>
      <c r="CA44" s="649"/>
      <c r="CB44" s="649"/>
      <c r="CC44" s="649"/>
      <c r="CD44" s="649"/>
      <c r="CE44" s="649"/>
      <c r="CF44" s="649"/>
      <c r="CG44" s="649"/>
      <c r="CH44" s="649"/>
      <c r="CI44" s="649"/>
      <c r="CJ44" s="649"/>
      <c r="CK44" s="649"/>
      <c r="CL44" s="649"/>
      <c r="CM44" s="649"/>
      <c r="CN44" s="649"/>
      <c r="CO44" s="649"/>
      <c r="CP44" s="649"/>
      <c r="CQ44" s="649"/>
      <c r="CR44" s="649"/>
      <c r="CS44" s="649"/>
      <c r="CT44" s="649"/>
      <c r="CU44" s="649"/>
      <c r="CV44" s="649"/>
      <c r="CW44" s="649"/>
      <c r="CX44" s="649"/>
      <c r="CY44" s="649"/>
      <c r="CZ44" s="649"/>
      <c r="DA44" s="649"/>
      <c r="DB44" s="649"/>
      <c r="DC44" s="649"/>
      <c r="DD44" s="649"/>
      <c r="DE44" s="649"/>
      <c r="DF44" s="649"/>
      <c r="DG44" s="649"/>
      <c r="DH44" s="649"/>
      <c r="DI44" s="649"/>
      <c r="DJ44" s="649"/>
      <c r="DK44" s="649"/>
      <c r="DL44" s="649"/>
      <c r="DM44" s="649"/>
      <c r="DN44" s="649"/>
      <c r="DO44" s="649"/>
      <c r="DP44" s="649"/>
      <c r="DQ44" s="649"/>
      <c r="DR44" s="649"/>
      <c r="DS44" s="649"/>
      <c r="DT44" s="649"/>
      <c r="DU44" s="649"/>
      <c r="DV44" s="649"/>
      <c r="DW44" s="649"/>
      <c r="DX44" s="649"/>
      <c r="DY44" s="649"/>
      <c r="DZ44" s="649"/>
      <c r="EA44" s="649"/>
      <c r="EB44" s="649"/>
      <c r="EC44" s="649"/>
      <c r="ED44" s="649"/>
      <c r="EE44" s="649"/>
      <c r="EF44" s="649"/>
      <c r="EG44" s="649"/>
      <c r="EH44" s="649"/>
      <c r="EI44" s="649"/>
      <c r="EJ44" s="649"/>
      <c r="EK44" s="649"/>
      <c r="EL44" s="649"/>
      <c r="EM44" s="649"/>
      <c r="EN44" s="649"/>
      <c r="EO44" s="649"/>
      <c r="EP44" s="649"/>
      <c r="EQ44" s="649"/>
      <c r="ER44" s="649"/>
      <c r="ES44" s="649"/>
      <c r="ET44" s="649"/>
      <c r="EU44" s="649"/>
      <c r="EV44" s="649"/>
      <c r="EW44" s="649"/>
      <c r="EX44" s="649"/>
      <c r="EY44" s="649"/>
      <c r="EZ44" s="649"/>
      <c r="FA44" s="649"/>
      <c r="FB44" s="649"/>
      <c r="FC44" s="649"/>
      <c r="FD44" s="649"/>
      <c r="FE44" s="649"/>
      <c r="FF44" s="649"/>
      <c r="FG44" s="649"/>
      <c r="FH44" s="649"/>
      <c r="FI44" s="649"/>
      <c r="FJ44" s="649"/>
      <c r="FK44" s="649"/>
      <c r="FL44" s="649"/>
      <c r="FM44" s="649"/>
      <c r="FN44" s="649"/>
      <c r="FO44" s="649"/>
      <c r="FP44" s="649"/>
      <c r="FQ44" s="649"/>
      <c r="FR44" s="649"/>
      <c r="FS44" s="649"/>
      <c r="FT44" s="649"/>
      <c r="FU44" s="649"/>
      <c r="FV44" s="649"/>
      <c r="FW44" s="649"/>
      <c r="FX44" s="649"/>
      <c r="FY44" s="649"/>
      <c r="FZ44" s="649"/>
      <c r="GA44" s="649"/>
      <c r="GB44" s="649"/>
      <c r="GC44" s="649"/>
      <c r="GD44" s="649"/>
      <c r="GE44" s="649"/>
      <c r="GF44" s="649"/>
      <c r="GG44" s="649"/>
      <c r="GH44" s="649"/>
      <c r="GI44" s="649"/>
      <c r="GJ44" s="649"/>
      <c r="GK44" s="649"/>
      <c r="GL44" s="649"/>
      <c r="GM44" s="649"/>
      <c r="GN44" s="649"/>
      <c r="GO44" s="649"/>
      <c r="GP44" s="649"/>
      <c r="GQ44" s="649"/>
      <c r="GR44" s="649"/>
      <c r="GS44" s="649"/>
      <c r="GT44" s="649"/>
      <c r="GU44" s="649"/>
      <c r="GV44" s="649"/>
      <c r="GW44" s="649"/>
      <c r="GX44" s="649"/>
      <c r="GY44" s="649"/>
      <c r="GZ44" s="649"/>
      <c r="HA44" s="649"/>
      <c r="HB44" s="649"/>
      <c r="HC44" s="649"/>
      <c r="HD44" s="649"/>
      <c r="HE44" s="649"/>
      <c r="HF44" s="649"/>
      <c r="HG44" s="649"/>
      <c r="HH44" s="649"/>
      <c r="HI44" s="649"/>
      <c r="HJ44" s="649"/>
      <c r="HK44" s="649"/>
      <c r="HL44" s="649"/>
      <c r="HM44" s="649"/>
      <c r="HN44" s="649"/>
      <c r="HO44" s="649"/>
      <c r="HP44" s="649"/>
      <c r="HQ44" s="649"/>
      <c r="HR44" s="649"/>
      <c r="HS44" s="649"/>
      <c r="HT44" s="649"/>
      <c r="HU44" s="649"/>
      <c r="HV44" s="649"/>
      <c r="HW44" s="649"/>
      <c r="HX44" s="649"/>
      <c r="HY44" s="649"/>
    </row>
    <row r="45" spans="1:233" s="649" customFormat="1" ht="15" customHeight="1">
      <c r="A45" s="646"/>
      <c r="B45" s="202"/>
      <c r="C45" s="675"/>
      <c r="D45" s="668"/>
      <c r="E45" s="662"/>
      <c r="F45" s="246"/>
      <c r="G45" s="246"/>
      <c r="H45" s="246"/>
      <c r="I45" s="246"/>
      <c r="J45" s="280"/>
    </row>
    <row r="46" spans="1:233" s="649" customFormat="1" ht="13.5">
      <c r="A46" s="646"/>
      <c r="B46" s="202" t="str">
        <f>$B$27 &amp; ".06"</f>
        <v>01.13.02.06</v>
      </c>
      <c r="C46" s="677" t="s">
        <v>672</v>
      </c>
      <c r="D46" s="20" t="s">
        <v>93</v>
      </c>
      <c r="E46" s="676">
        <v>1</v>
      </c>
      <c r="F46" s="103">
        <v>0.4</v>
      </c>
      <c r="G46" s="103">
        <v>0.3</v>
      </c>
      <c r="H46" s="103">
        <v>0.1</v>
      </c>
      <c r="I46" s="448">
        <f>PRODUCT(E46:H46)</f>
        <v>1.2E-2</v>
      </c>
      <c r="J46" s="280">
        <f>+I46*$E$27</f>
        <v>0.18</v>
      </c>
    </row>
    <row r="47" spans="1:233" s="649" customFormat="1" ht="15" customHeight="1">
      <c r="A47" s="646"/>
      <c r="B47" s="202"/>
      <c r="C47" s="675"/>
      <c r="D47" s="668"/>
      <c r="E47" s="662"/>
      <c r="F47" s="246"/>
      <c r="G47" s="246"/>
      <c r="H47" s="246"/>
      <c r="I47" s="246"/>
      <c r="J47" s="280"/>
    </row>
    <row r="48" spans="1:233" s="649" customFormat="1" ht="15" customHeight="1">
      <c r="A48" s="646"/>
      <c r="B48" s="202" t="str">
        <f>$B$27 &amp; ".07"</f>
        <v>01.13.02.07</v>
      </c>
      <c r="C48" s="665" t="s">
        <v>317</v>
      </c>
      <c r="D48" s="20" t="s">
        <v>93</v>
      </c>
      <c r="E48" s="662" t="s">
        <v>829</v>
      </c>
      <c r="F48" s="103"/>
      <c r="G48" s="103" t="s">
        <v>828</v>
      </c>
      <c r="H48" s="103"/>
      <c r="I48" s="448">
        <f>+I49-I52</f>
        <v>0.28915777777777779</v>
      </c>
      <c r="J48" s="280">
        <f>+I48*E27</f>
        <v>4.337366666666667</v>
      </c>
    </row>
    <row r="49" spans="1:10" s="649" customFormat="1" ht="15" customHeight="1">
      <c r="A49" s="646"/>
      <c r="B49" s="202"/>
      <c r="C49" s="663" t="s">
        <v>827</v>
      </c>
      <c r="D49" s="20"/>
      <c r="E49" s="668">
        <v>2.1000000000000001E-2</v>
      </c>
      <c r="F49" s="103">
        <v>13.15</v>
      </c>
      <c r="G49" s="103">
        <v>1.2</v>
      </c>
      <c r="H49" s="103"/>
      <c r="I49" s="448">
        <f>PRODUCT(E49:H49)</f>
        <v>0.33138000000000001</v>
      </c>
      <c r="J49" s="358"/>
    </row>
    <row r="50" spans="1:10" s="649" customFormat="1" ht="15" customHeight="1">
      <c r="A50" s="646"/>
      <c r="B50" s="672"/>
      <c r="C50" s="674" t="s">
        <v>826</v>
      </c>
      <c r="E50" s="662">
        <v>1</v>
      </c>
      <c r="F50" s="103"/>
      <c r="G50" s="103"/>
      <c r="H50" s="103">
        <v>3.7999999999999999E-2</v>
      </c>
      <c r="I50" s="448">
        <f>PRODUCT(E50:H50)</f>
        <v>3.7999999999999999E-2</v>
      </c>
      <c r="J50" s="671"/>
    </row>
    <row r="51" spans="1:10" s="649" customFormat="1" ht="15" customHeight="1">
      <c r="A51" s="646"/>
      <c r="B51" s="672"/>
      <c r="C51" s="667"/>
      <c r="E51" s="662"/>
      <c r="F51" s="103"/>
      <c r="G51" s="103"/>
      <c r="H51" s="673" t="s">
        <v>825</v>
      </c>
      <c r="I51" s="673">
        <f>SUM(I50:I50)</f>
        <v>3.7999999999999999E-2</v>
      </c>
      <c r="J51" s="671"/>
    </row>
    <row r="52" spans="1:10" s="649" customFormat="1" ht="15" customHeight="1">
      <c r="A52" s="646"/>
      <c r="B52" s="672"/>
      <c r="C52" s="667"/>
      <c r="E52" s="662"/>
      <c r="F52" s="103"/>
      <c r="G52" s="103" t="s">
        <v>824</v>
      </c>
      <c r="H52" s="103">
        <f>1/0.9</f>
        <v>1.1111111111111112</v>
      </c>
      <c r="I52" s="103">
        <f>I51*H52</f>
        <v>4.2222222222222223E-2</v>
      </c>
      <c r="J52" s="671"/>
    </row>
    <row r="53" spans="1:10" s="649" customFormat="1" ht="15" customHeight="1">
      <c r="A53" s="646"/>
      <c r="B53" s="672"/>
      <c r="C53" s="667"/>
      <c r="E53" s="655"/>
      <c r="F53" s="103"/>
      <c r="G53" s="103"/>
      <c r="H53" s="103"/>
      <c r="I53" s="103"/>
      <c r="J53" s="671"/>
    </row>
    <row r="54" spans="1:10" s="649" customFormat="1" ht="15" customHeight="1">
      <c r="A54" s="646"/>
      <c r="B54" s="658" t="str">
        <f>B$19 &amp; ".03"</f>
        <v>01.13.03</v>
      </c>
      <c r="C54" s="670" t="s">
        <v>95</v>
      </c>
      <c r="D54" s="20"/>
      <c r="E54" s="656">
        <f>+$E$19</f>
        <v>15</v>
      </c>
      <c r="F54" s="103"/>
      <c r="G54" s="103"/>
      <c r="H54" s="103"/>
      <c r="I54" s="103"/>
      <c r="J54" s="358"/>
    </row>
    <row r="55" spans="1:10" s="649" customFormat="1" ht="15" customHeight="1">
      <c r="A55" s="646"/>
      <c r="B55" s="666" t="str">
        <f>B$54 &amp; ".01"</f>
        <v>01.13.03.01</v>
      </c>
      <c r="C55" s="665" t="s">
        <v>823</v>
      </c>
      <c r="D55" s="20" t="s">
        <v>55</v>
      </c>
      <c r="E55" s="662"/>
      <c r="F55" s="103"/>
      <c r="G55" s="103"/>
      <c r="H55" s="103"/>
      <c r="I55" s="448">
        <f>SUM(I56:I57)</f>
        <v>0.44000000000000006</v>
      </c>
      <c r="J55" s="280">
        <f>+I55*$E$54</f>
        <v>6.6000000000000005</v>
      </c>
    </row>
    <row r="56" spans="1:10" s="649" customFormat="1" ht="15" customHeight="1">
      <c r="A56" s="646"/>
      <c r="B56" s="666"/>
      <c r="C56" s="663" t="s">
        <v>821</v>
      </c>
      <c r="D56" s="20"/>
      <c r="E56" s="662">
        <v>1</v>
      </c>
      <c r="F56" s="103">
        <v>0.7</v>
      </c>
      <c r="G56" s="103">
        <v>0.8</v>
      </c>
      <c r="H56" s="103"/>
      <c r="I56" s="448">
        <f>+ROUND(PRODUCT(E56:H56),3)</f>
        <v>0.56000000000000005</v>
      </c>
      <c r="J56" s="358"/>
    </row>
    <row r="57" spans="1:10" s="649" customFormat="1" ht="15" customHeight="1">
      <c r="A57" s="646"/>
      <c r="B57" s="666"/>
      <c r="C57" s="669" t="s">
        <v>820</v>
      </c>
      <c r="D57" s="668"/>
      <c r="E57" s="662">
        <v>-1</v>
      </c>
      <c r="F57" s="103">
        <v>0.4</v>
      </c>
      <c r="G57" s="103">
        <v>0.3</v>
      </c>
      <c r="H57" s="103"/>
      <c r="I57" s="448">
        <f>+ROUND(PRODUCT(E57:H57),3)</f>
        <v>-0.12</v>
      </c>
      <c r="J57" s="358"/>
    </row>
    <row r="58" spans="1:10" s="649" customFormat="1" ht="15" customHeight="1">
      <c r="A58" s="646"/>
      <c r="B58" s="666"/>
      <c r="C58" s="667"/>
      <c r="D58" s="20"/>
      <c r="E58" s="662"/>
      <c r="F58" s="103"/>
      <c r="G58" s="103"/>
      <c r="H58" s="103"/>
      <c r="I58" s="448"/>
      <c r="J58" s="358"/>
    </row>
    <row r="59" spans="1:10" s="649" customFormat="1" ht="15" customHeight="1">
      <c r="A59" s="646"/>
      <c r="B59" s="666" t="str">
        <f>B$54 &amp; ".02"</f>
        <v>01.13.03.02</v>
      </c>
      <c r="C59" s="665" t="s">
        <v>822</v>
      </c>
      <c r="D59" s="20" t="s">
        <v>93</v>
      </c>
      <c r="E59" s="662"/>
      <c r="F59" s="103"/>
      <c r="G59" s="103"/>
      <c r="H59" s="103"/>
      <c r="I59" s="448">
        <f>SUM(I60:I61)</f>
        <v>0.05</v>
      </c>
      <c r="J59" s="280">
        <f>+I59*$E$54</f>
        <v>0.75</v>
      </c>
    </row>
    <row r="60" spans="1:10" s="649" customFormat="1" ht="15" customHeight="1">
      <c r="A60" s="646"/>
      <c r="B60" s="666"/>
      <c r="C60" s="663" t="s">
        <v>821</v>
      </c>
      <c r="D60" s="20"/>
      <c r="E60" s="662">
        <v>1</v>
      </c>
      <c r="F60" s="103">
        <f>+Q27</f>
        <v>0.8</v>
      </c>
      <c r="G60" s="103">
        <f>+Q28</f>
        <v>0.7</v>
      </c>
      <c r="H60" s="103">
        <f>+Q30</f>
        <v>0.1</v>
      </c>
      <c r="I60" s="448">
        <f>+ROUND(PRODUCT(E60:H60),3)</f>
        <v>5.6000000000000001E-2</v>
      </c>
      <c r="J60" s="358"/>
    </row>
    <row r="61" spans="1:10" s="649" customFormat="1" ht="15" customHeight="1">
      <c r="A61" s="646"/>
      <c r="B61" s="202"/>
      <c r="C61" s="663" t="s">
        <v>820</v>
      </c>
      <c r="D61" s="20"/>
      <c r="E61" s="662">
        <v>-1</v>
      </c>
      <c r="F61" s="103">
        <f>+M27</f>
        <v>0.4</v>
      </c>
      <c r="G61" s="103">
        <f>+M28</f>
        <v>0.3</v>
      </c>
      <c r="H61" s="103">
        <f>+M30</f>
        <v>0.05</v>
      </c>
      <c r="I61" s="448">
        <f>+ROUND(PRODUCT(E61:H61),3)</f>
        <v>-6.0000000000000001E-3</v>
      </c>
      <c r="J61" s="358"/>
    </row>
    <row r="62" spans="1:10" s="649" customFormat="1" ht="15" customHeight="1">
      <c r="A62" s="646"/>
      <c r="B62" s="202"/>
      <c r="C62" s="474"/>
      <c r="D62" s="20"/>
      <c r="E62" s="662"/>
      <c r="F62" s="103"/>
      <c r="G62" s="103"/>
      <c r="H62" s="103"/>
      <c r="I62" s="448"/>
      <c r="J62" s="358"/>
    </row>
    <row r="63" spans="1:10" s="649" customFormat="1" ht="15" customHeight="1">
      <c r="A63" s="646"/>
      <c r="B63" s="666" t="str">
        <f>B$54 &amp; ".03"</f>
        <v>01.13.03.03</v>
      </c>
      <c r="C63" s="665" t="s">
        <v>819</v>
      </c>
      <c r="D63" s="20" t="s">
        <v>55</v>
      </c>
      <c r="E63" s="662"/>
      <c r="F63" s="103"/>
      <c r="G63" s="103"/>
      <c r="H63" s="103"/>
      <c r="I63" s="448">
        <f>SUM(I64)</f>
        <v>0.3</v>
      </c>
      <c r="J63" s="280">
        <f>+I63*$E$54</f>
        <v>4.5</v>
      </c>
    </row>
    <row r="64" spans="1:10" s="649" customFormat="1" ht="15" customHeight="1">
      <c r="A64" s="646"/>
      <c r="B64" s="664"/>
      <c r="C64" s="663" t="s">
        <v>715</v>
      </c>
      <c r="D64" s="20"/>
      <c r="E64" s="662">
        <v>2</v>
      </c>
      <c r="F64" s="103">
        <f>+Q27+Q28</f>
        <v>1.5</v>
      </c>
      <c r="G64" s="103"/>
      <c r="H64" s="103">
        <f>+Q30</f>
        <v>0.1</v>
      </c>
      <c r="I64" s="448">
        <f>+ROUND(PRODUCT(E64:H64),3)</f>
        <v>0.3</v>
      </c>
      <c r="J64" s="358"/>
    </row>
    <row r="65" spans="1:11" s="649" customFormat="1" ht="15" customHeight="1">
      <c r="A65" s="646"/>
      <c r="B65" s="202"/>
      <c r="C65" s="474"/>
      <c r="D65" s="20"/>
      <c r="E65" s="655"/>
      <c r="F65" s="103"/>
      <c r="G65" s="103"/>
      <c r="H65" s="103"/>
      <c r="I65" s="448"/>
      <c r="J65" s="358"/>
    </row>
    <row r="66" spans="1:11" s="649" customFormat="1" ht="15" customHeight="1">
      <c r="A66" s="646"/>
      <c r="B66" s="658" t="str">
        <f>B$19 &amp; ".04"</f>
        <v>01.13.04</v>
      </c>
      <c r="C66" s="657" t="s">
        <v>818</v>
      </c>
      <c r="D66" s="182"/>
      <c r="E66" s="656">
        <f>+$E$19</f>
        <v>15</v>
      </c>
      <c r="F66" s="246"/>
      <c r="G66" s="246"/>
      <c r="H66" s="246"/>
      <c r="I66" s="246"/>
      <c r="J66" s="280"/>
      <c r="K66" s="650"/>
    </row>
    <row r="67" spans="1:11" s="649" customFormat="1" ht="24.75" customHeight="1">
      <c r="A67" s="646"/>
      <c r="B67" s="202" t="str">
        <f>B66 &amp; ".01"</f>
        <v>01.13.04.01</v>
      </c>
      <c r="C67" s="202" t="s">
        <v>817</v>
      </c>
      <c r="D67" s="20" t="s">
        <v>58</v>
      </c>
      <c r="E67" s="655">
        <v>7</v>
      </c>
      <c r="F67" s="103"/>
      <c r="G67" s="103"/>
      <c r="H67" s="103"/>
      <c r="I67" s="659">
        <f>E67</f>
        <v>7</v>
      </c>
      <c r="J67" s="280">
        <f>I67</f>
        <v>7</v>
      </c>
      <c r="K67" s="650"/>
    </row>
    <row r="68" spans="1:11" s="649" customFormat="1" ht="15" customHeight="1">
      <c r="A68" s="646"/>
      <c r="B68" s="202"/>
      <c r="C68" s="660" t="s">
        <v>813</v>
      </c>
      <c r="D68" s="182" t="s">
        <v>58</v>
      </c>
      <c r="E68" s="655">
        <v>1</v>
      </c>
      <c r="F68" s="103"/>
      <c r="G68" s="103"/>
      <c r="H68" s="103"/>
      <c r="I68" s="659"/>
      <c r="J68" s="280"/>
      <c r="K68" s="650"/>
    </row>
    <row r="69" spans="1:11" s="649" customFormat="1" ht="15" customHeight="1">
      <c r="A69" s="646"/>
      <c r="B69" s="202"/>
      <c r="C69" s="660" t="s">
        <v>812</v>
      </c>
      <c r="D69" s="182" t="s">
        <v>58</v>
      </c>
      <c r="E69" s="655">
        <v>2</v>
      </c>
      <c r="F69" s="103"/>
      <c r="G69" s="103"/>
      <c r="H69" s="103"/>
      <c r="I69" s="659"/>
      <c r="J69" s="280"/>
      <c r="K69" s="650"/>
    </row>
    <row r="70" spans="1:11" s="649" customFormat="1" ht="15" customHeight="1">
      <c r="A70" s="646"/>
      <c r="B70" s="202"/>
      <c r="C70" s="660" t="s">
        <v>575</v>
      </c>
      <c r="D70" s="182" t="s">
        <v>58</v>
      </c>
      <c r="E70" s="655">
        <v>2</v>
      </c>
      <c r="F70" s="103"/>
      <c r="G70" s="103"/>
      <c r="H70" s="103"/>
      <c r="I70" s="659"/>
      <c r="J70" s="280"/>
      <c r="K70" s="650"/>
    </row>
    <row r="71" spans="1:11" s="649" customFormat="1" ht="15" customHeight="1">
      <c r="A71" s="646"/>
      <c r="B71" s="202"/>
      <c r="C71" s="660" t="s">
        <v>811</v>
      </c>
      <c r="D71" s="182" t="s">
        <v>58</v>
      </c>
      <c r="E71" s="655">
        <v>2</v>
      </c>
      <c r="F71" s="103"/>
      <c r="G71" s="103"/>
      <c r="H71" s="103"/>
      <c r="I71" s="659"/>
      <c r="J71" s="280"/>
      <c r="K71" s="650"/>
    </row>
    <row r="72" spans="1:11" s="649" customFormat="1" ht="15" customHeight="1">
      <c r="A72" s="646"/>
      <c r="B72" s="202"/>
      <c r="C72" s="660" t="s">
        <v>810</v>
      </c>
      <c r="D72" s="182" t="s">
        <v>58</v>
      </c>
      <c r="E72" s="655">
        <v>1</v>
      </c>
      <c r="F72" s="103"/>
      <c r="G72" s="103"/>
      <c r="H72" s="103"/>
      <c r="I72" s="659"/>
      <c r="J72" s="280"/>
      <c r="K72" s="650"/>
    </row>
    <row r="73" spans="1:11" s="649" customFormat="1" ht="15" customHeight="1">
      <c r="A73" s="646"/>
      <c r="B73" s="202"/>
      <c r="C73" s="660" t="s">
        <v>809</v>
      </c>
      <c r="D73" s="182" t="s">
        <v>58</v>
      </c>
      <c r="E73" s="655">
        <v>1</v>
      </c>
      <c r="F73" s="103"/>
      <c r="G73" s="103"/>
      <c r="H73" s="103"/>
      <c r="I73" s="659"/>
      <c r="J73" s="280"/>
      <c r="K73" s="650"/>
    </row>
    <row r="74" spans="1:11" s="649" customFormat="1" ht="15" customHeight="1">
      <c r="A74" s="646"/>
      <c r="B74" s="202"/>
      <c r="C74" s="660" t="s">
        <v>808</v>
      </c>
      <c r="D74" s="182" t="s">
        <v>58</v>
      </c>
      <c r="E74" s="655">
        <v>1</v>
      </c>
      <c r="F74" s="103"/>
      <c r="G74" s="103"/>
      <c r="H74" s="103"/>
      <c r="I74" s="659"/>
      <c r="J74" s="280"/>
      <c r="K74" s="650"/>
    </row>
    <row r="75" spans="1:11" s="649" customFormat="1" ht="15" customHeight="1">
      <c r="A75" s="646"/>
      <c r="B75" s="202"/>
      <c r="C75" s="660" t="s">
        <v>807</v>
      </c>
      <c r="D75" s="182" t="s">
        <v>0</v>
      </c>
      <c r="E75" s="661">
        <v>1</v>
      </c>
      <c r="F75" s="103"/>
      <c r="G75" s="103"/>
      <c r="H75" s="103"/>
      <c r="I75" s="659"/>
      <c r="J75" s="280"/>
      <c r="K75" s="650"/>
    </row>
    <row r="76" spans="1:11" s="649" customFormat="1" ht="15" customHeight="1">
      <c r="A76" s="646"/>
      <c r="B76" s="202"/>
      <c r="C76" s="660" t="s">
        <v>816</v>
      </c>
      <c r="D76" s="182" t="s">
        <v>58</v>
      </c>
      <c r="E76" s="655">
        <v>1</v>
      </c>
      <c r="F76" s="103"/>
      <c r="G76" s="103"/>
      <c r="H76" s="103"/>
      <c r="I76" s="659"/>
      <c r="J76" s="280"/>
      <c r="K76" s="650"/>
    </row>
    <row r="77" spans="1:11" s="649" customFormat="1" ht="15" customHeight="1">
      <c r="A77" s="646"/>
      <c r="B77" s="202"/>
      <c r="C77" s="660" t="s">
        <v>568</v>
      </c>
      <c r="D77" s="182" t="s">
        <v>58</v>
      </c>
      <c r="E77" s="655">
        <v>5</v>
      </c>
      <c r="F77" s="103"/>
      <c r="G77" s="103"/>
      <c r="H77" s="103"/>
      <c r="I77" s="659"/>
      <c r="J77" s="280"/>
      <c r="K77" s="650"/>
    </row>
    <row r="78" spans="1:11" s="649" customFormat="1" ht="15" customHeight="1">
      <c r="A78" s="646"/>
      <c r="B78" s="202"/>
      <c r="C78" s="660" t="s">
        <v>567</v>
      </c>
      <c r="D78" s="182" t="s">
        <v>58</v>
      </c>
      <c r="E78" s="655">
        <v>1</v>
      </c>
      <c r="F78" s="103"/>
      <c r="G78" s="103"/>
      <c r="H78" s="103"/>
      <c r="I78" s="659"/>
      <c r="J78" s="280"/>
      <c r="K78" s="650"/>
    </row>
    <row r="79" spans="1:11" s="649" customFormat="1" ht="15" customHeight="1">
      <c r="A79" s="646"/>
      <c r="B79" s="202"/>
      <c r="C79" s="660"/>
      <c r="D79" s="182"/>
      <c r="E79" s="655"/>
      <c r="F79" s="103"/>
      <c r="G79" s="103"/>
      <c r="H79" s="103"/>
      <c r="I79" s="659"/>
      <c r="J79" s="280"/>
      <c r="K79" s="650"/>
    </row>
    <row r="80" spans="1:11" s="649" customFormat="1" ht="28.5" customHeight="1">
      <c r="A80" s="646"/>
      <c r="B80" s="202" t="s">
        <v>815</v>
      </c>
      <c r="C80" s="202" t="s">
        <v>814</v>
      </c>
      <c r="D80" s="182" t="s">
        <v>58</v>
      </c>
      <c r="E80" s="655">
        <v>8</v>
      </c>
      <c r="F80" s="103"/>
      <c r="G80" s="103"/>
      <c r="H80" s="103"/>
      <c r="I80" s="659">
        <f>E80</f>
        <v>8</v>
      </c>
      <c r="J80" s="280">
        <f>I80</f>
        <v>8</v>
      </c>
      <c r="K80" s="650"/>
    </row>
    <row r="81" spans="1:11" s="649" customFormat="1" ht="15" customHeight="1">
      <c r="A81" s="646"/>
      <c r="B81" s="202"/>
      <c r="C81" s="660" t="s">
        <v>813</v>
      </c>
      <c r="D81" s="182" t="s">
        <v>58</v>
      </c>
      <c r="E81" s="655">
        <v>1</v>
      </c>
      <c r="F81" s="103"/>
      <c r="G81" s="103"/>
      <c r="H81" s="103"/>
      <c r="I81" s="659"/>
      <c r="J81" s="280"/>
      <c r="K81" s="650"/>
    </row>
    <row r="82" spans="1:11" s="649" customFormat="1" ht="15" customHeight="1">
      <c r="A82" s="646"/>
      <c r="B82" s="202"/>
      <c r="C82" s="660" t="s">
        <v>812</v>
      </c>
      <c r="D82" s="182" t="s">
        <v>58</v>
      </c>
      <c r="E82" s="655">
        <v>2</v>
      </c>
      <c r="F82" s="103"/>
      <c r="G82" s="103"/>
      <c r="H82" s="103"/>
      <c r="I82" s="659"/>
      <c r="J82" s="280"/>
      <c r="K82" s="650"/>
    </row>
    <row r="83" spans="1:11" s="649" customFormat="1" ht="15" customHeight="1">
      <c r="A83" s="646"/>
      <c r="B83" s="202"/>
      <c r="C83" s="660" t="s">
        <v>575</v>
      </c>
      <c r="D83" s="182" t="s">
        <v>58</v>
      </c>
      <c r="E83" s="655">
        <v>2</v>
      </c>
      <c r="F83" s="103"/>
      <c r="G83" s="103"/>
      <c r="H83" s="103"/>
      <c r="I83" s="659"/>
      <c r="J83" s="280"/>
      <c r="K83" s="650"/>
    </row>
    <row r="84" spans="1:11" s="649" customFormat="1" ht="15" customHeight="1">
      <c r="A84" s="646"/>
      <c r="B84" s="202"/>
      <c r="C84" s="660" t="s">
        <v>811</v>
      </c>
      <c r="D84" s="182" t="s">
        <v>58</v>
      </c>
      <c r="E84" s="655">
        <v>2</v>
      </c>
      <c r="F84" s="103"/>
      <c r="G84" s="103"/>
      <c r="H84" s="103"/>
      <c r="I84" s="659"/>
      <c r="J84" s="280"/>
      <c r="K84" s="650"/>
    </row>
    <row r="85" spans="1:11" s="649" customFormat="1" ht="15" customHeight="1">
      <c r="A85" s="646"/>
      <c r="B85" s="202"/>
      <c r="C85" s="660" t="s">
        <v>810</v>
      </c>
      <c r="D85" s="182" t="s">
        <v>58</v>
      </c>
      <c r="E85" s="655">
        <v>1</v>
      </c>
      <c r="F85" s="103"/>
      <c r="G85" s="103"/>
      <c r="H85" s="103"/>
      <c r="I85" s="659"/>
      <c r="J85" s="280"/>
      <c r="K85" s="650"/>
    </row>
    <row r="86" spans="1:11" s="649" customFormat="1" ht="15" customHeight="1">
      <c r="A86" s="646"/>
      <c r="B86" s="202"/>
      <c r="C86" s="660" t="s">
        <v>809</v>
      </c>
      <c r="D86" s="182" t="s">
        <v>58</v>
      </c>
      <c r="E86" s="655">
        <v>1</v>
      </c>
      <c r="F86" s="103"/>
      <c r="G86" s="103"/>
      <c r="H86" s="103"/>
      <c r="I86" s="659"/>
      <c r="J86" s="280"/>
      <c r="K86" s="650"/>
    </row>
    <row r="87" spans="1:11" s="649" customFormat="1" ht="15" customHeight="1">
      <c r="A87" s="646"/>
      <c r="B87" s="202"/>
      <c r="C87" s="660" t="s">
        <v>808</v>
      </c>
      <c r="D87" s="182" t="s">
        <v>58</v>
      </c>
      <c r="E87" s="655">
        <v>1</v>
      </c>
      <c r="F87" s="103"/>
      <c r="G87" s="103"/>
      <c r="H87" s="103"/>
      <c r="I87" s="659"/>
      <c r="J87" s="280"/>
      <c r="K87" s="650"/>
    </row>
    <row r="88" spans="1:11" s="649" customFormat="1" ht="15" customHeight="1">
      <c r="A88" s="646"/>
      <c r="B88" s="202"/>
      <c r="C88" s="660" t="s">
        <v>807</v>
      </c>
      <c r="D88" s="182" t="s">
        <v>0</v>
      </c>
      <c r="E88" s="661">
        <v>1</v>
      </c>
      <c r="F88" s="103"/>
      <c r="G88" s="103"/>
      <c r="H88" s="103"/>
      <c r="I88" s="659"/>
      <c r="J88" s="280"/>
      <c r="K88" s="650"/>
    </row>
    <row r="89" spans="1:11" s="649" customFormat="1" ht="15" customHeight="1">
      <c r="A89" s="646"/>
      <c r="B89" s="202"/>
      <c r="C89" s="660" t="s">
        <v>806</v>
      </c>
      <c r="D89" s="182" t="s">
        <v>58</v>
      </c>
      <c r="E89" s="655">
        <v>1</v>
      </c>
      <c r="F89" s="103"/>
      <c r="G89" s="103"/>
      <c r="H89" s="103"/>
      <c r="I89" s="659"/>
      <c r="J89" s="280"/>
      <c r="K89" s="650"/>
    </row>
    <row r="90" spans="1:11" s="649" customFormat="1" ht="15" customHeight="1">
      <c r="A90" s="646"/>
      <c r="B90" s="202"/>
      <c r="C90" s="660" t="s">
        <v>568</v>
      </c>
      <c r="D90" s="182" t="s">
        <v>58</v>
      </c>
      <c r="E90" s="655">
        <v>5</v>
      </c>
      <c r="F90" s="103"/>
      <c r="G90" s="103"/>
      <c r="H90" s="103"/>
      <c r="I90" s="659"/>
      <c r="J90" s="280"/>
      <c r="K90" s="650"/>
    </row>
    <row r="91" spans="1:11" s="649" customFormat="1" ht="15" customHeight="1">
      <c r="A91" s="646"/>
      <c r="B91" s="202"/>
      <c r="C91" s="660" t="s">
        <v>567</v>
      </c>
      <c r="D91" s="182" t="s">
        <v>58</v>
      </c>
      <c r="E91" s="655">
        <v>1</v>
      </c>
      <c r="F91" s="103"/>
      <c r="G91" s="103"/>
      <c r="H91" s="103"/>
      <c r="I91" s="659"/>
      <c r="J91" s="280"/>
      <c r="K91" s="650"/>
    </row>
    <row r="92" spans="1:11" s="649" customFormat="1" ht="15" customHeight="1">
      <c r="A92" s="646"/>
      <c r="B92" s="202"/>
      <c r="C92" s="660"/>
      <c r="D92" s="182"/>
      <c r="E92" s="655"/>
      <c r="F92" s="103"/>
      <c r="G92" s="103"/>
      <c r="H92" s="103"/>
      <c r="I92" s="659"/>
      <c r="J92" s="280"/>
      <c r="K92" s="650"/>
    </row>
    <row r="93" spans="1:11" s="649" customFormat="1" ht="15" customHeight="1">
      <c r="A93" s="646"/>
      <c r="B93" s="202"/>
      <c r="C93" s="660"/>
      <c r="D93" s="182"/>
      <c r="E93" s="655"/>
      <c r="F93" s="103"/>
      <c r="G93" s="103"/>
      <c r="H93" s="103"/>
      <c r="I93" s="659"/>
      <c r="J93" s="280"/>
      <c r="K93" s="650"/>
    </row>
    <row r="94" spans="1:11" s="649" customFormat="1" ht="15" customHeight="1">
      <c r="A94" s="646"/>
      <c r="B94" s="658" t="str">
        <f>B$19 &amp; ".05"</f>
        <v>01.13.05</v>
      </c>
      <c r="C94" s="657" t="s">
        <v>513</v>
      </c>
      <c r="D94" s="195"/>
      <c r="E94" s="656">
        <f>+$E$19</f>
        <v>15</v>
      </c>
      <c r="F94" s="246"/>
      <c r="G94" s="246"/>
      <c r="H94" s="246"/>
      <c r="I94" s="246"/>
      <c r="J94" s="280"/>
      <c r="K94" s="650"/>
    </row>
    <row r="95" spans="1:11" s="649" customFormat="1" ht="15" customHeight="1">
      <c r="A95" s="646"/>
      <c r="B95" s="202" t="str">
        <f>B94 &amp;".01"</f>
        <v>01.13.05.01</v>
      </c>
      <c r="C95" s="202" t="s">
        <v>805</v>
      </c>
      <c r="D95" s="182" t="s">
        <v>0</v>
      </c>
      <c r="E95" s="655">
        <v>1</v>
      </c>
      <c r="F95" s="103">
        <f>+$F$20</f>
        <v>7.6950000000000012</v>
      </c>
      <c r="G95" s="103"/>
      <c r="H95" s="103"/>
      <c r="I95" s="448">
        <f>+ROUND(PRODUCT(E95:H95),2)</f>
        <v>7.7</v>
      </c>
      <c r="J95" s="280">
        <f>+I95*E94</f>
        <v>115.5</v>
      </c>
      <c r="K95" s="650"/>
    </row>
    <row r="96" spans="1:11" s="649" customFormat="1" ht="15" customHeight="1">
      <c r="A96" s="646"/>
      <c r="B96" s="202" t="str">
        <f>B94 &amp;".02"</f>
        <v>01.13.05.02</v>
      </c>
      <c r="C96" s="184" t="s">
        <v>520</v>
      </c>
      <c r="D96" s="182" t="s">
        <v>0</v>
      </c>
      <c r="E96" s="655">
        <v>1</v>
      </c>
      <c r="F96" s="103">
        <f>+$F$20</f>
        <v>7.6950000000000012</v>
      </c>
      <c r="G96" s="103"/>
      <c r="H96" s="103"/>
      <c r="I96" s="448">
        <f>+ROUND(PRODUCT(E96:H96),2)</f>
        <v>7.7</v>
      </c>
      <c r="J96" s="280">
        <f>+I96*E94</f>
        <v>115.5</v>
      </c>
      <c r="K96" s="650"/>
    </row>
    <row r="97" spans="2:11" s="649" customFormat="1" ht="15" customHeight="1">
      <c r="B97" s="654"/>
      <c r="C97" s="653"/>
      <c r="D97" s="652"/>
      <c r="E97" s="651"/>
      <c r="F97" s="239"/>
      <c r="G97" s="239"/>
      <c r="H97" s="239"/>
      <c r="I97" s="239"/>
      <c r="J97" s="239"/>
      <c r="K97" s="650"/>
    </row>
    <row r="98" spans="2:11" ht="15" customHeight="1"/>
    <row r="99" spans="2:11" ht="15" customHeight="1"/>
    <row r="100" spans="2:11" ht="15" customHeight="1"/>
    <row r="101" spans="2:11" ht="15" customHeight="1"/>
    <row r="102" spans="2:11" ht="15" customHeight="1"/>
    <row r="103" spans="2:11" ht="15" customHeight="1"/>
    <row r="104" spans="2:11" ht="15" customHeight="1"/>
    <row r="105" spans="2:11" ht="15" customHeight="1"/>
    <row r="106" spans="2:11" ht="15" customHeight="1"/>
    <row r="107" spans="2:11" ht="15" customHeight="1"/>
    <row r="108" spans="2:11" ht="15" customHeight="1"/>
    <row r="109" spans="2:11" ht="15" customHeight="1"/>
    <row r="110" spans="2:11" ht="15" customHeight="1"/>
    <row r="111" spans="2:11" ht="15" customHeight="1"/>
    <row r="112" spans="2:11" ht="15" customHeight="1"/>
    <row r="113" spans="7:7" ht="15" customHeight="1"/>
    <row r="114" spans="7:7" ht="15" customHeight="1"/>
    <row r="115" spans="7:7" ht="15" customHeight="1"/>
    <row r="116" spans="7:7" ht="15" customHeight="1"/>
    <row r="117" spans="7:7" ht="15" customHeight="1"/>
    <row r="118" spans="7:7" ht="15" customHeight="1"/>
    <row r="119" spans="7:7" ht="15" customHeight="1"/>
    <row r="120" spans="7:7" ht="15" customHeight="1"/>
    <row r="121" spans="7:7" ht="15" customHeight="1"/>
    <row r="122" spans="7:7" ht="15" customHeight="1"/>
    <row r="123" spans="7:7" ht="15" customHeight="1"/>
    <row r="124" spans="7:7" ht="15" customHeight="1"/>
    <row r="125" spans="7:7" ht="15" customHeight="1">
      <c r="G125" s="648"/>
    </row>
    <row r="126" spans="7:7" ht="15" customHeight="1"/>
    <row r="127" spans="7:7" ht="15" customHeight="1"/>
    <row r="128" spans="7:7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</sheetData>
  <mergeCells count="8">
    <mergeCell ref="P31:R31"/>
    <mergeCell ref="L25:N25"/>
    <mergeCell ref="P25:R25"/>
    <mergeCell ref="L31:N31"/>
    <mergeCell ref="B1:J1"/>
    <mergeCell ref="B3:J3"/>
    <mergeCell ref="B2:J2"/>
    <mergeCell ref="C5:H16"/>
  </mergeCells>
  <printOptions horizontalCentered="1"/>
  <pageMargins left="0.70866141732283472" right="0.70866141732283472" top="0.74803149606299213" bottom="0.94488188976377963" header="0.31496062992125984" footer="0.31496062992125984"/>
  <pageSetup paperSize="9" scale="56" fitToHeight="0" orientation="portrait" r:id="rId1"/>
  <headerFooter>
    <oddFooter>Página &amp;P&amp;R&amp;A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BD53-3B8F-42AD-9333-CA2C2B83F722}">
  <sheetPr codeName="Hoja18">
    <tabColor rgb="FFFF0000"/>
    <pageSetUpPr fitToPage="1"/>
  </sheetPr>
  <dimension ref="A1:K197"/>
  <sheetViews>
    <sheetView showGridLines="0" view="pageBreakPreview" topLeftCell="A109" zoomScale="80" zoomScaleNormal="100" zoomScaleSheetLayoutView="80" workbookViewId="0">
      <selection activeCell="A6" sqref="A6:I6"/>
    </sheetView>
  </sheetViews>
  <sheetFormatPr baseColWidth="10" defaultColWidth="14.6640625" defaultRowHeight="15" customHeight="1"/>
  <cols>
    <col min="1" max="1" width="13.33203125" style="708" customWidth="1"/>
    <col min="2" max="2" width="96" style="702" customWidth="1"/>
    <col min="3" max="3" width="10.33203125" style="707" customWidth="1"/>
    <col min="4" max="4" width="10.33203125" style="706" customWidth="1"/>
    <col min="5" max="7" width="10.33203125" style="705" customWidth="1"/>
    <col min="8" max="8" width="11.5" style="704" customWidth="1"/>
    <col min="9" max="9" width="12.5" style="703" customWidth="1"/>
    <col min="10" max="16384" width="14.6640625" style="702"/>
  </cols>
  <sheetData>
    <row r="1" spans="1:9" s="725" customFormat="1" ht="15" customHeight="1">
      <c r="A1" s="1203"/>
      <c r="B1" s="1203"/>
      <c r="C1" s="1203"/>
      <c r="D1" s="1203"/>
      <c r="E1" s="1203"/>
      <c r="F1" s="1203"/>
      <c r="G1" s="1203"/>
      <c r="H1" s="1203"/>
      <c r="I1" s="1203"/>
    </row>
    <row r="2" spans="1:9" s="725" customFormat="1" ht="18" customHeight="1">
      <c r="A2" s="1204" t="s">
        <v>786</v>
      </c>
      <c r="B2" s="1205"/>
      <c r="C2" s="1205"/>
      <c r="D2" s="1205"/>
      <c r="E2" s="1205"/>
      <c r="F2" s="1205"/>
      <c r="G2" s="1205"/>
      <c r="H2" s="1205"/>
      <c r="I2" s="1206"/>
    </row>
    <row r="3" spans="1:9" s="725" customFormat="1" ht="15" customHeight="1">
      <c r="A3" s="952" t="s">
        <v>1086</v>
      </c>
      <c r="B3" s="953"/>
      <c r="C3" s="953"/>
      <c r="D3" s="953"/>
      <c r="E3" s="953"/>
      <c r="F3" s="953"/>
      <c r="G3" s="953"/>
      <c r="H3" s="953"/>
      <c r="I3" s="1219"/>
    </row>
    <row r="4" spans="1:9" s="725" customFormat="1" ht="15" customHeight="1">
      <c r="A4" s="952"/>
      <c r="B4" s="953"/>
      <c r="C4" s="953"/>
      <c r="D4" s="953"/>
      <c r="E4" s="953"/>
      <c r="F4" s="953"/>
      <c r="G4" s="953"/>
      <c r="H4" s="953"/>
      <c r="I4" s="1219"/>
    </row>
    <row r="5" spans="1:9" s="725" customFormat="1" ht="15" customHeight="1">
      <c r="A5" s="952"/>
      <c r="B5" s="953"/>
      <c r="C5" s="953"/>
      <c r="D5" s="953"/>
      <c r="E5" s="953"/>
      <c r="F5" s="953"/>
      <c r="G5" s="953"/>
      <c r="H5" s="953"/>
      <c r="I5" s="1219"/>
    </row>
    <row r="6" spans="1:9" s="725" customFormat="1" ht="19.5" customHeight="1" thickBot="1">
      <c r="A6" s="1207" t="s">
        <v>912</v>
      </c>
      <c r="B6" s="1208"/>
      <c r="C6" s="1208"/>
      <c r="D6" s="1208"/>
      <c r="E6" s="1208"/>
      <c r="F6" s="1208"/>
      <c r="G6" s="1208"/>
      <c r="H6" s="1208"/>
      <c r="I6" s="1209"/>
    </row>
    <row r="7" spans="1:9" s="725" customFormat="1" ht="15" customHeight="1">
      <c r="A7" s="754"/>
      <c r="B7" s="43"/>
      <c r="C7" s="43"/>
      <c r="D7" s="45"/>
      <c r="E7" s="43"/>
      <c r="F7" s="43"/>
      <c r="G7" s="43"/>
      <c r="H7" s="755"/>
      <c r="I7" s="46"/>
    </row>
    <row r="8" spans="1:9" s="725" customFormat="1" ht="15" customHeight="1">
      <c r="A8" s="754"/>
      <c r="B8" s="1210"/>
      <c r="C8" s="1211"/>
      <c r="D8" s="1211"/>
      <c r="E8" s="1211"/>
      <c r="F8" s="1211"/>
      <c r="G8" s="1211"/>
      <c r="H8" s="1212"/>
      <c r="I8" s="46"/>
    </row>
    <row r="9" spans="1:9" s="725" customFormat="1" ht="15" customHeight="1">
      <c r="A9" s="754"/>
      <c r="B9" s="1213"/>
      <c r="C9" s="1214"/>
      <c r="D9" s="1214"/>
      <c r="E9" s="1214"/>
      <c r="F9" s="1214"/>
      <c r="G9" s="1214"/>
      <c r="H9" s="1215"/>
      <c r="I9" s="46"/>
    </row>
    <row r="10" spans="1:9" s="725" customFormat="1" ht="15" customHeight="1">
      <c r="A10" s="754"/>
      <c r="B10" s="1213"/>
      <c r="C10" s="1214"/>
      <c r="D10" s="1214"/>
      <c r="E10" s="1214"/>
      <c r="F10" s="1214"/>
      <c r="G10" s="1214"/>
      <c r="H10" s="1215"/>
      <c r="I10" s="46"/>
    </row>
    <row r="11" spans="1:9" s="725" customFormat="1" ht="15" customHeight="1">
      <c r="A11" s="754"/>
      <c r="B11" s="1213"/>
      <c r="C11" s="1214"/>
      <c r="D11" s="1214"/>
      <c r="E11" s="1214"/>
      <c r="F11" s="1214"/>
      <c r="G11" s="1214"/>
      <c r="H11" s="1215"/>
      <c r="I11" s="46"/>
    </row>
    <row r="12" spans="1:9" s="725" customFormat="1" ht="15" customHeight="1">
      <c r="A12" s="754"/>
      <c r="B12" s="1213"/>
      <c r="C12" s="1214"/>
      <c r="D12" s="1214"/>
      <c r="E12" s="1214"/>
      <c r="F12" s="1214"/>
      <c r="G12" s="1214"/>
      <c r="H12" s="1215"/>
      <c r="I12" s="46"/>
    </row>
    <row r="13" spans="1:9" s="725" customFormat="1" ht="15" customHeight="1">
      <c r="A13" s="754"/>
      <c r="B13" s="1213"/>
      <c r="C13" s="1214"/>
      <c r="D13" s="1214"/>
      <c r="E13" s="1214"/>
      <c r="F13" s="1214"/>
      <c r="G13" s="1214"/>
      <c r="H13" s="1215"/>
      <c r="I13" s="46"/>
    </row>
    <row r="14" spans="1:9" s="725" customFormat="1" ht="15" customHeight="1">
      <c r="A14" s="754"/>
      <c r="B14" s="1213"/>
      <c r="C14" s="1214"/>
      <c r="D14" s="1214"/>
      <c r="E14" s="1214"/>
      <c r="F14" s="1214"/>
      <c r="G14" s="1214"/>
      <c r="H14" s="1215"/>
      <c r="I14" s="46"/>
    </row>
    <row r="15" spans="1:9" s="725" customFormat="1" ht="15" customHeight="1">
      <c r="A15" s="754"/>
      <c r="B15" s="1213"/>
      <c r="C15" s="1214"/>
      <c r="D15" s="1214"/>
      <c r="E15" s="1214"/>
      <c r="F15" s="1214"/>
      <c r="G15" s="1214"/>
      <c r="H15" s="1215"/>
      <c r="I15" s="46"/>
    </row>
    <row r="16" spans="1:9" s="725" customFormat="1" ht="15" customHeight="1">
      <c r="A16" s="754"/>
      <c r="B16" s="1213"/>
      <c r="C16" s="1214"/>
      <c r="D16" s="1214"/>
      <c r="E16" s="1214"/>
      <c r="F16" s="1214"/>
      <c r="G16" s="1214"/>
      <c r="H16" s="1215"/>
      <c r="I16" s="46"/>
    </row>
    <row r="17" spans="1:11" s="725" customFormat="1" ht="15" customHeight="1">
      <c r="A17" s="754"/>
      <c r="B17" s="1213"/>
      <c r="C17" s="1214"/>
      <c r="D17" s="1214"/>
      <c r="E17" s="1214"/>
      <c r="F17" s="1214"/>
      <c r="G17" s="1214"/>
      <c r="H17" s="1215"/>
      <c r="I17" s="46"/>
    </row>
    <row r="18" spans="1:11" s="725" customFormat="1" ht="15" customHeight="1">
      <c r="A18" s="754"/>
      <c r="B18" s="1213"/>
      <c r="C18" s="1214"/>
      <c r="D18" s="1214"/>
      <c r="E18" s="1214"/>
      <c r="F18" s="1214"/>
      <c r="G18" s="1214"/>
      <c r="H18" s="1215"/>
      <c r="I18" s="46"/>
    </row>
    <row r="19" spans="1:11" s="725" customFormat="1" ht="15" customHeight="1">
      <c r="A19" s="754"/>
      <c r="B19" s="1216"/>
      <c r="C19" s="1217"/>
      <c r="D19" s="1217"/>
      <c r="E19" s="1217"/>
      <c r="F19" s="1217"/>
      <c r="G19" s="1217"/>
      <c r="H19" s="1218"/>
      <c r="I19" s="46"/>
    </row>
    <row r="20" spans="1:11" s="725" customFormat="1" ht="15" customHeight="1">
      <c r="A20" s="753"/>
      <c r="B20" s="751"/>
      <c r="C20" s="751"/>
      <c r="D20" s="752"/>
      <c r="E20" s="751"/>
      <c r="F20" s="751"/>
      <c r="G20" s="751"/>
      <c r="H20" s="750"/>
      <c r="I20" s="749"/>
    </row>
    <row r="21" spans="1:11" ht="15" customHeight="1" thickBot="1">
      <c r="A21" s="748" t="s">
        <v>1</v>
      </c>
      <c r="B21" s="218" t="s">
        <v>2</v>
      </c>
      <c r="C21" s="218" t="s">
        <v>325</v>
      </c>
      <c r="D21" s="218" t="s">
        <v>3</v>
      </c>
      <c r="E21" s="218" t="s">
        <v>324</v>
      </c>
      <c r="F21" s="218" t="s">
        <v>5</v>
      </c>
      <c r="G21" s="218" t="s">
        <v>6</v>
      </c>
      <c r="H21" s="218" t="s">
        <v>7</v>
      </c>
      <c r="I21" s="218" t="s">
        <v>8</v>
      </c>
      <c r="J21" s="747"/>
    </row>
    <row r="22" spans="1:11" ht="15" customHeight="1" thickTop="1">
      <c r="A22" s="694" t="str">
        <f>+"01.14"</f>
        <v>01.14</v>
      </c>
      <c r="B22" s="746" t="str">
        <f>+"LAVADERO MULTIUSO PARA VIVIENDAS DOMICILIARIAS  ("&amp;+D22&amp;" Und.)"</f>
        <v>LAVADERO MULTIUSO PARA VIVIENDAS DOMICILIARIAS  (13 Und.)</v>
      </c>
      <c r="C22" s="745"/>
      <c r="D22" s="744">
        <f>D23</f>
        <v>13</v>
      </c>
      <c r="E22" s="743"/>
      <c r="F22" s="743"/>
      <c r="G22" s="743"/>
      <c r="H22" s="743"/>
      <c r="I22" s="742"/>
    </row>
    <row r="23" spans="1:11" ht="15" customHeight="1">
      <c r="A23" s="658" t="str">
        <f>A$22 &amp; ".01"</f>
        <v>01.14.01</v>
      </c>
      <c r="B23" s="722" t="s">
        <v>107</v>
      </c>
      <c r="C23" s="260"/>
      <c r="D23" s="717">
        <v>13</v>
      </c>
      <c r="E23" s="247"/>
      <c r="F23" s="247"/>
      <c r="G23" s="247"/>
      <c r="H23" s="247"/>
      <c r="I23" s="245"/>
      <c r="K23" s="702" t="s">
        <v>911</v>
      </c>
    </row>
    <row r="24" spans="1:11" ht="15" customHeight="1">
      <c r="A24" s="666" t="str">
        <f>$A$23 &amp; ".01"</f>
        <v>01.14.01.01</v>
      </c>
      <c r="B24" s="721" t="s">
        <v>322</v>
      </c>
      <c r="C24" s="20" t="s">
        <v>909</v>
      </c>
      <c r="D24" s="260"/>
      <c r="E24" s="247"/>
      <c r="F24" s="247"/>
      <c r="G24" s="247"/>
      <c r="H24" s="245">
        <f>SUM(H25:H27)</f>
        <v>4.01</v>
      </c>
      <c r="I24" s="245">
        <f>H24*$D$23</f>
        <v>52.129999999999995</v>
      </c>
    </row>
    <row r="25" spans="1:11" ht="15" customHeight="1">
      <c r="A25" s="666"/>
      <c r="B25" s="719" t="s">
        <v>905</v>
      </c>
      <c r="C25" s="260"/>
      <c r="D25" s="260">
        <v>1</v>
      </c>
      <c r="E25" s="247"/>
      <c r="F25" s="247"/>
      <c r="G25" s="247"/>
      <c r="H25" s="448">
        <v>1.29</v>
      </c>
      <c r="I25" s="245"/>
    </row>
    <row r="26" spans="1:11" ht="15" customHeight="1">
      <c r="A26" s="666"/>
      <c r="B26" s="719" t="s">
        <v>904</v>
      </c>
      <c r="C26" s="260"/>
      <c r="D26" s="260">
        <v>1</v>
      </c>
      <c r="E26" s="247"/>
      <c r="F26" s="247"/>
      <c r="G26" s="247"/>
      <c r="H26" s="448">
        <v>2</v>
      </c>
      <c r="I26" s="245"/>
    </row>
    <row r="27" spans="1:11" ht="15" customHeight="1">
      <c r="A27" s="714"/>
      <c r="B27" s="719" t="s">
        <v>908</v>
      </c>
      <c r="C27" s="260"/>
      <c r="D27" s="260">
        <v>1</v>
      </c>
      <c r="E27" s="247">
        <v>1.2</v>
      </c>
      <c r="F27" s="247">
        <v>0.6</v>
      </c>
      <c r="G27" s="247"/>
      <c r="H27" s="448">
        <f>+ROUND(PRODUCT(D27:G27),2)</f>
        <v>0.72</v>
      </c>
      <c r="I27" s="245"/>
    </row>
    <row r="28" spans="1:11" ht="15" customHeight="1">
      <c r="A28" s="714"/>
      <c r="B28" s="273"/>
      <c r="C28" s="260"/>
      <c r="D28" s="260"/>
      <c r="E28" s="247"/>
      <c r="F28" s="247"/>
      <c r="G28" s="247"/>
      <c r="H28" s="448"/>
      <c r="I28" s="245"/>
    </row>
    <row r="29" spans="1:11" ht="15" customHeight="1">
      <c r="A29" s="666" t="str">
        <f>$A$23 &amp; ".02"</f>
        <v>01.14.01.02</v>
      </c>
      <c r="B29" s="721" t="s">
        <v>910</v>
      </c>
      <c r="C29" s="20" t="s">
        <v>909</v>
      </c>
      <c r="D29" s="260"/>
      <c r="E29" s="247"/>
      <c r="F29" s="247"/>
      <c r="G29" s="247"/>
      <c r="H29" s="245">
        <f>SUM(H30:H32)</f>
        <v>4.01</v>
      </c>
      <c r="I29" s="245">
        <f>H29*$D$23</f>
        <v>52.129999999999995</v>
      </c>
    </row>
    <row r="30" spans="1:11" ht="15" customHeight="1">
      <c r="A30" s="666"/>
      <c r="B30" s="719" t="s">
        <v>905</v>
      </c>
      <c r="C30" s="260"/>
      <c r="D30" s="260">
        <v>1</v>
      </c>
      <c r="E30" s="247"/>
      <c r="F30" s="247"/>
      <c r="G30" s="247"/>
      <c r="H30" s="448">
        <v>1.29</v>
      </c>
      <c r="I30" s="245"/>
    </row>
    <row r="31" spans="1:11" ht="15" customHeight="1">
      <c r="A31" s="666"/>
      <c r="B31" s="719" t="s">
        <v>904</v>
      </c>
      <c r="C31" s="260"/>
      <c r="D31" s="260">
        <v>1</v>
      </c>
      <c r="E31" s="247"/>
      <c r="F31" s="247"/>
      <c r="G31" s="247"/>
      <c r="H31" s="448">
        <v>2</v>
      </c>
      <c r="I31" s="245"/>
    </row>
    <row r="32" spans="1:11" ht="15" customHeight="1">
      <c r="A32" s="714"/>
      <c r="B32" s="719" t="s">
        <v>908</v>
      </c>
      <c r="C32" s="260"/>
      <c r="D32" s="260">
        <v>1</v>
      </c>
      <c r="E32" s="247">
        <f>E27</f>
        <v>1.2</v>
      </c>
      <c r="F32" s="247">
        <f>F27</f>
        <v>0.6</v>
      </c>
      <c r="G32" s="247"/>
      <c r="H32" s="448">
        <f>+ROUND(PRODUCT(D32:G32),2)</f>
        <v>0.72</v>
      </c>
      <c r="I32" s="245"/>
    </row>
    <row r="33" spans="1:9" ht="15" customHeight="1">
      <c r="A33" s="694"/>
      <c r="B33" s="741"/>
      <c r="C33" s="288"/>
      <c r="D33" s="691"/>
      <c r="E33" s="740"/>
      <c r="F33" s="740"/>
      <c r="G33" s="740"/>
      <c r="H33" s="740"/>
      <c r="I33" s="739"/>
    </row>
    <row r="34" spans="1:9" ht="15" customHeight="1">
      <c r="A34" s="666" t="str">
        <f>$A$23 &amp; ".03"</f>
        <v>01.14.01.03</v>
      </c>
      <c r="B34" s="721" t="s">
        <v>639</v>
      </c>
      <c r="C34" s="20" t="s">
        <v>909</v>
      </c>
      <c r="D34" s="260"/>
      <c r="E34" s="247"/>
      <c r="F34" s="247"/>
      <c r="G34" s="247"/>
      <c r="H34" s="245">
        <f>SUM(H35:H37)</f>
        <v>4.01</v>
      </c>
      <c r="I34" s="245">
        <f>H34*$D$23</f>
        <v>52.129999999999995</v>
      </c>
    </row>
    <row r="35" spans="1:9" ht="15" customHeight="1">
      <c r="A35" s="666"/>
      <c r="B35" s="719" t="s">
        <v>905</v>
      </c>
      <c r="C35" s="260"/>
      <c r="D35" s="260">
        <v>1</v>
      </c>
      <c r="E35" s="247"/>
      <c r="F35" s="247"/>
      <c r="G35" s="247"/>
      <c r="H35" s="448">
        <v>1.29</v>
      </c>
      <c r="I35" s="245"/>
    </row>
    <row r="36" spans="1:9" ht="15" customHeight="1">
      <c r="A36" s="666"/>
      <c r="B36" s="719" t="s">
        <v>904</v>
      </c>
      <c r="C36" s="260"/>
      <c r="D36" s="260">
        <v>1</v>
      </c>
      <c r="E36" s="247"/>
      <c r="F36" s="247"/>
      <c r="G36" s="247"/>
      <c r="H36" s="448">
        <v>2</v>
      </c>
      <c r="I36" s="245"/>
    </row>
    <row r="37" spans="1:9" ht="15" customHeight="1">
      <c r="A37" s="714"/>
      <c r="B37" s="719" t="s">
        <v>908</v>
      </c>
      <c r="C37" s="260"/>
      <c r="D37" s="260">
        <v>1</v>
      </c>
      <c r="E37" s="247">
        <f>E32</f>
        <v>1.2</v>
      </c>
      <c r="F37" s="247">
        <f>F32</f>
        <v>0.6</v>
      </c>
      <c r="G37" s="247"/>
      <c r="H37" s="448">
        <f>+ROUND(PRODUCT(D37:G37),2)</f>
        <v>0.72</v>
      </c>
      <c r="I37" s="245"/>
    </row>
    <row r="38" spans="1:9" ht="15" customHeight="1">
      <c r="A38" s="694"/>
      <c r="B38" s="496"/>
      <c r="C38" s="288"/>
      <c r="D38" s="691"/>
      <c r="E38" s="740"/>
      <c r="F38" s="740"/>
      <c r="G38" s="740"/>
      <c r="H38" s="740"/>
      <c r="I38" s="739"/>
    </row>
    <row r="39" spans="1:9" ht="15" customHeight="1">
      <c r="A39" s="658" t="str">
        <f>A$22 &amp; ".02"</f>
        <v>01.14.02</v>
      </c>
      <c r="B39" s="722" t="s">
        <v>101</v>
      </c>
      <c r="C39" s="260"/>
      <c r="D39" s="717">
        <f>+$D$22</f>
        <v>13</v>
      </c>
      <c r="E39" s="247"/>
      <c r="F39" s="247"/>
      <c r="G39" s="247"/>
      <c r="H39" s="247"/>
      <c r="I39" s="245"/>
    </row>
    <row r="40" spans="1:9" ht="15" customHeight="1">
      <c r="A40" s="666" t="str">
        <f>$A$39 &amp; ".01"</f>
        <v>01.14.02.01</v>
      </c>
      <c r="B40" s="721" t="s">
        <v>348</v>
      </c>
      <c r="C40" s="20" t="s">
        <v>93</v>
      </c>
      <c r="D40" s="260"/>
      <c r="E40" s="247"/>
      <c r="F40" s="247"/>
      <c r="G40" s="247"/>
      <c r="H40" s="245">
        <f>SUM(H41:H44)</f>
        <v>2.1199999999999997</v>
      </c>
      <c r="I40" s="245">
        <f>H40*$D$39</f>
        <v>27.559999999999995</v>
      </c>
    </row>
    <row r="41" spans="1:9" ht="15" customHeight="1">
      <c r="A41" s="714"/>
      <c r="B41" s="719" t="s">
        <v>905</v>
      </c>
      <c r="C41" s="260"/>
      <c r="D41" s="260">
        <v>1</v>
      </c>
      <c r="E41" s="247"/>
      <c r="F41" s="247"/>
      <c r="G41" s="247"/>
      <c r="H41" s="448">
        <f>+ROUND(PRODUCT(D41:G41),2)</f>
        <v>1</v>
      </c>
      <c r="I41" s="245"/>
    </row>
    <row r="42" spans="1:9" ht="15" customHeight="1">
      <c r="A42" s="714"/>
      <c r="B42" s="719" t="s">
        <v>904</v>
      </c>
      <c r="C42" s="260"/>
      <c r="D42" s="260">
        <v>1</v>
      </c>
      <c r="E42" s="247"/>
      <c r="F42" s="247"/>
      <c r="G42" s="247"/>
      <c r="H42" s="448">
        <f>+ROUND(PRODUCT(D42:G42),2)</f>
        <v>1</v>
      </c>
      <c r="I42" s="245"/>
    </row>
    <row r="43" spans="1:9" ht="15" customHeight="1">
      <c r="A43" s="714"/>
      <c r="B43" s="719" t="s">
        <v>907</v>
      </c>
      <c r="C43" s="260"/>
      <c r="D43" s="260">
        <v>2</v>
      </c>
      <c r="E43" s="247">
        <v>0.25</v>
      </c>
      <c r="F43" s="247">
        <v>0.65</v>
      </c>
      <c r="G43" s="247">
        <v>0.2</v>
      </c>
      <c r="H43" s="448">
        <f>+ROUND(PRODUCT(D43:G43),2)</f>
        <v>7.0000000000000007E-2</v>
      </c>
      <c r="I43" s="245"/>
    </row>
    <row r="44" spans="1:9" ht="15" customHeight="1">
      <c r="A44" s="714"/>
      <c r="B44" s="719" t="s">
        <v>906</v>
      </c>
      <c r="C44" s="260"/>
      <c r="D44" s="260">
        <v>1</v>
      </c>
      <c r="E44" s="260">
        <v>0.8</v>
      </c>
      <c r="F44" s="260">
        <v>0.65</v>
      </c>
      <c r="G44" s="260">
        <v>0.1</v>
      </c>
      <c r="H44" s="448">
        <f>+ROUND(PRODUCT(D44:G44),2)</f>
        <v>0.05</v>
      </c>
      <c r="I44" s="245"/>
    </row>
    <row r="45" spans="1:9" ht="15" customHeight="1">
      <c r="A45" s="714"/>
      <c r="B45" s="718" t="s">
        <v>108</v>
      </c>
      <c r="C45" s="260"/>
      <c r="D45" s="260"/>
      <c r="E45" s="247"/>
      <c r="F45" s="247"/>
      <c r="G45" s="247"/>
      <c r="H45" s="247"/>
      <c r="I45" s="245"/>
    </row>
    <row r="46" spans="1:9" ht="15" customHeight="1">
      <c r="A46" s="666" t="str">
        <f>$A$39 &amp; ".02"</f>
        <v>01.14.02.02</v>
      </c>
      <c r="B46" s="721" t="s">
        <v>240</v>
      </c>
      <c r="C46" s="20" t="s">
        <v>93</v>
      </c>
      <c r="D46" s="260"/>
      <c r="E46" s="247"/>
      <c r="F46" s="247"/>
      <c r="G46" s="247"/>
      <c r="H46" s="245">
        <f>SUM(H47:H49)</f>
        <v>2.0699999999999998</v>
      </c>
      <c r="I46" s="245">
        <f>H46*$D$39</f>
        <v>26.909999999999997</v>
      </c>
    </row>
    <row r="47" spans="1:9" ht="15" customHeight="1">
      <c r="A47" s="714"/>
      <c r="B47" s="719" t="s">
        <v>905</v>
      </c>
      <c r="C47" s="260"/>
      <c r="D47" s="260">
        <f>D41</f>
        <v>1</v>
      </c>
      <c r="E47" s="247"/>
      <c r="F47" s="247"/>
      <c r="G47" s="247"/>
      <c r="H47" s="448">
        <f>+ROUND(PRODUCT(D47:G47),2)</f>
        <v>1</v>
      </c>
      <c r="I47" s="245"/>
    </row>
    <row r="48" spans="1:9" ht="15" customHeight="1">
      <c r="A48" s="714"/>
      <c r="B48" s="719" t="s">
        <v>904</v>
      </c>
      <c r="C48" s="260"/>
      <c r="D48" s="260">
        <f>D47</f>
        <v>1</v>
      </c>
      <c r="E48" s="247"/>
      <c r="F48" s="247"/>
      <c r="G48" s="247"/>
      <c r="H48" s="448">
        <f>+ROUND(PRODUCT(D48:G48),2)</f>
        <v>1</v>
      </c>
      <c r="I48" s="245"/>
    </row>
    <row r="49" spans="1:9" ht="15" customHeight="1">
      <c r="A49" s="714"/>
      <c r="B49" s="719" t="s">
        <v>903</v>
      </c>
      <c r="C49" s="260"/>
      <c r="D49" s="260">
        <v>2</v>
      </c>
      <c r="E49" s="247">
        <f>E43</f>
        <v>0.25</v>
      </c>
      <c r="F49" s="247">
        <f>F43</f>
        <v>0.65</v>
      </c>
      <c r="G49" s="247">
        <f>G43</f>
        <v>0.2</v>
      </c>
      <c r="H49" s="448">
        <f>+ROUND(PRODUCT(D49:G49),2)</f>
        <v>7.0000000000000007E-2</v>
      </c>
      <c r="I49" s="245"/>
    </row>
    <row r="50" spans="1:9" ht="15" customHeight="1">
      <c r="A50" s="714"/>
      <c r="B50" s="719" t="s">
        <v>108</v>
      </c>
      <c r="C50" s="260"/>
      <c r="D50" s="260"/>
      <c r="E50" s="247"/>
      <c r="F50" s="247"/>
      <c r="G50" s="247"/>
      <c r="H50" s="247"/>
      <c r="I50" s="245"/>
    </row>
    <row r="51" spans="1:9" ht="15" customHeight="1">
      <c r="A51" s="666" t="str">
        <f>$A$39 &amp; ".03"</f>
        <v>01.14.02.03</v>
      </c>
      <c r="B51" s="842" t="s">
        <v>1062</v>
      </c>
      <c r="C51" s="20" t="s">
        <v>93</v>
      </c>
      <c r="D51" s="260"/>
      <c r="E51" s="247"/>
      <c r="F51" s="247"/>
      <c r="G51" s="247"/>
      <c r="H51" s="245">
        <f>SUM(H52:H53)</f>
        <v>0.98</v>
      </c>
      <c r="I51" s="245">
        <f>H51*$D$39</f>
        <v>12.74</v>
      </c>
    </row>
    <row r="52" spans="1:9" ht="15" customHeight="1">
      <c r="A52" s="714"/>
      <c r="B52" s="107" t="s">
        <v>238</v>
      </c>
      <c r="C52" s="20"/>
      <c r="D52" s="105">
        <v>1</v>
      </c>
      <c r="E52" s="103">
        <v>1.2</v>
      </c>
      <c r="F52" s="103" t="s">
        <v>236</v>
      </c>
      <c r="G52" s="247">
        <f>1.2*H40</f>
        <v>2.5439999999999996</v>
      </c>
      <c r="H52" s="448">
        <f>+ROUND(PRODUCT(D52:G52),2)</f>
        <v>3.05</v>
      </c>
      <c r="I52" s="245"/>
    </row>
    <row r="53" spans="1:9" ht="15" customHeight="1">
      <c r="A53" s="714"/>
      <c r="B53" s="107" t="s">
        <v>314</v>
      </c>
      <c r="C53" s="20"/>
      <c r="D53" s="105">
        <v>-1</v>
      </c>
      <c r="E53" s="103">
        <v>1</v>
      </c>
      <c r="F53" s="103" t="s">
        <v>236</v>
      </c>
      <c r="G53" s="247">
        <f>+H46</f>
        <v>2.0699999999999998</v>
      </c>
      <c r="H53" s="448">
        <f>+ROUND(PRODUCT(D53:G53),2)</f>
        <v>-2.0699999999999998</v>
      </c>
      <c r="I53" s="245"/>
    </row>
    <row r="54" spans="1:9" ht="15" customHeight="1">
      <c r="A54" s="714"/>
      <c r="B54" s="107"/>
      <c r="C54" s="20"/>
      <c r="D54" s="105"/>
      <c r="E54" s="103"/>
      <c r="F54" s="103"/>
      <c r="G54" s="247"/>
      <c r="H54" s="448"/>
      <c r="I54" s="245"/>
    </row>
    <row r="55" spans="1:9" ht="15" customHeight="1">
      <c r="A55" s="658" t="str">
        <f>A$22 &amp; ".03"</f>
        <v>01.14.03</v>
      </c>
      <c r="B55" s="722" t="s">
        <v>95</v>
      </c>
      <c r="C55" s="260"/>
      <c r="D55" s="717">
        <f>+$D$22</f>
        <v>13</v>
      </c>
      <c r="E55" s="247"/>
      <c r="F55" s="247"/>
      <c r="G55" s="247"/>
      <c r="H55" s="247"/>
      <c r="I55" s="245"/>
    </row>
    <row r="56" spans="1:9" ht="15" customHeight="1">
      <c r="A56" s="666" t="str">
        <f>$A$55 &amp; ".01"</f>
        <v>01.14.03.01</v>
      </c>
      <c r="B56" s="721" t="s">
        <v>901</v>
      </c>
      <c r="C56" s="20" t="s">
        <v>93</v>
      </c>
      <c r="D56" s="260"/>
      <c r="E56" s="247"/>
      <c r="F56" s="247"/>
      <c r="G56" s="247"/>
      <c r="H56" s="245">
        <f>SUM(H57:H57)</f>
        <v>7.0000000000000007E-2</v>
      </c>
      <c r="I56" s="245">
        <f>H56*$D$55</f>
        <v>0.91000000000000014</v>
      </c>
    </row>
    <row r="57" spans="1:9" ht="15" customHeight="1">
      <c r="A57" s="714"/>
      <c r="B57" s="719" t="s">
        <v>900</v>
      </c>
      <c r="C57" s="260"/>
      <c r="D57" s="260">
        <v>2</v>
      </c>
      <c r="E57" s="247">
        <f>+E43</f>
        <v>0.25</v>
      </c>
      <c r="F57" s="247">
        <v>0.7</v>
      </c>
      <c r="G57" s="247">
        <f>+G43</f>
        <v>0.2</v>
      </c>
      <c r="H57" s="448">
        <f>+ROUND(PRODUCT(D57:G57),2)</f>
        <v>7.0000000000000007E-2</v>
      </c>
      <c r="I57" s="245"/>
    </row>
    <row r="58" spans="1:9" ht="15" customHeight="1">
      <c r="A58" s="714"/>
      <c r="B58" s="273"/>
      <c r="C58" s="260"/>
      <c r="D58" s="260"/>
      <c r="E58" s="247"/>
      <c r="F58" s="247"/>
      <c r="G58" s="247"/>
      <c r="H58" s="448"/>
      <c r="I58" s="245"/>
    </row>
    <row r="59" spans="1:9" s="725" customFormat="1" ht="15" customHeight="1">
      <c r="A59" s="738" t="str">
        <f>A$22 &amp; ".04"</f>
        <v>01.14.04</v>
      </c>
      <c r="B59" s="737" t="s">
        <v>467</v>
      </c>
      <c r="C59" s="730"/>
      <c r="D59" s="736">
        <f>+$D$22</f>
        <v>13</v>
      </c>
      <c r="E59" s="728"/>
      <c r="F59" s="728"/>
      <c r="G59" s="728"/>
      <c r="H59" s="728"/>
      <c r="I59" s="726"/>
    </row>
    <row r="60" spans="1:9" s="725" customFormat="1" ht="15" customHeight="1">
      <c r="A60" s="735" t="str">
        <f>$A$59 &amp; ".01"</f>
        <v>01.14.04.01</v>
      </c>
      <c r="B60" s="733" t="s">
        <v>899</v>
      </c>
      <c r="C60" s="734" t="s">
        <v>93</v>
      </c>
      <c r="D60" s="730"/>
      <c r="E60" s="728"/>
      <c r="F60" s="728"/>
      <c r="G60" s="728"/>
      <c r="H60" s="726">
        <f>SUM(H61:H66)</f>
        <v>0.43</v>
      </c>
      <c r="I60" s="726">
        <f>H60*$D$59</f>
        <v>5.59</v>
      </c>
    </row>
    <row r="61" spans="1:9" s="725" customFormat="1" ht="15" customHeight="1">
      <c r="A61" s="732"/>
      <c r="B61" s="731" t="s">
        <v>898</v>
      </c>
      <c r="C61" s="734"/>
      <c r="D61" s="729">
        <v>2</v>
      </c>
      <c r="E61" s="728">
        <v>1.2</v>
      </c>
      <c r="F61" s="728">
        <v>0.08</v>
      </c>
      <c r="G61" s="728">
        <v>0.25</v>
      </c>
      <c r="H61" s="727">
        <f t="shared" ref="H61:H66" si="0">+ROUND(PRODUCT(D61:G61),2)</f>
        <v>0.05</v>
      </c>
      <c r="I61" s="726"/>
    </row>
    <row r="62" spans="1:9" s="725" customFormat="1" ht="15" customHeight="1">
      <c r="A62" s="732"/>
      <c r="B62" s="731" t="s">
        <v>897</v>
      </c>
      <c r="C62" s="734"/>
      <c r="D62" s="729">
        <v>1</v>
      </c>
      <c r="E62" s="728" t="s">
        <v>896</v>
      </c>
      <c r="F62" s="728">
        <v>0.52</v>
      </c>
      <c r="G62" s="728">
        <v>0.56399999999999995</v>
      </c>
      <c r="H62" s="727">
        <f t="shared" si="0"/>
        <v>0.28999999999999998</v>
      </c>
      <c r="I62" s="726"/>
    </row>
    <row r="63" spans="1:9" s="725" customFormat="1" ht="15" customHeight="1">
      <c r="A63" s="732"/>
      <c r="B63" s="731" t="s">
        <v>895</v>
      </c>
      <c r="C63" s="734"/>
      <c r="D63" s="729">
        <v>1</v>
      </c>
      <c r="E63" s="728">
        <v>0.08</v>
      </c>
      <c r="F63" s="728">
        <v>0.44</v>
      </c>
      <c r="G63" s="728">
        <v>0.25</v>
      </c>
      <c r="H63" s="727">
        <f t="shared" si="0"/>
        <v>0.01</v>
      </c>
      <c r="I63" s="726"/>
    </row>
    <row r="64" spans="1:9" s="725" customFormat="1" ht="15" customHeight="1">
      <c r="A64" s="732"/>
      <c r="B64" s="731" t="s">
        <v>894</v>
      </c>
      <c r="C64" s="730"/>
      <c r="D64" s="729">
        <v>1</v>
      </c>
      <c r="E64" s="728">
        <v>0.08</v>
      </c>
      <c r="F64" s="728">
        <v>0.44</v>
      </c>
      <c r="G64" s="728">
        <v>0.3</v>
      </c>
      <c r="H64" s="727">
        <f t="shared" si="0"/>
        <v>0.01</v>
      </c>
      <c r="I64" s="726"/>
    </row>
    <row r="65" spans="1:9" s="725" customFormat="1" ht="15" customHeight="1">
      <c r="A65" s="732"/>
      <c r="B65" s="731" t="s">
        <v>893</v>
      </c>
      <c r="C65" s="730"/>
      <c r="D65" s="729">
        <v>1</v>
      </c>
      <c r="E65" s="728">
        <v>0.08</v>
      </c>
      <c r="F65" s="728">
        <v>0.44</v>
      </c>
      <c r="G65" s="728">
        <v>0.25</v>
      </c>
      <c r="H65" s="727">
        <f t="shared" si="0"/>
        <v>0.01</v>
      </c>
      <c r="I65" s="726"/>
    </row>
    <row r="66" spans="1:9" s="725" customFormat="1" ht="15" customHeight="1">
      <c r="A66" s="732"/>
      <c r="B66" s="731" t="s">
        <v>892</v>
      </c>
      <c r="C66" s="730"/>
      <c r="D66" s="729">
        <v>1</v>
      </c>
      <c r="E66" s="728">
        <f>E61</f>
        <v>1.2</v>
      </c>
      <c r="F66" s="728">
        <v>0.08</v>
      </c>
      <c r="G66" s="728">
        <v>0.67</v>
      </c>
      <c r="H66" s="727">
        <f t="shared" si="0"/>
        <v>0.06</v>
      </c>
      <c r="I66" s="726"/>
    </row>
    <row r="67" spans="1:9" s="725" customFormat="1" ht="15" customHeight="1">
      <c r="A67" s="732"/>
      <c r="B67" s="731"/>
      <c r="C67" s="730"/>
      <c r="D67" s="729"/>
      <c r="E67" s="728"/>
      <c r="F67" s="728"/>
      <c r="G67" s="728"/>
      <c r="H67" s="727"/>
      <c r="I67" s="726"/>
    </row>
    <row r="68" spans="1:9" s="725" customFormat="1" ht="15" customHeight="1">
      <c r="A68" s="732" t="str">
        <f>$A$59 &amp; ".02"</f>
        <v>01.14.04.02</v>
      </c>
      <c r="B68" s="733" t="s">
        <v>891</v>
      </c>
      <c r="C68" s="730" t="s">
        <v>93</v>
      </c>
      <c r="D68" s="729"/>
      <c r="E68" s="728"/>
      <c r="F68" s="728"/>
      <c r="G68" s="728"/>
      <c r="H68" s="726">
        <f>SUM(H69:H70)</f>
        <v>0.08</v>
      </c>
      <c r="I68" s="726">
        <f>H68*D59</f>
        <v>1.04</v>
      </c>
    </row>
    <row r="69" spans="1:9" s="725" customFormat="1" ht="15" customHeight="1">
      <c r="A69" s="732"/>
      <c r="B69" s="731" t="s">
        <v>890</v>
      </c>
      <c r="C69" s="730"/>
      <c r="D69" s="729">
        <v>1</v>
      </c>
      <c r="E69" s="728">
        <v>1.2</v>
      </c>
      <c r="F69" s="728">
        <v>0.6</v>
      </c>
      <c r="G69" s="728">
        <v>0.08</v>
      </c>
      <c r="H69" s="727">
        <f>+ROUND(PRODUCT(D69:G69),2)</f>
        <v>0.06</v>
      </c>
      <c r="I69" s="726"/>
    </row>
    <row r="70" spans="1:9" s="725" customFormat="1" ht="15" customHeight="1">
      <c r="A70" s="732"/>
      <c r="B70" s="731" t="s">
        <v>889</v>
      </c>
      <c r="C70" s="730"/>
      <c r="D70" s="729">
        <v>1</v>
      </c>
      <c r="E70" s="728">
        <v>0.45279999999999998</v>
      </c>
      <c r="F70" s="728">
        <v>0.52</v>
      </c>
      <c r="G70" s="728">
        <v>0.08</v>
      </c>
      <c r="H70" s="727">
        <f>+ROUND(PRODUCT(D70:G70),2)</f>
        <v>0.02</v>
      </c>
      <c r="I70" s="726"/>
    </row>
    <row r="71" spans="1:9" s="725" customFormat="1" ht="15" customHeight="1">
      <c r="A71" s="732"/>
      <c r="B71" s="731"/>
      <c r="C71" s="730"/>
      <c r="D71" s="729"/>
      <c r="E71" s="728"/>
      <c r="F71" s="728"/>
      <c r="G71" s="728"/>
      <c r="H71" s="727"/>
      <c r="I71" s="726"/>
    </row>
    <row r="72" spans="1:9" ht="15" customHeight="1">
      <c r="A72" s="666" t="str">
        <f>$A$59 &amp; ".03"</f>
        <v>01.14.04.03</v>
      </c>
      <c r="B72" s="721" t="s">
        <v>888</v>
      </c>
      <c r="C72" s="20" t="s">
        <v>55</v>
      </c>
      <c r="D72" s="260"/>
      <c r="E72" s="247"/>
      <c r="F72" s="247"/>
      <c r="G72" s="247"/>
      <c r="H72" s="245">
        <f>SUM(H73:H78)</f>
        <v>2.6880000000000006</v>
      </c>
      <c r="I72" s="245">
        <f>H72*$D$59</f>
        <v>34.94400000000001</v>
      </c>
    </row>
    <row r="73" spans="1:9" ht="15" customHeight="1">
      <c r="A73" s="714"/>
      <c r="B73" s="719" t="s">
        <v>887</v>
      </c>
      <c r="C73" s="260"/>
      <c r="D73" s="260">
        <v>1</v>
      </c>
      <c r="E73" s="247">
        <v>0.67</v>
      </c>
      <c r="F73" s="247"/>
      <c r="G73" s="247">
        <f>G61</f>
        <v>0.25</v>
      </c>
      <c r="H73" s="448">
        <f t="shared" ref="H73:H78" si="1">+ROUND(PRODUCT(D73:G73),3)</f>
        <v>0.16800000000000001</v>
      </c>
      <c r="I73" s="245"/>
    </row>
    <row r="74" spans="1:9" ht="15" customHeight="1">
      <c r="A74" s="714"/>
      <c r="B74" s="719" t="s">
        <v>862</v>
      </c>
      <c r="C74" s="260"/>
      <c r="D74" s="260">
        <v>1</v>
      </c>
      <c r="E74" s="247">
        <v>0.83</v>
      </c>
      <c r="F74" s="247"/>
      <c r="G74" s="247">
        <f>G61</f>
        <v>0.25</v>
      </c>
      <c r="H74" s="448">
        <f t="shared" si="1"/>
        <v>0.20799999999999999</v>
      </c>
      <c r="I74" s="245"/>
    </row>
    <row r="75" spans="1:9" ht="15" customHeight="1">
      <c r="A75" s="714"/>
      <c r="B75" s="719" t="s">
        <v>886</v>
      </c>
      <c r="C75" s="260"/>
      <c r="D75" s="260">
        <v>2</v>
      </c>
      <c r="E75" s="247">
        <f>E32</f>
        <v>1.2</v>
      </c>
      <c r="F75" s="247"/>
      <c r="G75" s="247">
        <f>G66</f>
        <v>0.67</v>
      </c>
      <c r="H75" s="448">
        <f t="shared" si="1"/>
        <v>1.6080000000000001</v>
      </c>
      <c r="I75" s="245"/>
    </row>
    <row r="76" spans="1:9" ht="15" customHeight="1">
      <c r="A76" s="714"/>
      <c r="B76" s="719" t="s">
        <v>885</v>
      </c>
      <c r="C76" s="260"/>
      <c r="D76" s="260">
        <v>2</v>
      </c>
      <c r="E76" s="247"/>
      <c r="F76" s="247">
        <v>0.44</v>
      </c>
      <c r="G76" s="247">
        <v>0.25</v>
      </c>
      <c r="H76" s="448">
        <f t="shared" si="1"/>
        <v>0.22</v>
      </c>
      <c r="I76" s="245"/>
    </row>
    <row r="77" spans="1:9" ht="15" customHeight="1">
      <c r="A77" s="714"/>
      <c r="B77" s="719" t="s">
        <v>884</v>
      </c>
      <c r="C77" s="260"/>
      <c r="D77" s="260">
        <v>2</v>
      </c>
      <c r="E77" s="247"/>
      <c r="F77" s="247">
        <v>0.44</v>
      </c>
      <c r="G77" s="247">
        <v>0.25</v>
      </c>
      <c r="H77" s="448">
        <f t="shared" si="1"/>
        <v>0.22</v>
      </c>
      <c r="I77" s="245"/>
    </row>
    <row r="78" spans="1:9" ht="15" customHeight="1">
      <c r="A78" s="714"/>
      <c r="B78" s="719" t="s">
        <v>883</v>
      </c>
      <c r="C78" s="260"/>
      <c r="D78" s="260">
        <v>2</v>
      </c>
      <c r="E78" s="247"/>
      <c r="F78" s="247">
        <v>0.44</v>
      </c>
      <c r="G78" s="247">
        <v>0.3</v>
      </c>
      <c r="H78" s="448">
        <f t="shared" si="1"/>
        <v>0.26400000000000001</v>
      </c>
      <c r="I78" s="245"/>
    </row>
    <row r="79" spans="1:9" ht="15" customHeight="1">
      <c r="A79" s="714"/>
      <c r="B79" s="719"/>
      <c r="C79" s="260"/>
      <c r="D79" s="260"/>
      <c r="E79" s="247"/>
      <c r="F79" s="247"/>
      <c r="G79" s="247"/>
      <c r="H79" s="448"/>
      <c r="I79" s="245"/>
    </row>
    <row r="80" spans="1:9" ht="15" customHeight="1">
      <c r="A80" s="714" t="str">
        <f>$A$59 &amp; ".04"</f>
        <v>01.14.04.04</v>
      </c>
      <c r="B80" s="721" t="s">
        <v>882</v>
      </c>
      <c r="C80" s="260" t="s">
        <v>55</v>
      </c>
      <c r="D80" s="260"/>
      <c r="E80" s="247"/>
      <c r="F80" s="247"/>
      <c r="G80" s="247"/>
      <c r="H80" s="245">
        <f>SUM(H81:H86)</f>
        <v>0.63200000000000001</v>
      </c>
      <c r="I80" s="245">
        <f>H80*$D$59</f>
        <v>8.2159999999999993</v>
      </c>
    </row>
    <row r="81" spans="1:9" ht="15" customHeight="1">
      <c r="A81" s="714"/>
      <c r="B81" s="719" t="s">
        <v>881</v>
      </c>
      <c r="C81" s="260"/>
      <c r="D81" s="260">
        <v>2</v>
      </c>
      <c r="E81" s="247">
        <v>1.2</v>
      </c>
      <c r="F81" s="247"/>
      <c r="G81" s="247">
        <v>0.08</v>
      </c>
      <c r="H81" s="448">
        <f>+ROUND(PRODUCT(D81:G81),3)</f>
        <v>0.192</v>
      </c>
      <c r="I81" s="245"/>
    </row>
    <row r="82" spans="1:9" ht="15" customHeight="1">
      <c r="A82" s="714"/>
      <c r="B82" s="719" t="s">
        <v>880</v>
      </c>
      <c r="C82" s="260"/>
      <c r="D82" s="260">
        <v>2</v>
      </c>
      <c r="E82" s="247">
        <v>1.2</v>
      </c>
      <c r="F82" s="247"/>
      <c r="G82" s="247">
        <v>0.08</v>
      </c>
      <c r="H82" s="448">
        <f>+ROUND(PRODUCT(D82:G82),3)</f>
        <v>0.192</v>
      </c>
      <c r="I82" s="245"/>
    </row>
    <row r="83" spans="1:9" ht="15" customHeight="1">
      <c r="A83" s="714"/>
      <c r="B83" s="719" t="s">
        <v>863</v>
      </c>
      <c r="C83" s="260"/>
      <c r="D83" s="260">
        <v>2</v>
      </c>
      <c r="E83" s="247"/>
      <c r="F83" s="247">
        <v>0.6</v>
      </c>
      <c r="G83" s="247">
        <v>0.08</v>
      </c>
      <c r="H83" s="448">
        <f>+ROUND(PRODUCT(D83:G83),3)</f>
        <v>9.6000000000000002E-2</v>
      </c>
      <c r="I83" s="245"/>
    </row>
    <row r="84" spans="1:9" ht="15" customHeight="1">
      <c r="A84" s="714"/>
      <c r="B84" s="719" t="s">
        <v>879</v>
      </c>
      <c r="C84" s="260"/>
      <c r="D84" s="260">
        <v>1</v>
      </c>
      <c r="E84" s="247">
        <v>0.2918</v>
      </c>
      <c r="F84" s="247">
        <v>0.52</v>
      </c>
      <c r="G84" s="247"/>
      <c r="H84" s="448">
        <f>+ROUND(PRODUCT(D84:G84),3)</f>
        <v>0.152</v>
      </c>
      <c r="I84" s="245"/>
    </row>
    <row r="85" spans="1:9" ht="15" customHeight="1">
      <c r="A85" s="714"/>
      <c r="B85" s="719"/>
      <c r="C85" s="260"/>
      <c r="D85" s="260"/>
      <c r="E85" s="247"/>
      <c r="F85" s="247"/>
      <c r="G85" s="247"/>
      <c r="H85" s="448"/>
      <c r="I85" s="245"/>
    </row>
    <row r="86" spans="1:9" ht="15" customHeight="1">
      <c r="A86" s="714"/>
      <c r="B86" s="273"/>
      <c r="C86" s="260"/>
      <c r="D86" s="260"/>
      <c r="E86" s="247"/>
      <c r="F86" s="247"/>
      <c r="G86" s="247"/>
      <c r="H86" s="247"/>
      <c r="I86" s="245"/>
    </row>
    <row r="87" spans="1:9" ht="15" customHeight="1">
      <c r="A87" s="666" t="str">
        <f>$A$59 &amp; ".05"</f>
        <v>01.14.04.05</v>
      </c>
      <c r="B87" s="721" t="s">
        <v>188</v>
      </c>
      <c r="C87" s="20" t="s">
        <v>187</v>
      </c>
      <c r="D87" s="105"/>
      <c r="E87" s="103"/>
      <c r="F87" s="103"/>
      <c r="G87" s="103"/>
      <c r="H87" s="280">
        <f>+H88</f>
        <v>12.046696799999999</v>
      </c>
      <c r="I87" s="245">
        <f>H87*$D$59</f>
        <v>156.6070584</v>
      </c>
    </row>
    <row r="88" spans="1:9" ht="15" customHeight="1">
      <c r="A88" s="714"/>
      <c r="B88" s="719" t="s">
        <v>663</v>
      </c>
      <c r="C88" s="20"/>
      <c r="D88" s="105">
        <v>1</v>
      </c>
      <c r="E88" s="103"/>
      <c r="F88" s="103"/>
      <c r="G88" s="103"/>
      <c r="H88" s="448">
        <f>'1.14 M- ACERO LAV.'!O243</f>
        <v>12.046696799999999</v>
      </c>
      <c r="I88" s="245"/>
    </row>
    <row r="89" spans="1:9" ht="15" customHeight="1">
      <c r="A89" s="714"/>
      <c r="B89" s="723"/>
      <c r="C89" s="20"/>
      <c r="D89" s="105"/>
      <c r="E89" s="103"/>
      <c r="F89" s="103"/>
      <c r="G89" s="103"/>
      <c r="H89" s="705"/>
      <c r="I89" s="245"/>
    </row>
    <row r="90" spans="1:9" ht="15" customHeight="1">
      <c r="A90" s="658" t="str">
        <f>A$22 &amp; ".05"</f>
        <v>01.14.05</v>
      </c>
      <c r="B90" s="722" t="s">
        <v>878</v>
      </c>
      <c r="C90" s="260"/>
      <c r="D90" s="717">
        <f>+$D$22</f>
        <v>13</v>
      </c>
      <c r="E90" s="247"/>
      <c r="F90" s="247"/>
      <c r="G90" s="247"/>
      <c r="H90" s="247"/>
      <c r="I90" s="245"/>
    </row>
    <row r="91" spans="1:9" ht="15" customHeight="1">
      <c r="A91" s="666" t="str">
        <f>$A$90&amp;".01"</f>
        <v>01.14.05.01</v>
      </c>
      <c r="B91" s="716" t="s">
        <v>877</v>
      </c>
      <c r="C91" s="20" t="s">
        <v>55</v>
      </c>
      <c r="D91" s="260"/>
      <c r="E91" s="247"/>
      <c r="F91" s="247"/>
      <c r="G91" s="247"/>
      <c r="H91" s="245">
        <f>SUM(H92:H93)</f>
        <v>1.04</v>
      </c>
      <c r="I91" s="245">
        <f>H91*D90</f>
        <v>13.52</v>
      </c>
    </row>
    <row r="92" spans="1:9" ht="15" customHeight="1">
      <c r="A92" s="666"/>
      <c r="B92" s="724" t="s">
        <v>876</v>
      </c>
      <c r="C92" s="20"/>
      <c r="D92" s="260">
        <v>2</v>
      </c>
      <c r="E92" s="247"/>
      <c r="F92" s="247">
        <v>0.65</v>
      </c>
      <c r="G92" s="247">
        <v>0.5</v>
      </c>
      <c r="H92" s="448">
        <f>+ROUND(PRODUCT(D92:G92),2)</f>
        <v>0.65</v>
      </c>
      <c r="I92" s="245"/>
    </row>
    <row r="93" spans="1:9" ht="15" customHeight="1">
      <c r="A93" s="666"/>
      <c r="B93" s="724" t="s">
        <v>875</v>
      </c>
      <c r="C93" s="20"/>
      <c r="D93" s="260">
        <v>2</v>
      </c>
      <c r="E93" s="247"/>
      <c r="F93" s="247">
        <v>0.65</v>
      </c>
      <c r="G93" s="247">
        <v>0.3</v>
      </c>
      <c r="H93" s="448">
        <f>+ROUND(PRODUCT(D93:G93),2)</f>
        <v>0.39</v>
      </c>
      <c r="I93" s="245"/>
    </row>
    <row r="94" spans="1:9" ht="15" customHeight="1">
      <c r="A94" s="714"/>
      <c r="B94" s="723"/>
      <c r="C94" s="20"/>
      <c r="D94" s="105"/>
      <c r="E94" s="103"/>
      <c r="F94" s="103"/>
      <c r="G94" s="103"/>
      <c r="H94" s="705"/>
      <c r="I94" s="245"/>
    </row>
    <row r="95" spans="1:9" ht="15" customHeight="1">
      <c r="A95" s="658" t="str">
        <f>A$22 &amp; ".06"</f>
        <v>01.14.06</v>
      </c>
      <c r="B95" s="722" t="s">
        <v>182</v>
      </c>
      <c r="C95" s="260"/>
      <c r="D95" s="717">
        <f>+$D$22</f>
        <v>13</v>
      </c>
      <c r="E95" s="247"/>
      <c r="F95" s="247"/>
      <c r="G95" s="247"/>
      <c r="H95" s="247"/>
      <c r="I95" s="245"/>
    </row>
    <row r="96" spans="1:9" ht="16.5" customHeight="1">
      <c r="A96" s="666" t="str">
        <f>$A$95 &amp; ".01"</f>
        <v>01.14.06.01</v>
      </c>
      <c r="B96" s="721" t="s">
        <v>874</v>
      </c>
      <c r="C96" s="20" t="s">
        <v>55</v>
      </c>
      <c r="D96" s="260"/>
      <c r="E96" s="247"/>
      <c r="F96" s="247"/>
      <c r="G96" s="247"/>
      <c r="H96" s="245">
        <f>SUM(H97:H102)</f>
        <v>1.2700000000000002</v>
      </c>
      <c r="I96" s="245">
        <f>H96*$D$39</f>
        <v>16.510000000000002</v>
      </c>
    </row>
    <row r="97" spans="1:9" ht="15" customHeight="1">
      <c r="A97" s="714"/>
      <c r="B97" s="719" t="s">
        <v>873</v>
      </c>
      <c r="C97" s="260"/>
      <c r="D97" s="260">
        <v>2</v>
      </c>
      <c r="E97" s="247">
        <v>0.67</v>
      </c>
      <c r="F97" s="247"/>
      <c r="G97" s="247">
        <v>0.25</v>
      </c>
      <c r="H97" s="448">
        <f t="shared" ref="H97:H102" si="2">+ROUND(PRODUCT(D97:G97),2)</f>
        <v>0.34</v>
      </c>
      <c r="I97" s="245"/>
    </row>
    <row r="98" spans="1:9" ht="15" customHeight="1">
      <c r="A98" s="714"/>
      <c r="B98" s="719" t="s">
        <v>872</v>
      </c>
      <c r="C98" s="260"/>
      <c r="D98" s="260">
        <v>2</v>
      </c>
      <c r="E98" s="247"/>
      <c r="F98" s="247">
        <v>0.44</v>
      </c>
      <c r="G98" s="247">
        <v>0.25</v>
      </c>
      <c r="H98" s="448">
        <f t="shared" si="2"/>
        <v>0.22</v>
      </c>
      <c r="I98" s="245"/>
    </row>
    <row r="99" spans="1:9" ht="15" customHeight="1">
      <c r="A99" s="714"/>
      <c r="B99" s="719" t="s">
        <v>871</v>
      </c>
      <c r="C99" s="260"/>
      <c r="D99" s="260">
        <v>1</v>
      </c>
      <c r="E99" s="247">
        <v>0.67</v>
      </c>
      <c r="F99" s="247">
        <v>0.44</v>
      </c>
      <c r="G99" s="247"/>
      <c r="H99" s="448">
        <f t="shared" si="2"/>
        <v>0.28999999999999998</v>
      </c>
      <c r="I99" s="245"/>
    </row>
    <row r="100" spans="1:9" ht="15" customHeight="1">
      <c r="A100" s="714"/>
      <c r="B100" s="719" t="s">
        <v>870</v>
      </c>
      <c r="C100" s="260"/>
      <c r="D100" s="260">
        <v>1</v>
      </c>
      <c r="E100" s="247">
        <v>0.45279999999999998</v>
      </c>
      <c r="F100" s="247">
        <v>0.52</v>
      </c>
      <c r="G100" s="247" t="s">
        <v>869</v>
      </c>
      <c r="H100" s="448">
        <f t="shared" si="2"/>
        <v>0.24</v>
      </c>
      <c r="I100" s="245"/>
    </row>
    <row r="101" spans="1:9" ht="15" customHeight="1">
      <c r="A101" s="714"/>
      <c r="B101" s="719" t="s">
        <v>868</v>
      </c>
      <c r="C101" s="260"/>
      <c r="D101" s="260">
        <f>+D73</f>
        <v>1</v>
      </c>
      <c r="E101" s="247">
        <v>1.2</v>
      </c>
      <c r="F101" s="247">
        <v>0.08</v>
      </c>
      <c r="G101" s="247"/>
      <c r="H101" s="448">
        <f t="shared" si="2"/>
        <v>0.1</v>
      </c>
      <c r="I101" s="245"/>
    </row>
    <row r="102" spans="1:9" ht="15" customHeight="1">
      <c r="A102" s="714"/>
      <c r="B102" s="719" t="s">
        <v>867</v>
      </c>
      <c r="C102" s="260"/>
      <c r="D102" s="260">
        <v>2</v>
      </c>
      <c r="E102" s="247">
        <v>0.08</v>
      </c>
      <c r="F102" s="247">
        <v>0.52</v>
      </c>
      <c r="G102" s="247"/>
      <c r="H102" s="448">
        <f t="shared" si="2"/>
        <v>0.08</v>
      </c>
      <c r="I102" s="245"/>
    </row>
    <row r="103" spans="1:9" ht="15" customHeight="1">
      <c r="A103" s="658"/>
      <c r="B103" s="720"/>
      <c r="C103" s="260"/>
      <c r="D103" s="717"/>
      <c r="E103" s="247"/>
      <c r="F103" s="247"/>
      <c r="G103" s="247"/>
      <c r="H103" s="247"/>
      <c r="I103" s="245"/>
    </row>
    <row r="104" spans="1:9" ht="13.5">
      <c r="A104" s="666" t="str">
        <f>$A$95 &amp; ".02"</f>
        <v>01.14.06.02</v>
      </c>
      <c r="B104" s="716" t="s">
        <v>866</v>
      </c>
      <c r="C104" s="20" t="s">
        <v>55</v>
      </c>
      <c r="D104" s="260"/>
      <c r="E104" s="247"/>
      <c r="F104" s="247"/>
      <c r="G104" s="247"/>
      <c r="H104" s="245">
        <f>SUM(H105:H111)</f>
        <v>2.42</v>
      </c>
      <c r="I104" s="245">
        <f>H104*$D$59</f>
        <v>31.46</v>
      </c>
    </row>
    <row r="105" spans="1:9" ht="15" customHeight="1">
      <c r="A105" s="714"/>
      <c r="B105" s="719" t="s">
        <v>862</v>
      </c>
      <c r="C105" s="260"/>
      <c r="D105" s="260">
        <v>1</v>
      </c>
      <c r="E105" s="247">
        <v>0.83</v>
      </c>
      <c r="F105" s="247"/>
      <c r="G105" s="247">
        <v>0.25</v>
      </c>
      <c r="H105" s="448">
        <f t="shared" ref="H105:H111" si="3">+ROUND(PRODUCT(D105:G105),2)</f>
        <v>0.21</v>
      </c>
      <c r="I105" s="245"/>
    </row>
    <row r="106" spans="1:9" ht="15" customHeight="1">
      <c r="A106" s="714"/>
      <c r="B106" s="719" t="s">
        <v>865</v>
      </c>
      <c r="C106" s="260"/>
      <c r="D106" s="260">
        <v>2</v>
      </c>
      <c r="E106" s="247"/>
      <c r="F106" s="247">
        <v>0.6</v>
      </c>
      <c r="G106" s="247">
        <v>0.25</v>
      </c>
      <c r="H106" s="448">
        <f t="shared" si="3"/>
        <v>0.3</v>
      </c>
      <c r="I106" s="245"/>
    </row>
    <row r="107" spans="1:9" ht="14.25" customHeight="1">
      <c r="A107" s="714"/>
      <c r="B107" s="719" t="s">
        <v>864</v>
      </c>
      <c r="C107" s="260"/>
      <c r="D107" s="260">
        <v>2</v>
      </c>
      <c r="E107" s="247">
        <v>1.2</v>
      </c>
      <c r="F107" s="247"/>
      <c r="G107" s="247">
        <v>0.08</v>
      </c>
      <c r="H107" s="448">
        <f t="shared" si="3"/>
        <v>0.19</v>
      </c>
      <c r="I107" s="245"/>
    </row>
    <row r="108" spans="1:9" ht="14.25" customHeight="1">
      <c r="A108" s="714"/>
      <c r="B108" s="719" t="s">
        <v>863</v>
      </c>
      <c r="C108" s="260"/>
      <c r="D108" s="260">
        <v>2</v>
      </c>
      <c r="E108" s="247"/>
      <c r="F108" s="247">
        <v>0.6</v>
      </c>
      <c r="G108" s="247">
        <v>0.08</v>
      </c>
      <c r="H108" s="448">
        <f t="shared" si="3"/>
        <v>0.1</v>
      </c>
      <c r="I108" s="245"/>
    </row>
    <row r="109" spans="1:9" ht="14.25" customHeight="1">
      <c r="A109" s="714"/>
      <c r="B109" s="719" t="s">
        <v>862</v>
      </c>
      <c r="C109" s="260"/>
      <c r="D109" s="260">
        <v>1</v>
      </c>
      <c r="E109" s="247">
        <v>0.08</v>
      </c>
      <c r="F109" s="247"/>
      <c r="G109" s="247">
        <v>0.3</v>
      </c>
      <c r="H109" s="448">
        <f t="shared" si="3"/>
        <v>0.02</v>
      </c>
      <c r="I109" s="245"/>
    </row>
    <row r="110" spans="1:9" ht="15" customHeight="1">
      <c r="A110" s="714"/>
      <c r="B110" s="719" t="s">
        <v>861</v>
      </c>
      <c r="C110" s="260"/>
      <c r="D110" s="260">
        <v>4</v>
      </c>
      <c r="E110" s="247"/>
      <c r="F110" s="247">
        <v>0.65</v>
      </c>
      <c r="G110" s="247">
        <v>0.5</v>
      </c>
      <c r="H110" s="448">
        <f t="shared" si="3"/>
        <v>1.3</v>
      </c>
      <c r="I110" s="245"/>
    </row>
    <row r="111" spans="1:9" ht="15" customHeight="1">
      <c r="A111" s="714"/>
      <c r="B111" s="719" t="s">
        <v>860</v>
      </c>
      <c r="C111" s="260"/>
      <c r="D111" s="260">
        <v>4</v>
      </c>
      <c r="E111" s="247">
        <v>0.15</v>
      </c>
      <c r="F111" s="247"/>
      <c r="G111" s="247">
        <v>0.5</v>
      </c>
      <c r="H111" s="448">
        <f t="shared" si="3"/>
        <v>0.3</v>
      </c>
      <c r="I111" s="245"/>
    </row>
    <row r="112" spans="1:9" ht="15" customHeight="1">
      <c r="A112" s="714"/>
      <c r="B112" s="718" t="s">
        <v>108</v>
      </c>
      <c r="C112" s="260"/>
      <c r="D112" s="260"/>
      <c r="E112" s="247"/>
      <c r="F112" s="247"/>
      <c r="G112" s="247"/>
      <c r="H112" s="245"/>
      <c r="I112" s="245"/>
    </row>
    <row r="113" spans="1:9" ht="15" customHeight="1">
      <c r="A113" s="658" t="str">
        <f>A$22 &amp; ".07"</f>
        <v>01.14.07</v>
      </c>
      <c r="B113" s="670" t="s">
        <v>655</v>
      </c>
      <c r="C113" s="260"/>
      <c r="D113" s="717">
        <f>+$D$22</f>
        <v>13</v>
      </c>
      <c r="E113" s="247"/>
      <c r="F113" s="247"/>
      <c r="G113" s="247"/>
      <c r="H113" s="247"/>
      <c r="I113" s="245"/>
    </row>
    <row r="114" spans="1:9" ht="15" customHeight="1">
      <c r="A114" s="666" t="str">
        <f>$A$113 &amp; ".01"</f>
        <v>01.14.07.01</v>
      </c>
      <c r="B114" s="716" t="s">
        <v>859</v>
      </c>
      <c r="C114" s="260" t="s">
        <v>58</v>
      </c>
      <c r="D114" s="260">
        <v>1</v>
      </c>
      <c r="E114" s="247"/>
      <c r="F114" s="247"/>
      <c r="G114" s="247"/>
      <c r="H114" s="448">
        <f>+D114</f>
        <v>1</v>
      </c>
      <c r="I114" s="245">
        <f>H114*$D$113</f>
        <v>13</v>
      </c>
    </row>
    <row r="115" spans="1:9" ht="15" customHeight="1">
      <c r="A115" s="714"/>
      <c r="B115" s="715" t="s">
        <v>858</v>
      </c>
      <c r="C115" s="260"/>
      <c r="D115" s="260"/>
      <c r="E115" s="247"/>
      <c r="F115" s="247"/>
      <c r="G115" s="247"/>
      <c r="H115" s="247"/>
      <c r="I115" s="245"/>
    </row>
    <row r="116" spans="1:9" ht="15" customHeight="1">
      <c r="A116" s="714"/>
      <c r="B116" s="713" t="s">
        <v>857</v>
      </c>
      <c r="C116" s="260" t="s">
        <v>58</v>
      </c>
      <c r="D116" s="260">
        <v>2</v>
      </c>
      <c r="E116" s="247"/>
      <c r="F116" s="247"/>
      <c r="G116" s="247"/>
      <c r="H116" s="247"/>
      <c r="I116" s="245"/>
    </row>
    <row r="117" spans="1:9" ht="15" customHeight="1">
      <c r="A117" s="714"/>
      <c r="B117" s="713" t="s">
        <v>856</v>
      </c>
      <c r="C117" s="260" t="s">
        <v>58</v>
      </c>
      <c r="D117" s="260">
        <v>1</v>
      </c>
      <c r="E117" s="247"/>
      <c r="F117" s="247"/>
      <c r="G117" s="247"/>
      <c r="H117" s="247"/>
      <c r="I117" s="245"/>
    </row>
    <row r="118" spans="1:9" ht="15" customHeight="1">
      <c r="A118" s="714"/>
      <c r="B118" s="713" t="s">
        <v>855</v>
      </c>
      <c r="C118" s="260" t="s">
        <v>58</v>
      </c>
      <c r="D118" s="260">
        <v>1</v>
      </c>
      <c r="E118" s="247"/>
      <c r="F118" s="247"/>
      <c r="G118" s="247"/>
      <c r="H118" s="247"/>
      <c r="I118" s="245"/>
    </row>
    <row r="119" spans="1:9" ht="15" customHeight="1">
      <c r="A119" s="714"/>
      <c r="B119" s="713" t="s">
        <v>854</v>
      </c>
      <c r="C119" s="260" t="s">
        <v>58</v>
      </c>
      <c r="D119" s="260">
        <v>1</v>
      </c>
      <c r="E119" s="247"/>
      <c r="F119" s="247"/>
      <c r="G119" s="247"/>
      <c r="H119" s="247"/>
      <c r="I119" s="245"/>
    </row>
    <row r="120" spans="1:9" ht="15" customHeight="1">
      <c r="A120" s="714"/>
      <c r="B120" s="713" t="s">
        <v>853</v>
      </c>
      <c r="C120" s="260" t="s">
        <v>58</v>
      </c>
      <c r="D120" s="260">
        <v>1</v>
      </c>
      <c r="E120" s="247"/>
      <c r="F120" s="247"/>
      <c r="G120" s="247"/>
      <c r="H120" s="247"/>
      <c r="I120" s="245"/>
    </row>
    <row r="121" spans="1:9" ht="15" customHeight="1">
      <c r="A121" s="714"/>
      <c r="B121" s="713" t="s">
        <v>852</v>
      </c>
      <c r="C121" s="260" t="s">
        <v>0</v>
      </c>
      <c r="D121" s="260">
        <v>10</v>
      </c>
      <c r="E121" s="247"/>
      <c r="F121" s="247"/>
      <c r="G121" s="247"/>
      <c r="H121" s="247"/>
      <c r="I121" s="245"/>
    </row>
    <row r="122" spans="1:9" ht="15" customHeight="1">
      <c r="A122" s="714"/>
      <c r="B122" s="713" t="s">
        <v>568</v>
      </c>
      <c r="C122" s="260" t="s">
        <v>58</v>
      </c>
      <c r="D122" s="260">
        <v>5</v>
      </c>
      <c r="E122" s="247"/>
      <c r="F122" s="247"/>
      <c r="G122" s="247"/>
      <c r="H122" s="247"/>
      <c r="I122" s="245"/>
    </row>
    <row r="123" spans="1:9" ht="15" customHeight="1">
      <c r="A123" s="714"/>
      <c r="B123" s="713" t="s">
        <v>567</v>
      </c>
      <c r="C123" s="260" t="s">
        <v>58</v>
      </c>
      <c r="D123" s="260">
        <v>1</v>
      </c>
      <c r="E123" s="247"/>
      <c r="F123" s="247"/>
      <c r="G123" s="247"/>
      <c r="H123" s="247"/>
      <c r="I123" s="245"/>
    </row>
    <row r="124" spans="1:9" ht="15" customHeight="1">
      <c r="A124" s="714"/>
      <c r="B124" s="713"/>
      <c r="C124" s="260"/>
      <c r="D124" s="260"/>
      <c r="E124" s="247"/>
      <c r="F124" s="247"/>
      <c r="G124" s="247"/>
      <c r="H124" s="247"/>
      <c r="I124" s="245"/>
    </row>
    <row r="125" spans="1:9" ht="15" customHeight="1">
      <c r="A125" s="714"/>
      <c r="B125" s="715" t="s">
        <v>851</v>
      </c>
      <c r="C125" s="260"/>
      <c r="D125" s="260"/>
      <c r="E125" s="247"/>
      <c r="F125" s="247"/>
      <c r="G125" s="247"/>
      <c r="H125" s="247"/>
      <c r="I125" s="245"/>
    </row>
    <row r="126" spans="1:9" ht="15" customHeight="1">
      <c r="A126" s="714"/>
      <c r="B126" s="713" t="s">
        <v>850</v>
      </c>
      <c r="C126" s="260" t="s">
        <v>58</v>
      </c>
      <c r="D126" s="260">
        <v>1</v>
      </c>
      <c r="E126" s="247"/>
      <c r="F126" s="247"/>
      <c r="G126" s="247"/>
      <c r="H126" s="247"/>
      <c r="I126" s="245"/>
    </row>
    <row r="127" spans="1:9" ht="15" customHeight="1">
      <c r="A127" s="714"/>
      <c r="B127" s="713" t="s">
        <v>849</v>
      </c>
      <c r="C127" s="260" t="s">
        <v>58</v>
      </c>
      <c r="D127" s="260">
        <v>1</v>
      </c>
      <c r="E127" s="247"/>
      <c r="F127" s="247"/>
      <c r="G127" s="247"/>
      <c r="H127" s="247"/>
      <c r="I127" s="245"/>
    </row>
    <row r="128" spans="1:9" ht="15" customHeight="1">
      <c r="A128" s="714"/>
      <c r="B128" s="713" t="s">
        <v>848</v>
      </c>
      <c r="C128" s="260" t="s">
        <v>58</v>
      </c>
      <c r="D128" s="260">
        <v>2</v>
      </c>
      <c r="E128" s="247"/>
      <c r="F128" s="247"/>
      <c r="G128" s="247"/>
      <c r="H128" s="247"/>
      <c r="I128" s="245"/>
    </row>
    <row r="129" spans="1:9" ht="15" customHeight="1">
      <c r="A129" s="714"/>
      <c r="B129" s="713" t="s">
        <v>847</v>
      </c>
      <c r="C129" s="260" t="s">
        <v>0</v>
      </c>
      <c r="D129" s="260">
        <v>5</v>
      </c>
      <c r="E129" s="247"/>
      <c r="F129" s="247"/>
      <c r="G129" s="247"/>
      <c r="H129" s="247"/>
      <c r="I129" s="245"/>
    </row>
    <row r="130" spans="1:9" ht="15" customHeight="1">
      <c r="A130" s="712"/>
      <c r="B130" s="711"/>
      <c r="C130" s="710"/>
      <c r="D130" s="710"/>
      <c r="E130" s="240"/>
      <c r="F130" s="240"/>
      <c r="G130" s="240"/>
      <c r="H130" s="240"/>
      <c r="I130" s="238"/>
    </row>
    <row r="131" spans="1:9" ht="15" customHeight="1">
      <c r="D131" s="709"/>
      <c r="E131" s="704"/>
      <c r="F131" s="704"/>
      <c r="G131" s="704"/>
    </row>
    <row r="132" spans="1:9" ht="15" customHeight="1">
      <c r="D132" s="709"/>
      <c r="E132" s="704"/>
      <c r="F132" s="704"/>
      <c r="G132" s="704"/>
    </row>
    <row r="133" spans="1:9" ht="15" customHeight="1">
      <c r="D133" s="709"/>
      <c r="E133" s="704"/>
      <c r="F133" s="704"/>
      <c r="G133" s="704"/>
    </row>
    <row r="134" spans="1:9" ht="15" customHeight="1">
      <c r="D134" s="709"/>
      <c r="E134" s="704"/>
      <c r="F134" s="704"/>
      <c r="G134" s="704"/>
    </row>
    <row r="135" spans="1:9" ht="15" customHeight="1">
      <c r="D135" s="1059" t="s">
        <v>566</v>
      </c>
      <c r="E135" s="1060"/>
      <c r="F135" s="1060"/>
      <c r="G135" s="1060"/>
      <c r="H135" s="1060"/>
      <c r="I135" s="1061"/>
    </row>
    <row r="136" spans="1:9" ht="15" customHeight="1">
      <c r="D136" s="1062" t="s">
        <v>565</v>
      </c>
      <c r="E136" s="1063"/>
      <c r="F136" s="1064" t="s">
        <v>564</v>
      </c>
      <c r="G136" s="1064" t="s">
        <v>563</v>
      </c>
      <c r="H136" s="1064" t="s">
        <v>562</v>
      </c>
      <c r="I136" s="1064" t="s">
        <v>561</v>
      </c>
    </row>
    <row r="137" spans="1:9" ht="15" customHeight="1">
      <c r="D137" s="438" t="s">
        <v>560</v>
      </c>
      <c r="E137" s="438" t="s">
        <v>559</v>
      </c>
      <c r="F137" s="1065"/>
      <c r="G137" s="1065"/>
      <c r="H137" s="1065"/>
      <c r="I137" s="1065"/>
    </row>
    <row r="138" spans="1:9" ht="15" customHeight="1">
      <c r="D138" s="437">
        <v>0.25</v>
      </c>
      <c r="E138" s="436">
        <v>6</v>
      </c>
      <c r="F138" s="435">
        <f t="shared" ref="F138:F146" si="4">+PI()*G138*G138/4</f>
        <v>0.31669217443593611</v>
      </c>
      <c r="G138" s="435">
        <f>2.54*1/4</f>
        <v>0.63500000000000001</v>
      </c>
      <c r="H138" s="435">
        <f>+G138*PI()</f>
        <v>1.9949113350295187</v>
      </c>
      <c r="I138" s="435">
        <v>0.222</v>
      </c>
    </row>
    <row r="139" spans="1:9" ht="15" customHeight="1">
      <c r="D139" s="437"/>
      <c r="E139" s="436">
        <v>8</v>
      </c>
      <c r="F139" s="435">
        <f t="shared" si="4"/>
        <v>0.50265482457436694</v>
      </c>
      <c r="G139" s="435">
        <v>0.8</v>
      </c>
      <c r="H139" s="435"/>
      <c r="I139" s="435">
        <v>0.4</v>
      </c>
    </row>
    <row r="140" spans="1:9" ht="15" customHeight="1">
      <c r="D140" s="437">
        <v>0.375</v>
      </c>
      <c r="E140" s="436" t="s">
        <v>558</v>
      </c>
      <c r="F140" s="435">
        <f t="shared" si="4"/>
        <v>0.71255739248085614</v>
      </c>
      <c r="G140" s="435">
        <f>2.54*3/8</f>
        <v>0.95250000000000001</v>
      </c>
      <c r="H140" s="435">
        <f>+G140*PI()</f>
        <v>2.9923670025442779</v>
      </c>
      <c r="I140" s="435">
        <v>0.56000000000000005</v>
      </c>
    </row>
    <row r="141" spans="1:9" ht="15" customHeight="1">
      <c r="D141" s="437"/>
      <c r="E141" s="436">
        <v>12</v>
      </c>
      <c r="F141" s="435">
        <f t="shared" si="4"/>
        <v>1.1309733552923256</v>
      </c>
      <c r="G141" s="435">
        <v>1.2</v>
      </c>
      <c r="H141" s="435"/>
      <c r="I141" s="435">
        <v>0.89</v>
      </c>
    </row>
    <row r="142" spans="1:9" ht="15" customHeight="1">
      <c r="D142" s="437">
        <v>0.5</v>
      </c>
      <c r="E142" s="436" t="s">
        <v>558</v>
      </c>
      <c r="F142" s="435">
        <f t="shared" si="4"/>
        <v>1.2667686977437445</v>
      </c>
      <c r="G142" s="435">
        <f>1/2*2.54</f>
        <v>1.27</v>
      </c>
      <c r="H142" s="435">
        <f>+G142*PI()</f>
        <v>3.9898226700590373</v>
      </c>
      <c r="I142" s="435">
        <v>0.99399999999999999</v>
      </c>
    </row>
    <row r="143" spans="1:9" ht="15" customHeight="1">
      <c r="D143" s="437">
        <v>0.625</v>
      </c>
      <c r="E143" s="436" t="s">
        <v>558</v>
      </c>
      <c r="F143" s="435">
        <f t="shared" si="4"/>
        <v>1.9793260902246004</v>
      </c>
      <c r="G143" s="435">
        <f>5/8*2.54</f>
        <v>1.5874999999999999</v>
      </c>
      <c r="H143" s="435">
        <f>+G143*PI()</f>
        <v>4.9872783375737963</v>
      </c>
      <c r="I143" s="435">
        <v>1.552</v>
      </c>
    </row>
    <row r="144" spans="1:9" ht="15" customHeight="1">
      <c r="D144" s="437">
        <v>0.75</v>
      </c>
      <c r="E144" s="436" t="s">
        <v>558</v>
      </c>
      <c r="F144" s="435">
        <f t="shared" si="4"/>
        <v>2.8502295699234246</v>
      </c>
      <c r="G144" s="435">
        <f>3/4*2.54</f>
        <v>1.905</v>
      </c>
      <c r="H144" s="435">
        <f>+G144*PI()</f>
        <v>5.9847340050885558</v>
      </c>
      <c r="I144" s="435">
        <v>2.2349999999999999</v>
      </c>
    </row>
    <row r="145" spans="4:9" ht="15" customHeight="1">
      <c r="D145" s="437">
        <v>1</v>
      </c>
      <c r="E145" s="436" t="s">
        <v>558</v>
      </c>
      <c r="F145" s="435">
        <f t="shared" si="4"/>
        <v>5.0670747909749778</v>
      </c>
      <c r="G145" s="435">
        <v>2.54</v>
      </c>
      <c r="H145" s="435">
        <f>+G145*PI()</f>
        <v>7.9796453401180747</v>
      </c>
      <c r="I145" s="435">
        <v>3.9729999999999999</v>
      </c>
    </row>
    <row r="146" spans="4:9" ht="15" customHeight="1">
      <c r="D146" s="437">
        <v>1.375</v>
      </c>
      <c r="E146" s="436" t="s">
        <v>558</v>
      </c>
      <c r="F146" s="435">
        <f t="shared" si="4"/>
        <v>9.5799382766870682</v>
      </c>
      <c r="G146" s="435">
        <f>1.375*2.54</f>
        <v>3.4925000000000002</v>
      </c>
      <c r="H146" s="435">
        <f>+G146*PI()</f>
        <v>10.972012342662353</v>
      </c>
      <c r="I146" s="435">
        <v>7.907</v>
      </c>
    </row>
    <row r="147" spans="4:9" ht="15" customHeight="1">
      <c r="D147" s="709"/>
      <c r="E147" s="704"/>
      <c r="F147" s="704"/>
      <c r="G147" s="704"/>
    </row>
    <row r="148" spans="4:9" ht="15" customHeight="1">
      <c r="D148" s="709"/>
      <c r="E148" s="704"/>
      <c r="F148" s="704"/>
      <c r="G148" s="704"/>
    </row>
    <row r="149" spans="4:9" ht="15" customHeight="1">
      <c r="D149" s="709"/>
      <c r="E149" s="704"/>
      <c r="F149" s="704"/>
      <c r="G149" s="704"/>
    </row>
    <row r="150" spans="4:9" ht="15" customHeight="1">
      <c r="D150" s="709"/>
      <c r="E150" s="704"/>
      <c r="F150" s="704"/>
      <c r="G150" s="704"/>
    </row>
    <row r="151" spans="4:9" ht="15" customHeight="1">
      <c r="D151" s="709"/>
      <c r="E151" s="704"/>
      <c r="F151" s="704"/>
      <c r="G151" s="704"/>
    </row>
    <row r="152" spans="4:9" ht="15" customHeight="1">
      <c r="D152" s="709"/>
      <c r="E152" s="704"/>
      <c r="F152" s="704"/>
      <c r="G152" s="704"/>
    </row>
    <row r="153" spans="4:9" ht="15" customHeight="1">
      <c r="D153" s="709"/>
      <c r="E153" s="704"/>
      <c r="F153" s="704"/>
      <c r="G153" s="704"/>
    </row>
    <row r="154" spans="4:9" ht="15" customHeight="1">
      <c r="D154" s="709"/>
      <c r="E154" s="704"/>
      <c r="F154" s="704"/>
      <c r="G154" s="704"/>
    </row>
    <row r="155" spans="4:9" ht="15" customHeight="1">
      <c r="D155" s="709"/>
      <c r="E155" s="704"/>
      <c r="F155" s="704"/>
      <c r="G155" s="704"/>
    </row>
    <row r="156" spans="4:9" ht="15" customHeight="1">
      <c r="D156" s="709"/>
      <c r="E156" s="704"/>
      <c r="F156" s="704"/>
      <c r="G156" s="704"/>
    </row>
    <row r="157" spans="4:9" ht="15" customHeight="1">
      <c r="D157" s="709"/>
      <c r="E157" s="704"/>
      <c r="F157" s="704"/>
      <c r="G157" s="704"/>
    </row>
    <row r="158" spans="4:9" ht="15" customHeight="1">
      <c r="D158" s="709"/>
      <c r="E158" s="704"/>
      <c r="F158" s="704"/>
      <c r="G158" s="704"/>
    </row>
    <row r="159" spans="4:9" ht="15" customHeight="1">
      <c r="D159" s="709"/>
      <c r="E159" s="704"/>
      <c r="F159" s="704"/>
      <c r="G159" s="704"/>
    </row>
    <row r="160" spans="4:9" ht="15" customHeight="1">
      <c r="D160" s="709"/>
      <c r="E160" s="704"/>
      <c r="F160" s="704"/>
      <c r="G160" s="704"/>
    </row>
    <row r="161" spans="4:7" ht="15" customHeight="1">
      <c r="D161" s="709"/>
      <c r="E161" s="704"/>
      <c r="F161" s="704"/>
      <c r="G161" s="704"/>
    </row>
    <row r="162" spans="4:7" ht="15" customHeight="1">
      <c r="D162" s="709"/>
      <c r="E162" s="704"/>
      <c r="F162" s="704"/>
      <c r="G162" s="704"/>
    </row>
    <row r="163" spans="4:7" ht="15" customHeight="1">
      <c r="D163" s="709"/>
      <c r="E163" s="704"/>
      <c r="F163" s="704"/>
      <c r="G163" s="704"/>
    </row>
    <row r="164" spans="4:7" ht="15" customHeight="1">
      <c r="D164" s="709"/>
      <c r="E164" s="704"/>
      <c r="F164" s="704"/>
      <c r="G164" s="704"/>
    </row>
    <row r="165" spans="4:7" ht="15" customHeight="1">
      <c r="D165" s="709"/>
      <c r="E165" s="704"/>
      <c r="F165" s="704"/>
      <c r="G165" s="704"/>
    </row>
    <row r="166" spans="4:7" ht="15" customHeight="1">
      <c r="D166" s="709"/>
      <c r="E166" s="704"/>
      <c r="F166" s="704"/>
      <c r="G166" s="704"/>
    </row>
    <row r="167" spans="4:7" ht="15" customHeight="1">
      <c r="D167" s="709"/>
      <c r="E167" s="704"/>
      <c r="F167" s="704"/>
      <c r="G167" s="704"/>
    </row>
    <row r="168" spans="4:7" ht="15" customHeight="1">
      <c r="D168" s="709"/>
      <c r="E168" s="704"/>
      <c r="F168" s="704"/>
      <c r="G168" s="704"/>
    </row>
    <row r="169" spans="4:7" ht="15" customHeight="1">
      <c r="D169" s="709"/>
      <c r="E169" s="704"/>
      <c r="F169" s="704"/>
      <c r="G169" s="704"/>
    </row>
    <row r="170" spans="4:7" ht="15" customHeight="1">
      <c r="D170" s="709"/>
      <c r="E170" s="704"/>
      <c r="F170" s="704"/>
      <c r="G170" s="704"/>
    </row>
    <row r="171" spans="4:7" ht="15" customHeight="1">
      <c r="D171" s="709"/>
      <c r="E171" s="704"/>
      <c r="F171" s="704"/>
      <c r="G171" s="704"/>
    </row>
    <row r="172" spans="4:7" ht="15" customHeight="1">
      <c r="D172" s="709"/>
      <c r="E172" s="704"/>
      <c r="F172" s="704"/>
      <c r="G172" s="704"/>
    </row>
    <row r="173" spans="4:7" ht="15" customHeight="1">
      <c r="D173" s="709"/>
      <c r="E173" s="704"/>
      <c r="F173" s="704"/>
      <c r="G173" s="704"/>
    </row>
    <row r="174" spans="4:7" ht="15" customHeight="1">
      <c r="D174" s="709"/>
      <c r="E174" s="704"/>
      <c r="F174" s="704"/>
      <c r="G174" s="704"/>
    </row>
    <row r="175" spans="4:7" ht="15" customHeight="1">
      <c r="D175" s="709"/>
      <c r="E175" s="704"/>
      <c r="F175" s="704"/>
      <c r="G175" s="704"/>
    </row>
    <row r="176" spans="4:7" ht="15" customHeight="1">
      <c r="D176" s="709"/>
      <c r="E176" s="704"/>
      <c r="F176" s="704"/>
      <c r="G176" s="704"/>
    </row>
    <row r="177" spans="4:7" ht="15" customHeight="1">
      <c r="D177" s="709"/>
      <c r="E177" s="704"/>
      <c r="F177" s="704"/>
      <c r="G177" s="704"/>
    </row>
    <row r="178" spans="4:7" ht="15" customHeight="1">
      <c r="D178" s="709"/>
      <c r="E178" s="704"/>
      <c r="F178" s="704"/>
      <c r="G178" s="704"/>
    </row>
    <row r="179" spans="4:7" ht="15" customHeight="1">
      <c r="D179" s="709"/>
      <c r="E179" s="704"/>
      <c r="F179" s="704"/>
      <c r="G179" s="704"/>
    </row>
    <row r="180" spans="4:7" ht="15" customHeight="1">
      <c r="D180" s="709"/>
      <c r="E180" s="704"/>
      <c r="F180" s="704"/>
      <c r="G180" s="704"/>
    </row>
    <row r="181" spans="4:7" ht="15" customHeight="1">
      <c r="D181" s="709"/>
      <c r="E181" s="704"/>
      <c r="F181" s="704"/>
      <c r="G181" s="704"/>
    </row>
    <row r="182" spans="4:7" ht="15" customHeight="1">
      <c r="D182" s="709"/>
      <c r="E182" s="704"/>
      <c r="F182" s="704"/>
      <c r="G182" s="704"/>
    </row>
    <row r="183" spans="4:7" ht="15" customHeight="1">
      <c r="D183" s="709"/>
      <c r="E183" s="704"/>
      <c r="F183" s="704"/>
      <c r="G183" s="704"/>
    </row>
    <row r="184" spans="4:7" ht="15" customHeight="1">
      <c r="D184" s="709"/>
      <c r="E184" s="704"/>
      <c r="F184" s="704"/>
      <c r="G184" s="704"/>
    </row>
    <row r="185" spans="4:7" ht="15" customHeight="1">
      <c r="D185" s="709"/>
      <c r="E185" s="704"/>
      <c r="F185" s="704"/>
      <c r="G185" s="704"/>
    </row>
    <row r="186" spans="4:7" ht="15" customHeight="1">
      <c r="D186" s="709"/>
      <c r="E186" s="704"/>
      <c r="F186" s="704"/>
      <c r="G186" s="704"/>
    </row>
    <row r="187" spans="4:7" ht="15" customHeight="1">
      <c r="D187" s="709"/>
      <c r="E187" s="704"/>
      <c r="F187" s="704"/>
      <c r="G187" s="704"/>
    </row>
    <row r="188" spans="4:7" ht="15" customHeight="1">
      <c r="D188" s="709"/>
      <c r="E188" s="704"/>
      <c r="F188" s="704"/>
      <c r="G188" s="704"/>
    </row>
    <row r="189" spans="4:7" ht="15" customHeight="1">
      <c r="D189" s="709"/>
      <c r="E189" s="704"/>
      <c r="F189" s="704"/>
      <c r="G189" s="704"/>
    </row>
    <row r="190" spans="4:7" ht="15" customHeight="1">
      <c r="D190" s="709"/>
      <c r="E190" s="704"/>
      <c r="F190" s="704"/>
      <c r="G190" s="704"/>
    </row>
    <row r="191" spans="4:7" ht="15" customHeight="1">
      <c r="D191" s="709"/>
      <c r="E191" s="704"/>
      <c r="F191" s="704"/>
      <c r="G191" s="704"/>
    </row>
    <row r="192" spans="4:7" ht="15" customHeight="1">
      <c r="D192" s="709"/>
      <c r="E192" s="704"/>
      <c r="F192" s="704"/>
      <c r="G192" s="704"/>
    </row>
    <row r="193" spans="4:7" ht="15" customHeight="1">
      <c r="D193" s="709"/>
      <c r="E193" s="704"/>
      <c r="F193" s="704"/>
      <c r="G193" s="704"/>
    </row>
    <row r="194" spans="4:7" ht="15" customHeight="1">
      <c r="D194" s="709"/>
      <c r="E194" s="704"/>
      <c r="F194" s="704"/>
      <c r="G194" s="704"/>
    </row>
    <row r="195" spans="4:7" ht="15" customHeight="1">
      <c r="D195" s="709"/>
      <c r="E195" s="704"/>
      <c r="F195" s="704"/>
      <c r="G195" s="704"/>
    </row>
    <row r="196" spans="4:7" ht="15" customHeight="1">
      <c r="D196" s="709"/>
      <c r="E196" s="704"/>
      <c r="F196" s="704"/>
      <c r="G196" s="704"/>
    </row>
    <row r="197" spans="4:7" ht="15" customHeight="1">
      <c r="D197" s="709"/>
      <c r="E197" s="704"/>
      <c r="F197" s="704"/>
      <c r="G197" s="704"/>
    </row>
  </sheetData>
  <mergeCells count="11">
    <mergeCell ref="D135:I135"/>
    <mergeCell ref="A1:I1"/>
    <mergeCell ref="A2:I2"/>
    <mergeCell ref="A6:I6"/>
    <mergeCell ref="B8:H19"/>
    <mergeCell ref="A3:I5"/>
    <mergeCell ref="D136:E136"/>
    <mergeCell ref="F136:F137"/>
    <mergeCell ref="G136:G137"/>
    <mergeCell ref="H136:H137"/>
    <mergeCell ref="I136:I137"/>
  </mergeCells>
  <conditionalFormatting sqref="B51">
    <cfRule type="expression" priority="1" stopIfTrue="1">
      <formula>ROW()=CELL("fila")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headerFooter>
    <oddFooter>Página &amp;P&amp;R&amp;A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6C4D6-18CA-4F00-BE6F-13F3B8201617}">
  <sheetPr codeName="Hoja19">
    <pageSetUpPr fitToPage="1"/>
  </sheetPr>
  <dimension ref="A1:T244"/>
  <sheetViews>
    <sheetView view="pageBreakPreview" topLeftCell="B52" zoomScale="70" zoomScaleNormal="55" zoomScaleSheetLayoutView="70" zoomScalePageLayoutView="55" workbookViewId="0">
      <selection activeCell="B6" sqref="B6"/>
    </sheetView>
  </sheetViews>
  <sheetFormatPr baseColWidth="10" defaultColWidth="11.5" defaultRowHeight="15"/>
  <cols>
    <col min="1" max="1" width="3.5" style="405" customWidth="1"/>
    <col min="2" max="2" width="9.5" style="405" customWidth="1"/>
    <col min="3" max="3" width="8.83203125" style="405" customWidth="1"/>
    <col min="4" max="4" width="8.5" style="405" customWidth="1"/>
    <col min="5" max="10" width="6" style="405" customWidth="1"/>
    <col min="11" max="12" width="11.5" style="405"/>
    <col min="13" max="13" width="17.83203125" style="405" customWidth="1"/>
    <col min="14" max="14" width="20.5" style="405" customWidth="1"/>
    <col min="15" max="16384" width="11.5" style="405"/>
  </cols>
  <sheetData>
    <row r="1" spans="1:20">
      <c r="A1" s="756"/>
      <c r="B1" s="756"/>
      <c r="C1" s="756"/>
      <c r="D1" s="756"/>
      <c r="E1" s="756"/>
      <c r="F1" s="756"/>
      <c r="G1" s="756"/>
      <c r="H1" s="756"/>
      <c r="I1" s="756"/>
      <c r="J1" s="756"/>
      <c r="K1" s="756"/>
      <c r="L1" s="756"/>
      <c r="M1" s="756"/>
      <c r="N1" s="756"/>
      <c r="O1" s="756"/>
      <c r="P1" s="756"/>
      <c r="Q1" s="756"/>
      <c r="R1" s="756"/>
      <c r="S1" s="756"/>
      <c r="T1" s="756"/>
    </row>
    <row r="2" spans="1:20">
      <c r="A2" s="756"/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</row>
    <row r="3" spans="1:20" ht="18" customHeight="1">
      <c r="A3" s="756"/>
      <c r="B3" s="946" t="s">
        <v>931</v>
      </c>
      <c r="C3" s="947"/>
      <c r="D3" s="947"/>
      <c r="E3" s="947"/>
      <c r="F3" s="947"/>
      <c r="G3" s="947"/>
      <c r="H3" s="947"/>
      <c r="I3" s="947"/>
      <c r="J3" s="947"/>
      <c r="K3" s="947"/>
      <c r="L3" s="947"/>
      <c r="M3" s="947"/>
      <c r="N3" s="947"/>
      <c r="O3" s="947"/>
      <c r="P3" s="947"/>
      <c r="Q3" s="947"/>
      <c r="R3" s="947"/>
      <c r="S3" s="947"/>
      <c r="T3" s="948"/>
    </row>
    <row r="4" spans="1:20" ht="15.75" customHeight="1">
      <c r="A4" s="756"/>
      <c r="B4" s="1241" t="s">
        <v>1086</v>
      </c>
      <c r="C4" s="1242"/>
      <c r="D4" s="1242"/>
      <c r="E4" s="1242"/>
      <c r="F4" s="1242"/>
      <c r="G4" s="1242"/>
      <c r="H4" s="1242"/>
      <c r="I4" s="1242"/>
      <c r="J4" s="1242"/>
      <c r="K4" s="1242"/>
      <c r="L4" s="1242"/>
      <c r="M4" s="1242"/>
      <c r="N4" s="1242"/>
      <c r="O4" s="1242"/>
      <c r="P4" s="1242"/>
      <c r="Q4" s="1242"/>
      <c r="R4" s="1242"/>
      <c r="S4" s="1242"/>
      <c r="T4" s="1243"/>
    </row>
    <row r="5" spans="1:20" ht="29.25" customHeight="1">
      <c r="A5" s="756"/>
      <c r="B5" s="1241"/>
      <c r="C5" s="1242"/>
      <c r="D5" s="1242"/>
      <c r="E5" s="1242"/>
      <c r="F5" s="1242"/>
      <c r="G5" s="1242"/>
      <c r="H5" s="1242"/>
      <c r="I5" s="1242"/>
      <c r="J5" s="1242"/>
      <c r="K5" s="1242"/>
      <c r="L5" s="1242"/>
      <c r="M5" s="1242"/>
      <c r="N5" s="1242"/>
      <c r="O5" s="1242"/>
      <c r="P5" s="1242"/>
      <c r="Q5" s="1242"/>
      <c r="R5" s="1242"/>
      <c r="S5" s="1242"/>
      <c r="T5" s="1243"/>
    </row>
    <row r="6" spans="1:20" ht="16.5">
      <c r="A6" s="756"/>
      <c r="B6" s="779"/>
      <c r="C6" s="778"/>
      <c r="D6" s="778"/>
      <c r="E6" s="777"/>
      <c r="F6" s="777"/>
      <c r="G6" s="777"/>
      <c r="H6" s="777"/>
      <c r="I6" s="777"/>
      <c r="J6" s="777"/>
      <c r="K6" s="777"/>
      <c r="L6" s="776"/>
      <c r="M6" s="776"/>
      <c r="N6" s="776"/>
      <c r="O6" s="776"/>
      <c r="P6" s="776"/>
      <c r="Q6" s="776"/>
      <c r="R6" s="775"/>
      <c r="S6" s="774"/>
      <c r="T6" s="773"/>
    </row>
    <row r="7" spans="1:20" ht="19.5" customHeight="1" thickBot="1">
      <c r="A7" s="756"/>
      <c r="B7" s="1130" t="s">
        <v>930</v>
      </c>
      <c r="C7" s="1020"/>
      <c r="D7" s="1020"/>
      <c r="E7" s="1020"/>
      <c r="F7" s="1020"/>
      <c r="G7" s="1020"/>
      <c r="H7" s="1020"/>
      <c r="I7" s="1020"/>
      <c r="J7" s="1020"/>
      <c r="K7" s="1020"/>
      <c r="L7" s="1020"/>
      <c r="M7" s="1020"/>
      <c r="N7" s="1020"/>
      <c r="O7" s="1020"/>
      <c r="P7" s="1020"/>
      <c r="Q7" s="1020"/>
      <c r="R7" s="1020"/>
      <c r="S7" s="1020"/>
      <c r="T7" s="1131"/>
    </row>
    <row r="8" spans="1:20">
      <c r="A8" s="756"/>
      <c r="B8" s="772"/>
      <c r="C8" s="589"/>
      <c r="D8" s="589"/>
      <c r="E8" s="589"/>
      <c r="F8" s="589"/>
      <c r="G8" s="589"/>
      <c r="H8" s="589"/>
      <c r="I8" s="589"/>
      <c r="J8" s="589"/>
      <c r="K8" s="589"/>
      <c r="L8" s="589"/>
      <c r="M8" s="589"/>
      <c r="N8" s="589"/>
      <c r="O8" s="589"/>
      <c r="P8" s="589"/>
      <c r="Q8" s="589"/>
      <c r="R8" s="589"/>
      <c r="S8" s="589"/>
      <c r="T8" s="771"/>
    </row>
    <row r="9" spans="1:20" hidden="1">
      <c r="A9" s="756"/>
      <c r="B9" s="770">
        <f>'1.14 LAV. DOMIC.'!D22</f>
        <v>13</v>
      </c>
      <c r="C9" s="586"/>
      <c r="D9" s="586"/>
      <c r="E9" s="585" t="str">
        <f>+'[26]Captación Dique'!C143</f>
        <v xml:space="preserve">REVOQUES Y ENLUCIDOS </v>
      </c>
      <c r="F9" s="584"/>
      <c r="G9" s="584"/>
      <c r="H9" s="584"/>
      <c r="I9" s="584"/>
      <c r="J9" s="584"/>
      <c r="K9" s="546"/>
      <c r="L9" s="546"/>
      <c r="M9" s="546"/>
      <c r="N9" s="546"/>
      <c r="O9" s="546"/>
      <c r="P9" s="546"/>
      <c r="Q9" s="546"/>
      <c r="R9" s="546"/>
      <c r="S9" s="546"/>
      <c r="T9" s="759"/>
    </row>
    <row r="10" spans="1:20">
      <c r="A10" s="756"/>
      <c r="B10" s="574"/>
      <c r="C10" s="546"/>
      <c r="D10" s="546"/>
      <c r="E10" s="546"/>
      <c r="F10" s="546"/>
      <c r="G10" s="546"/>
      <c r="H10" s="546"/>
      <c r="I10" s="546"/>
      <c r="J10" s="546"/>
      <c r="K10" s="546"/>
      <c r="L10" s="546"/>
      <c r="M10" s="546"/>
      <c r="N10" s="546"/>
      <c r="O10" s="546"/>
      <c r="P10" s="546"/>
      <c r="Q10" s="546"/>
      <c r="R10" s="546"/>
      <c r="S10" s="546"/>
      <c r="T10" s="759"/>
    </row>
    <row r="11" spans="1:20">
      <c r="A11" s="756"/>
      <c r="B11" s="1227" t="s">
        <v>2</v>
      </c>
      <c r="C11" s="1228"/>
      <c r="D11" s="1229"/>
      <c r="E11" s="1233" t="s">
        <v>270</v>
      </c>
      <c r="F11" s="1234"/>
      <c r="G11" s="1234"/>
      <c r="H11" s="1234"/>
      <c r="I11" s="1234"/>
      <c r="J11" s="1234"/>
      <c r="K11" s="1237" t="s">
        <v>743</v>
      </c>
      <c r="L11" s="1237" t="s">
        <v>742</v>
      </c>
      <c r="M11" s="1237" t="s">
        <v>741</v>
      </c>
      <c r="N11" s="1237" t="s">
        <v>740</v>
      </c>
      <c r="O11" s="1240" t="s">
        <v>739</v>
      </c>
      <c r="P11" s="1240"/>
      <c r="Q11" s="1240"/>
      <c r="R11" s="1240"/>
      <c r="S11" s="1240"/>
      <c r="T11" s="1240"/>
    </row>
    <row r="12" spans="1:20" ht="15.75" thickBot="1">
      <c r="A12" s="756"/>
      <c r="B12" s="1230"/>
      <c r="C12" s="1231"/>
      <c r="D12" s="1232"/>
      <c r="E12" s="1235"/>
      <c r="F12" s="1236"/>
      <c r="G12" s="1236"/>
      <c r="H12" s="1236"/>
      <c r="I12" s="1236"/>
      <c r="J12" s="1236"/>
      <c r="K12" s="1238"/>
      <c r="L12" s="1239"/>
      <c r="M12" s="1239"/>
      <c r="N12" s="1239"/>
      <c r="O12" s="769" t="s">
        <v>929</v>
      </c>
      <c r="P12" s="769" t="s">
        <v>928</v>
      </c>
      <c r="Q12" s="769" t="s">
        <v>710</v>
      </c>
      <c r="R12" s="769" t="s">
        <v>737</v>
      </c>
      <c r="S12" s="769" t="s">
        <v>736</v>
      </c>
      <c r="T12" s="769" t="s">
        <v>735</v>
      </c>
    </row>
    <row r="13" spans="1:20" ht="15.75" thickTop="1">
      <c r="A13" s="756"/>
      <c r="B13" s="1083" t="s">
        <v>927</v>
      </c>
      <c r="C13" s="1225" t="s">
        <v>926</v>
      </c>
      <c r="D13" s="1078" t="s">
        <v>925</v>
      </c>
      <c r="E13" s="545"/>
      <c r="F13" s="544"/>
      <c r="G13" s="544">
        <v>0.05</v>
      </c>
      <c r="H13" s="544"/>
      <c r="I13" s="544"/>
      <c r="J13" s="767"/>
      <c r="K13" s="759"/>
      <c r="L13" s="537"/>
      <c r="M13" s="537"/>
      <c r="N13" s="537"/>
      <c r="O13" s="537"/>
      <c r="P13" s="537"/>
      <c r="Q13" s="537"/>
      <c r="R13" s="537"/>
      <c r="S13" s="537"/>
      <c r="T13" s="537"/>
    </row>
    <row r="14" spans="1:20">
      <c r="A14" s="756"/>
      <c r="B14" s="1083"/>
      <c r="C14" s="1225"/>
      <c r="D14" s="1079"/>
      <c r="E14" s="540"/>
      <c r="F14" s="539"/>
      <c r="G14" s="539"/>
      <c r="H14" s="539"/>
      <c r="I14" s="539"/>
      <c r="J14" s="757"/>
      <c r="K14" s="768"/>
      <c r="L14" s="537"/>
      <c r="M14" s="537"/>
      <c r="N14" s="537"/>
      <c r="O14" s="537"/>
      <c r="P14" s="537"/>
      <c r="Q14" s="537"/>
      <c r="R14" s="537"/>
      <c r="S14" s="537"/>
      <c r="T14" s="537"/>
    </row>
    <row r="15" spans="1:20">
      <c r="A15" s="756"/>
      <c r="B15" s="1083"/>
      <c r="C15" s="1225"/>
      <c r="D15" s="1079"/>
      <c r="E15" s="540"/>
      <c r="F15" s="546"/>
      <c r="G15" s="756"/>
      <c r="H15" s="539">
        <v>0.27629999999999999</v>
      </c>
      <c r="I15" s="539"/>
      <c r="J15" s="757"/>
      <c r="K15" s="768" t="s">
        <v>738</v>
      </c>
      <c r="L15" s="538">
        <v>1</v>
      </c>
      <c r="M15" s="538">
        <v>6</v>
      </c>
      <c r="N15" s="537">
        <f>+H15+G17+G13</f>
        <v>0.42629999999999996</v>
      </c>
      <c r="O15" s="537">
        <f t="shared" ref="O15:T15" si="0">IF(+$K15=O$12,+$L15*$M15*$N15,0)</f>
        <v>2.5577999999999999</v>
      </c>
      <c r="P15" s="537">
        <f t="shared" si="0"/>
        <v>0</v>
      </c>
      <c r="Q15" s="537">
        <f t="shared" si="0"/>
        <v>0</v>
      </c>
      <c r="R15" s="537">
        <f t="shared" si="0"/>
        <v>0</v>
      </c>
      <c r="S15" s="537">
        <f t="shared" si="0"/>
        <v>0</v>
      </c>
      <c r="T15" s="537">
        <f t="shared" si="0"/>
        <v>0</v>
      </c>
    </row>
    <row r="16" spans="1:20">
      <c r="A16" s="756"/>
      <c r="B16" s="1083"/>
      <c r="C16" s="1225"/>
      <c r="D16" s="1079"/>
      <c r="E16" s="540"/>
      <c r="F16" s="546"/>
      <c r="G16" s="539"/>
      <c r="H16" s="539"/>
      <c r="I16" s="539"/>
      <c r="J16" s="757"/>
      <c r="K16" s="757"/>
      <c r="L16" s="538"/>
      <c r="M16" s="538"/>
      <c r="N16" s="537"/>
      <c r="O16" s="537"/>
      <c r="P16" s="537"/>
      <c r="Q16" s="537"/>
      <c r="R16" s="537"/>
      <c r="S16" s="537"/>
      <c r="T16" s="537"/>
    </row>
    <row r="17" spans="1:20">
      <c r="A17" s="756"/>
      <c r="B17" s="1083"/>
      <c r="C17" s="1225"/>
      <c r="D17" s="1079"/>
      <c r="E17" s="540"/>
      <c r="F17" s="539"/>
      <c r="G17" s="539">
        <v>0.1</v>
      </c>
      <c r="H17" s="756"/>
      <c r="I17" s="539"/>
      <c r="J17" s="757"/>
      <c r="K17" s="759"/>
      <c r="L17" s="538"/>
      <c r="M17" s="538"/>
      <c r="N17" s="537"/>
      <c r="O17" s="537"/>
      <c r="P17" s="537"/>
      <c r="Q17" s="537"/>
      <c r="R17" s="537"/>
      <c r="S17" s="537"/>
      <c r="T17" s="537"/>
    </row>
    <row r="18" spans="1:20">
      <c r="A18" s="756"/>
      <c r="B18" s="1083"/>
      <c r="C18" s="1225"/>
      <c r="D18" s="1078" t="s">
        <v>924</v>
      </c>
      <c r="E18" s="545"/>
      <c r="F18" s="544"/>
      <c r="G18" s="544"/>
      <c r="H18" s="544"/>
      <c r="I18" s="544"/>
      <c r="J18" s="767"/>
      <c r="K18" s="542"/>
      <c r="L18" s="542"/>
      <c r="M18" s="542"/>
      <c r="N18" s="542"/>
      <c r="O18" s="542"/>
      <c r="P18" s="542"/>
      <c r="Q18" s="542"/>
      <c r="R18" s="542"/>
      <c r="S18" s="542"/>
      <c r="T18" s="542"/>
    </row>
    <row r="19" spans="1:20">
      <c r="A19" s="756"/>
      <c r="B19" s="1083"/>
      <c r="C19" s="1225"/>
      <c r="D19" s="1079"/>
      <c r="E19" s="540"/>
      <c r="F19" s="756"/>
      <c r="G19" s="539"/>
      <c r="H19" s="539"/>
      <c r="I19" s="539"/>
      <c r="J19" s="539"/>
      <c r="K19" s="541"/>
      <c r="L19" s="541"/>
      <c r="M19" s="541"/>
      <c r="N19" s="541"/>
      <c r="O19" s="541"/>
      <c r="P19" s="541"/>
      <c r="Q19" s="541"/>
      <c r="R19" s="541"/>
      <c r="S19" s="541"/>
      <c r="T19" s="541"/>
    </row>
    <row r="20" spans="1:20">
      <c r="A20" s="756"/>
      <c r="B20" s="1083"/>
      <c r="C20" s="1225"/>
      <c r="D20" s="1079"/>
      <c r="E20" s="540"/>
      <c r="F20" s="539"/>
      <c r="G20" s="539"/>
      <c r="H20" s="539"/>
      <c r="I20" s="546"/>
      <c r="J20" s="539"/>
      <c r="K20" s="761" t="s">
        <v>738</v>
      </c>
      <c r="L20" s="538">
        <v>1</v>
      </c>
      <c r="M20" s="538">
        <v>3</v>
      </c>
      <c r="N20" s="537">
        <v>1.3</v>
      </c>
      <c r="O20" s="537">
        <f t="shared" ref="O20:T20" si="1">IF(+$K20=O$12,+$L20*$M20*$N20,0)</f>
        <v>3.9000000000000004</v>
      </c>
      <c r="P20" s="537">
        <f t="shared" si="1"/>
        <v>0</v>
      </c>
      <c r="Q20" s="537">
        <f t="shared" si="1"/>
        <v>0</v>
      </c>
      <c r="R20" s="537">
        <f t="shared" si="1"/>
        <v>0</v>
      </c>
      <c r="S20" s="537">
        <f t="shared" si="1"/>
        <v>0</v>
      </c>
      <c r="T20" s="537">
        <f t="shared" si="1"/>
        <v>0</v>
      </c>
    </row>
    <row r="21" spans="1:20">
      <c r="A21" s="756"/>
      <c r="B21" s="1083"/>
      <c r="C21" s="1225"/>
      <c r="D21" s="1079"/>
      <c r="E21" s="540"/>
      <c r="F21" s="539"/>
      <c r="G21" s="1086">
        <v>1.1499999999999999</v>
      </c>
      <c r="H21" s="1086"/>
      <c r="I21" s="539"/>
      <c r="J21" s="539"/>
      <c r="K21" s="537"/>
      <c r="L21" s="538"/>
      <c r="M21" s="538"/>
      <c r="N21" s="537"/>
      <c r="O21" s="537"/>
      <c r="P21" s="537"/>
      <c r="Q21" s="537"/>
      <c r="R21" s="537"/>
      <c r="S21" s="537"/>
      <c r="T21" s="537"/>
    </row>
    <row r="22" spans="1:20">
      <c r="A22" s="756"/>
      <c r="B22" s="1083"/>
      <c r="C22" s="1225"/>
      <c r="D22" s="1079"/>
      <c r="E22" s="540"/>
      <c r="F22" s="539"/>
      <c r="G22" s="539"/>
      <c r="H22" s="539"/>
      <c r="I22" s="539"/>
      <c r="J22" s="539"/>
      <c r="K22" s="549"/>
      <c r="L22" s="538"/>
      <c r="M22" s="538"/>
      <c r="N22" s="537"/>
      <c r="O22" s="537"/>
      <c r="P22" s="537"/>
      <c r="Q22" s="537"/>
      <c r="R22" s="537"/>
      <c r="S22" s="537"/>
      <c r="T22" s="537"/>
    </row>
    <row r="23" spans="1:20">
      <c r="A23" s="756"/>
      <c r="B23" s="1083"/>
      <c r="C23" s="1225"/>
      <c r="D23" s="1078" t="s">
        <v>923</v>
      </c>
      <c r="E23" s="545"/>
      <c r="F23" s="544"/>
      <c r="G23" s="544"/>
      <c r="H23" s="544"/>
      <c r="I23" s="544"/>
      <c r="J23" s="544"/>
      <c r="K23" s="542"/>
      <c r="L23" s="542"/>
      <c r="M23" s="542"/>
      <c r="N23" s="542"/>
      <c r="O23" s="542"/>
      <c r="P23" s="542"/>
      <c r="Q23" s="542"/>
      <c r="R23" s="542"/>
      <c r="S23" s="542"/>
      <c r="T23" s="542"/>
    </row>
    <row r="24" spans="1:20">
      <c r="A24" s="756"/>
      <c r="B24" s="1083"/>
      <c r="C24" s="1225"/>
      <c r="D24" s="1079"/>
      <c r="E24" s="540"/>
      <c r="F24" s="546"/>
      <c r="G24" s="539"/>
      <c r="H24" s="539"/>
      <c r="I24" s="546"/>
      <c r="J24" s="539"/>
      <c r="K24" s="541"/>
      <c r="L24" s="538"/>
      <c r="M24" s="538"/>
      <c r="N24" s="537"/>
      <c r="O24" s="537"/>
      <c r="P24" s="537"/>
      <c r="Q24" s="537"/>
      <c r="R24" s="537"/>
      <c r="S24" s="537"/>
      <c r="T24" s="537"/>
    </row>
    <row r="25" spans="1:20">
      <c r="A25" s="756"/>
      <c r="B25" s="1083"/>
      <c r="C25" s="1225"/>
      <c r="D25" s="1079"/>
      <c r="E25" s="540"/>
      <c r="F25" s="546">
        <v>7.4999999999999997E-2</v>
      </c>
      <c r="G25" s="756"/>
      <c r="H25" s="566"/>
      <c r="I25" s="546">
        <v>7.4999999999999997E-2</v>
      </c>
      <c r="J25" s="539"/>
      <c r="K25" s="761" t="s">
        <v>738</v>
      </c>
      <c r="L25" s="538">
        <v>1</v>
      </c>
      <c r="M25" s="538">
        <v>5</v>
      </c>
      <c r="N25" s="537">
        <f>+G26</f>
        <v>0.86499999999999999</v>
      </c>
      <c r="O25" s="537">
        <f t="shared" ref="O25:T25" si="2">IF(+$K25=O$12,+$L25*$M25*$N25,0)</f>
        <v>4.3250000000000002</v>
      </c>
      <c r="P25" s="537">
        <f t="shared" si="2"/>
        <v>0</v>
      </c>
      <c r="Q25" s="537">
        <f t="shared" si="2"/>
        <v>0</v>
      </c>
      <c r="R25" s="537">
        <f t="shared" si="2"/>
        <v>0</v>
      </c>
      <c r="S25" s="537">
        <f t="shared" si="2"/>
        <v>0</v>
      </c>
      <c r="T25" s="537">
        <f t="shared" si="2"/>
        <v>0</v>
      </c>
    </row>
    <row r="26" spans="1:20">
      <c r="A26" s="756"/>
      <c r="B26" s="1083"/>
      <c r="C26" s="1225"/>
      <c r="D26" s="1079"/>
      <c r="E26" s="540"/>
      <c r="F26" s="539"/>
      <c r="G26" s="1093">
        <v>0.86499999999999999</v>
      </c>
      <c r="H26" s="1093"/>
      <c r="I26" s="539"/>
      <c r="J26" s="539"/>
      <c r="K26" s="537"/>
      <c r="L26" s="538"/>
      <c r="M26" s="538"/>
      <c r="N26" s="537"/>
      <c r="O26" s="537"/>
      <c r="P26" s="537"/>
      <c r="Q26" s="537"/>
      <c r="R26" s="537"/>
      <c r="S26" s="537"/>
      <c r="T26" s="537"/>
    </row>
    <row r="27" spans="1:20">
      <c r="A27" s="756"/>
      <c r="B27" s="1083"/>
      <c r="C27" s="1225"/>
      <c r="D27" s="1080"/>
      <c r="E27" s="551"/>
      <c r="F27" s="550"/>
      <c r="G27" s="569"/>
      <c r="H27" s="569"/>
      <c r="I27" s="550"/>
      <c r="J27" s="550"/>
      <c r="K27" s="549"/>
      <c r="L27" s="548"/>
      <c r="M27" s="548"/>
      <c r="N27" s="547"/>
      <c r="O27" s="547"/>
      <c r="P27" s="537"/>
      <c r="Q27" s="537"/>
      <c r="R27" s="537"/>
      <c r="S27" s="537"/>
      <c r="T27" s="537"/>
    </row>
    <row r="28" spans="1:20">
      <c r="A28" s="756"/>
      <c r="B28" s="1083"/>
      <c r="C28" s="1225"/>
      <c r="D28" s="1078" t="s">
        <v>922</v>
      </c>
      <c r="E28" s="545"/>
      <c r="F28" s="544"/>
      <c r="G28" s="544"/>
      <c r="H28" s="544"/>
      <c r="I28" s="544"/>
      <c r="J28" s="544"/>
      <c r="K28" s="542"/>
      <c r="L28" s="542"/>
      <c r="M28" s="542"/>
      <c r="N28" s="542"/>
      <c r="O28" s="542"/>
      <c r="P28" s="542"/>
      <c r="Q28" s="542"/>
      <c r="R28" s="542"/>
      <c r="S28" s="542"/>
      <c r="T28" s="542"/>
    </row>
    <row r="29" spans="1:20">
      <c r="A29" s="756"/>
      <c r="B29" s="1083"/>
      <c r="C29" s="1225"/>
      <c r="D29" s="1079"/>
      <c r="E29" s="540"/>
      <c r="F29" s="546"/>
      <c r="G29" s="539"/>
      <c r="H29" s="539"/>
      <c r="I29" s="546"/>
      <c r="J29" s="539"/>
      <c r="K29" s="541"/>
      <c r="L29" s="538"/>
      <c r="M29" s="538"/>
      <c r="N29" s="537"/>
      <c r="O29" s="537"/>
      <c r="P29" s="537"/>
      <c r="Q29" s="537"/>
      <c r="R29" s="537"/>
      <c r="S29" s="537"/>
      <c r="T29" s="537"/>
    </row>
    <row r="30" spans="1:20">
      <c r="A30" s="756"/>
      <c r="B30" s="1083"/>
      <c r="C30" s="1225"/>
      <c r="D30" s="1079"/>
      <c r="E30" s="540"/>
      <c r="F30" s="756"/>
      <c r="G30" s="546">
        <v>0.69550000000000001</v>
      </c>
      <c r="H30" s="566"/>
      <c r="I30" s="546"/>
      <c r="J30" s="539"/>
      <c r="K30" s="761" t="s">
        <v>738</v>
      </c>
      <c r="L30" s="538">
        <v>1</v>
      </c>
      <c r="M30" s="538">
        <v>6</v>
      </c>
      <c r="N30" s="537">
        <f>I29+G30</f>
        <v>0.69550000000000001</v>
      </c>
      <c r="O30" s="537">
        <f t="shared" ref="O30:T30" si="3">IF(+$K30=O$12,+$L30*$M30*$N30,0)</f>
        <v>4.173</v>
      </c>
      <c r="P30" s="537">
        <f t="shared" si="3"/>
        <v>0</v>
      </c>
      <c r="Q30" s="537">
        <f t="shared" si="3"/>
        <v>0</v>
      </c>
      <c r="R30" s="537">
        <f t="shared" si="3"/>
        <v>0</v>
      </c>
      <c r="S30" s="537">
        <f t="shared" si="3"/>
        <v>0</v>
      </c>
      <c r="T30" s="537">
        <f t="shared" si="3"/>
        <v>0</v>
      </c>
    </row>
    <row r="31" spans="1:20">
      <c r="A31" s="756"/>
      <c r="B31" s="1083"/>
      <c r="C31" s="1225"/>
      <c r="D31" s="1079"/>
      <c r="E31" s="540"/>
      <c r="F31" s="539"/>
      <c r="G31" s="546"/>
      <c r="H31" s="546"/>
      <c r="I31" s="539"/>
      <c r="J31" s="539"/>
      <c r="K31" s="537"/>
      <c r="L31" s="538"/>
      <c r="M31" s="538"/>
      <c r="N31" s="537"/>
      <c r="O31" s="537"/>
      <c r="P31" s="537"/>
      <c r="Q31" s="537"/>
      <c r="R31" s="537"/>
      <c r="S31" s="537"/>
      <c r="T31" s="537"/>
    </row>
    <row r="32" spans="1:20">
      <c r="A32" s="756"/>
      <c r="B32" s="1083"/>
      <c r="C32" s="1225"/>
      <c r="D32" s="1080"/>
      <c r="E32" s="551"/>
      <c r="F32" s="550"/>
      <c r="G32" s="569"/>
      <c r="H32" s="569"/>
      <c r="I32" s="550"/>
      <c r="J32" s="550"/>
      <c r="K32" s="549"/>
      <c r="L32" s="548"/>
      <c r="M32" s="548"/>
      <c r="N32" s="547"/>
      <c r="O32" s="547"/>
      <c r="P32" s="537"/>
      <c r="Q32" s="537"/>
      <c r="R32" s="537"/>
      <c r="S32" s="537"/>
      <c r="T32" s="537"/>
    </row>
    <row r="33" spans="1:20">
      <c r="A33" s="756"/>
      <c r="B33" s="1083"/>
      <c r="C33" s="1225"/>
      <c r="D33" s="1078" t="s">
        <v>921</v>
      </c>
      <c r="E33" s="545"/>
      <c r="F33" s="544"/>
      <c r="G33" s="544"/>
      <c r="H33" s="544"/>
      <c r="I33" s="544"/>
      <c r="J33" s="544"/>
      <c r="K33" s="542"/>
      <c r="L33" s="542"/>
      <c r="M33" s="542"/>
      <c r="N33" s="542"/>
      <c r="O33" s="542"/>
      <c r="P33" s="542"/>
      <c r="Q33" s="542"/>
      <c r="R33" s="542"/>
      <c r="S33" s="542"/>
      <c r="T33" s="542"/>
    </row>
    <row r="34" spans="1:20">
      <c r="A34" s="756"/>
      <c r="B34" s="1083"/>
      <c r="C34" s="1225"/>
      <c r="D34" s="1079"/>
      <c r="E34" s="540"/>
      <c r="F34" s="546">
        <v>0.08</v>
      </c>
      <c r="G34" s="539"/>
      <c r="H34" s="539"/>
      <c r="I34" s="546">
        <v>0.08</v>
      </c>
      <c r="J34" s="539"/>
      <c r="K34" s="541"/>
      <c r="L34" s="538"/>
      <c r="M34" s="538"/>
      <c r="N34" s="537"/>
      <c r="O34" s="537"/>
      <c r="P34" s="537"/>
      <c r="Q34" s="537"/>
      <c r="R34" s="537"/>
      <c r="S34" s="537"/>
      <c r="T34" s="537"/>
    </row>
    <row r="35" spans="1:20">
      <c r="A35" s="756"/>
      <c r="B35" s="1083"/>
      <c r="C35" s="1225"/>
      <c r="D35" s="1079"/>
      <c r="E35" s="540"/>
      <c r="F35" s="546"/>
      <c r="G35" s="1093">
        <v>0.63</v>
      </c>
      <c r="H35" s="1093"/>
      <c r="I35" s="546"/>
      <c r="J35" s="539"/>
      <c r="K35" s="761" t="s">
        <v>738</v>
      </c>
      <c r="L35" s="538">
        <v>1</v>
      </c>
      <c r="M35" s="538">
        <v>3</v>
      </c>
      <c r="N35" s="537">
        <f>+G35+I34+F34</f>
        <v>0.78999999999999992</v>
      </c>
      <c r="O35" s="537">
        <f t="shared" ref="O35:T35" si="4">IF(+$K35=O$12,+$L35*$M35*$N35,0)</f>
        <v>2.3699999999999997</v>
      </c>
      <c r="P35" s="537">
        <f t="shared" si="4"/>
        <v>0</v>
      </c>
      <c r="Q35" s="537">
        <f t="shared" si="4"/>
        <v>0</v>
      </c>
      <c r="R35" s="537">
        <f t="shared" si="4"/>
        <v>0</v>
      </c>
      <c r="S35" s="537">
        <f t="shared" si="4"/>
        <v>0</v>
      </c>
      <c r="T35" s="537">
        <f t="shared" si="4"/>
        <v>0</v>
      </c>
    </row>
    <row r="36" spans="1:20">
      <c r="A36" s="756"/>
      <c r="B36" s="1083"/>
      <c r="C36" s="1225"/>
      <c r="D36" s="1079"/>
      <c r="E36" s="540"/>
      <c r="F36" s="539"/>
      <c r="G36" s="546"/>
      <c r="H36" s="546"/>
      <c r="I36" s="539"/>
      <c r="J36" s="539"/>
      <c r="K36" s="537"/>
      <c r="L36" s="538"/>
      <c r="M36" s="538"/>
      <c r="N36" s="537"/>
      <c r="O36" s="537"/>
      <c r="P36" s="537"/>
      <c r="Q36" s="537"/>
      <c r="R36" s="537"/>
      <c r="S36" s="537"/>
      <c r="T36" s="537"/>
    </row>
    <row r="37" spans="1:20">
      <c r="A37" s="756"/>
      <c r="B37" s="1083"/>
      <c r="C37" s="1225"/>
      <c r="D37" s="1080"/>
      <c r="E37" s="551"/>
      <c r="F37" s="550"/>
      <c r="G37" s="569"/>
      <c r="H37" s="569"/>
      <c r="I37" s="550"/>
      <c r="J37" s="550"/>
      <c r="K37" s="549"/>
      <c r="L37" s="548"/>
      <c r="M37" s="548"/>
      <c r="N37" s="547"/>
      <c r="O37" s="547"/>
      <c r="P37" s="537"/>
      <c r="Q37" s="537"/>
      <c r="R37" s="537"/>
      <c r="S37" s="537"/>
      <c r="T37" s="537"/>
    </row>
    <row r="38" spans="1:20">
      <c r="A38" s="756"/>
      <c r="B38" s="1083"/>
      <c r="C38" s="1225"/>
      <c r="D38" s="1078" t="s">
        <v>920</v>
      </c>
      <c r="E38" s="545"/>
      <c r="F38" s="544"/>
      <c r="G38" s="544"/>
      <c r="H38" s="544">
        <v>7.4999999999999997E-2</v>
      </c>
      <c r="I38" s="544"/>
      <c r="J38" s="544"/>
      <c r="K38" s="542"/>
      <c r="L38" s="542"/>
      <c r="M38" s="542"/>
      <c r="N38" s="542"/>
      <c r="O38" s="542"/>
      <c r="P38" s="542"/>
      <c r="Q38" s="542"/>
      <c r="R38" s="542"/>
      <c r="S38" s="542"/>
      <c r="T38" s="542"/>
    </row>
    <row r="39" spans="1:20">
      <c r="A39" s="756"/>
      <c r="B39" s="1083"/>
      <c r="C39" s="1225"/>
      <c r="D39" s="1079"/>
      <c r="E39" s="540"/>
      <c r="F39" s="546"/>
      <c r="G39" s="539"/>
      <c r="H39" s="539"/>
      <c r="I39" s="546"/>
      <c r="J39" s="539"/>
      <c r="K39" s="541"/>
      <c r="L39" s="538"/>
      <c r="M39" s="538"/>
      <c r="N39" s="537"/>
      <c r="O39" s="537"/>
      <c r="P39" s="537"/>
      <c r="Q39" s="537"/>
      <c r="R39" s="537"/>
      <c r="S39" s="537"/>
      <c r="T39" s="537"/>
    </row>
    <row r="40" spans="1:20">
      <c r="A40" s="756"/>
      <c r="B40" s="1083"/>
      <c r="C40" s="1225"/>
      <c r="D40" s="1079"/>
      <c r="E40" s="540"/>
      <c r="F40" s="546"/>
      <c r="G40" s="1093">
        <v>0.27929999999999999</v>
      </c>
      <c r="H40" s="1093"/>
      <c r="I40" s="546"/>
      <c r="J40" s="539"/>
      <c r="K40" s="761" t="s">
        <v>738</v>
      </c>
      <c r="L40" s="538">
        <v>1</v>
      </c>
      <c r="M40" s="538">
        <v>5</v>
      </c>
      <c r="N40" s="537">
        <v>0.44</v>
      </c>
      <c r="O40" s="537">
        <f t="shared" ref="O40:T40" si="5">IF(+$K40=O$12,+$L40*$M40*$N40,0)</f>
        <v>2.2000000000000002</v>
      </c>
      <c r="P40" s="537">
        <f t="shared" si="5"/>
        <v>0</v>
      </c>
      <c r="Q40" s="537">
        <f t="shared" si="5"/>
        <v>0</v>
      </c>
      <c r="R40" s="537">
        <f t="shared" si="5"/>
        <v>0</v>
      </c>
      <c r="S40" s="537">
        <f t="shared" si="5"/>
        <v>0</v>
      </c>
      <c r="T40" s="537">
        <f t="shared" si="5"/>
        <v>0</v>
      </c>
    </row>
    <row r="41" spans="1:20">
      <c r="A41" s="756"/>
      <c r="B41" s="1083"/>
      <c r="C41" s="1225"/>
      <c r="D41" s="1079"/>
      <c r="E41" s="540"/>
      <c r="F41" s="539"/>
      <c r="G41" s="546"/>
      <c r="H41" s="546"/>
      <c r="I41" s="539"/>
      <c r="J41" s="539"/>
      <c r="K41" s="537"/>
      <c r="L41" s="538"/>
      <c r="M41" s="538"/>
      <c r="N41" s="537"/>
      <c r="O41" s="537"/>
      <c r="P41" s="537"/>
      <c r="Q41" s="537"/>
      <c r="R41" s="537"/>
      <c r="S41" s="537"/>
      <c r="T41" s="537"/>
    </row>
    <row r="42" spans="1:20">
      <c r="A42" s="756"/>
      <c r="B42" s="1083"/>
      <c r="C42" s="1225"/>
      <c r="D42" s="1080"/>
      <c r="E42" s="551"/>
      <c r="F42" s="550"/>
      <c r="G42" s="569"/>
      <c r="H42" s="569">
        <v>7.4999999999999997E-2</v>
      </c>
      <c r="I42" s="550"/>
      <c r="J42" s="550"/>
      <c r="K42" s="549"/>
      <c r="L42" s="548"/>
      <c r="M42" s="548"/>
      <c r="N42" s="547"/>
      <c r="O42" s="547"/>
      <c r="P42" s="537"/>
      <c r="Q42" s="537"/>
      <c r="R42" s="537"/>
      <c r="S42" s="537"/>
      <c r="T42" s="537"/>
    </row>
    <row r="43" spans="1:20">
      <c r="A43" s="756"/>
      <c r="B43" s="1083"/>
      <c r="C43" s="1225"/>
      <c r="D43" s="1078" t="s">
        <v>919</v>
      </c>
      <c r="E43" s="545"/>
      <c r="F43" s="544"/>
      <c r="G43" s="544"/>
      <c r="H43" s="544"/>
      <c r="I43" s="544"/>
      <c r="J43" s="544"/>
      <c r="K43" s="542"/>
      <c r="L43" s="542"/>
      <c r="M43" s="542"/>
      <c r="N43" s="542"/>
      <c r="O43" s="542"/>
      <c r="P43" s="542"/>
      <c r="Q43" s="542"/>
      <c r="R43" s="542"/>
      <c r="S43" s="542"/>
      <c r="T43" s="542"/>
    </row>
    <row r="44" spans="1:20">
      <c r="A44" s="756"/>
      <c r="B44" s="1083"/>
      <c r="C44" s="1225"/>
      <c r="D44" s="1079"/>
      <c r="E44" s="540"/>
      <c r="F44" s="546"/>
      <c r="G44" s="539"/>
      <c r="H44" s="539"/>
      <c r="I44" s="546"/>
      <c r="J44" s="539"/>
      <c r="K44" s="541"/>
      <c r="L44" s="538"/>
      <c r="M44" s="538"/>
      <c r="N44" s="537"/>
      <c r="O44" s="537"/>
      <c r="P44" s="537"/>
      <c r="Q44" s="537"/>
      <c r="R44" s="537"/>
      <c r="S44" s="537"/>
      <c r="T44" s="537"/>
    </row>
    <row r="45" spans="1:20">
      <c r="A45" s="756"/>
      <c r="B45" s="1083"/>
      <c r="C45" s="1225"/>
      <c r="D45" s="1079"/>
      <c r="E45" s="540"/>
      <c r="F45" s="546"/>
      <c r="G45" s="1093">
        <v>0.63</v>
      </c>
      <c r="H45" s="1093"/>
      <c r="I45" s="546"/>
      <c r="J45" s="539"/>
      <c r="K45" s="761" t="s">
        <v>738</v>
      </c>
      <c r="L45" s="538">
        <v>2</v>
      </c>
      <c r="M45" s="538">
        <v>4</v>
      </c>
      <c r="N45" s="537">
        <f>+G45</f>
        <v>0.63</v>
      </c>
      <c r="O45" s="537">
        <f t="shared" ref="O45:T45" si="6">IF(+$K45=O$12,+$L45*$M45*$N45,0)</f>
        <v>5.04</v>
      </c>
      <c r="P45" s="537">
        <f t="shared" si="6"/>
        <v>0</v>
      </c>
      <c r="Q45" s="537">
        <f t="shared" si="6"/>
        <v>0</v>
      </c>
      <c r="R45" s="537">
        <f t="shared" si="6"/>
        <v>0</v>
      </c>
      <c r="S45" s="537">
        <f t="shared" si="6"/>
        <v>0</v>
      </c>
      <c r="T45" s="537">
        <f t="shared" si="6"/>
        <v>0</v>
      </c>
    </row>
    <row r="46" spans="1:20">
      <c r="A46" s="756"/>
      <c r="B46" s="1083"/>
      <c r="C46" s="1225"/>
      <c r="D46" s="1079"/>
      <c r="E46" s="540"/>
      <c r="F46" s="539"/>
      <c r="G46" s="546"/>
      <c r="H46" s="546"/>
      <c r="I46" s="539"/>
      <c r="J46" s="539"/>
      <c r="K46" s="537"/>
      <c r="L46" s="538"/>
      <c r="M46" s="538"/>
      <c r="N46" s="537"/>
      <c r="O46" s="537"/>
      <c r="P46" s="537"/>
      <c r="Q46" s="537"/>
      <c r="R46" s="537"/>
      <c r="S46" s="537"/>
      <c r="T46" s="537"/>
    </row>
    <row r="47" spans="1:20">
      <c r="A47" s="756"/>
      <c r="B47" s="1083"/>
      <c r="C47" s="1225"/>
      <c r="D47" s="1080"/>
      <c r="E47" s="551"/>
      <c r="F47" s="550"/>
      <c r="G47" s="569"/>
      <c r="H47" s="569"/>
      <c r="I47" s="550"/>
      <c r="J47" s="550"/>
      <c r="K47" s="549"/>
      <c r="L47" s="548"/>
      <c r="M47" s="548"/>
      <c r="N47" s="547"/>
      <c r="O47" s="547"/>
      <c r="P47" s="537"/>
      <c r="Q47" s="537"/>
      <c r="R47" s="537"/>
      <c r="S47" s="537"/>
      <c r="T47" s="537"/>
    </row>
    <row r="48" spans="1:20" ht="15" customHeight="1">
      <c r="A48" s="756"/>
      <c r="B48" s="1083"/>
      <c r="C48" s="1225"/>
      <c r="D48" s="1078" t="s">
        <v>918</v>
      </c>
      <c r="E48" s="545"/>
      <c r="F48" s="544"/>
      <c r="G48" s="568"/>
      <c r="H48" s="568"/>
      <c r="I48" s="544"/>
      <c r="J48" s="544"/>
      <c r="K48" s="542"/>
      <c r="L48" s="542"/>
      <c r="M48" s="542"/>
      <c r="N48" s="542"/>
      <c r="O48" s="542"/>
      <c r="P48" s="542"/>
      <c r="Q48" s="542"/>
      <c r="R48" s="542"/>
      <c r="S48" s="542"/>
      <c r="T48" s="542"/>
    </row>
    <row r="49" spans="1:20">
      <c r="A49" s="756"/>
      <c r="B49" s="1083"/>
      <c r="C49" s="1225"/>
      <c r="D49" s="1079"/>
      <c r="E49" s="540"/>
      <c r="F49" s="546"/>
      <c r="G49" s="567"/>
      <c r="H49" s="567"/>
      <c r="I49" s="546"/>
      <c r="J49" s="539"/>
      <c r="K49" s="541"/>
      <c r="L49" s="538"/>
      <c r="M49" s="538"/>
      <c r="N49" s="537"/>
      <c r="O49" s="537"/>
      <c r="P49" s="537"/>
      <c r="Q49" s="537"/>
      <c r="R49" s="537"/>
      <c r="S49" s="537"/>
      <c r="T49" s="537"/>
    </row>
    <row r="50" spans="1:20">
      <c r="A50" s="756"/>
      <c r="B50" s="1083"/>
      <c r="C50" s="1225"/>
      <c r="D50" s="1079"/>
      <c r="E50" s="540"/>
      <c r="F50" s="546"/>
      <c r="G50" s="1093">
        <v>0.33800000000000002</v>
      </c>
      <c r="H50" s="1093"/>
      <c r="I50" s="546"/>
      <c r="J50" s="539"/>
      <c r="K50" s="761" t="s">
        <v>738</v>
      </c>
      <c r="L50" s="538">
        <v>2</v>
      </c>
      <c r="M50" s="538">
        <v>5</v>
      </c>
      <c r="N50" s="537">
        <f>+G50+G52</f>
        <v>0.43800000000000006</v>
      </c>
      <c r="O50" s="537">
        <f>IF(+$K50=O$12,+$L50*$M50*$N50,0)</f>
        <v>4.3800000000000008</v>
      </c>
      <c r="P50" s="537">
        <f>IF(+$K50=P$12,+$L50*$M50*$N50,0)</f>
        <v>0</v>
      </c>
      <c r="Q50" s="537">
        <f>IF(+$K50=Q$12,+$L50*$M50*$N50,0)</f>
        <v>0</v>
      </c>
      <c r="R50" s="537">
        <f>IF(+$K50=R$11,+$L50*$M50*$N50,0)</f>
        <v>0</v>
      </c>
      <c r="S50" s="537">
        <f>IF(+$K50=S$11,+$L50*$M50*$N50,0)</f>
        <v>0</v>
      </c>
      <c r="T50" s="537">
        <f>IF(+$K50=T$11,+$L50*$M50*$N50,0)</f>
        <v>0</v>
      </c>
    </row>
    <row r="51" spans="1:20">
      <c r="A51" s="756"/>
      <c r="B51" s="1083"/>
      <c r="C51" s="1225"/>
      <c r="D51" s="1079"/>
      <c r="E51" s="540"/>
      <c r="F51" s="539"/>
      <c r="G51" s="546"/>
      <c r="H51" s="546"/>
      <c r="I51" s="539"/>
      <c r="J51" s="539"/>
      <c r="K51" s="537"/>
      <c r="L51" s="538"/>
      <c r="M51" s="538"/>
      <c r="N51" s="537"/>
      <c r="O51" s="537"/>
      <c r="P51" s="537"/>
      <c r="Q51" s="537"/>
      <c r="R51" s="537"/>
      <c r="S51" s="537"/>
      <c r="T51" s="537"/>
    </row>
    <row r="52" spans="1:20">
      <c r="A52" s="756"/>
      <c r="B52" s="1083"/>
      <c r="C52" s="1226"/>
      <c r="D52" s="1080"/>
      <c r="E52" s="551"/>
      <c r="F52" s="550"/>
      <c r="G52" s="766">
        <v>0.1</v>
      </c>
      <c r="H52" s="550"/>
      <c r="I52" s="550"/>
      <c r="J52" s="550"/>
      <c r="K52" s="549"/>
      <c r="L52" s="548"/>
      <c r="M52" s="548"/>
      <c r="N52" s="547"/>
      <c r="O52" s="547"/>
      <c r="P52" s="547"/>
      <c r="Q52" s="547"/>
      <c r="R52" s="547"/>
      <c r="S52" s="547"/>
      <c r="T52" s="547"/>
    </row>
    <row r="53" spans="1:20" ht="0.75" customHeight="1">
      <c r="A53" s="756"/>
      <c r="B53" s="1083"/>
      <c r="C53" s="1079" t="s">
        <v>729</v>
      </c>
      <c r="D53" s="1079" t="s">
        <v>728</v>
      </c>
      <c r="E53" s="540"/>
      <c r="F53" s="539"/>
      <c r="G53" s="539"/>
      <c r="H53" s="539"/>
      <c r="I53" s="539"/>
      <c r="J53" s="539"/>
      <c r="K53" s="541"/>
      <c r="L53" s="541"/>
      <c r="M53" s="541"/>
      <c r="N53" s="541"/>
      <c r="O53" s="541"/>
      <c r="P53" s="541"/>
      <c r="Q53" s="541"/>
      <c r="R53" s="541"/>
      <c r="S53" s="541"/>
      <c r="T53" s="541"/>
    </row>
    <row r="54" spans="1:20" hidden="1">
      <c r="A54" s="756"/>
      <c r="B54" s="1083"/>
      <c r="C54" s="1079"/>
      <c r="D54" s="1079"/>
      <c r="E54" s="540"/>
      <c r="F54" s="539"/>
      <c r="G54" s="539"/>
      <c r="H54" s="539"/>
      <c r="I54" s="539"/>
      <c r="J54" s="539"/>
      <c r="K54" s="541"/>
      <c r="L54" s="537"/>
      <c r="M54" s="537"/>
      <c r="N54" s="537"/>
      <c r="O54" s="537"/>
      <c r="P54" s="537"/>
      <c r="Q54" s="537"/>
      <c r="R54" s="537"/>
      <c r="S54" s="537"/>
      <c r="T54" s="537"/>
    </row>
    <row r="55" spans="1:20" hidden="1">
      <c r="A55" s="756"/>
      <c r="B55" s="1083"/>
      <c r="C55" s="1079"/>
      <c r="D55" s="1079"/>
      <c r="E55" s="540"/>
      <c r="F55" s="539"/>
      <c r="G55" s="539"/>
      <c r="H55" s="539"/>
      <c r="I55" s="539"/>
      <c r="J55" s="539"/>
      <c r="K55" s="541"/>
      <c r="L55" s="537"/>
      <c r="M55" s="537"/>
      <c r="N55" s="537"/>
      <c r="O55" s="537"/>
      <c r="P55" s="537"/>
      <c r="Q55" s="537"/>
      <c r="R55" s="537"/>
      <c r="S55" s="537"/>
      <c r="T55" s="537"/>
    </row>
    <row r="56" spans="1:20" ht="9.75" hidden="1" customHeight="1">
      <c r="A56" s="756"/>
      <c r="B56" s="1083"/>
      <c r="C56" s="1079"/>
      <c r="D56" s="1079"/>
      <c r="E56" s="540"/>
      <c r="F56" s="546"/>
      <c r="G56" s="539">
        <v>1.23</v>
      </c>
      <c r="H56" s="539"/>
      <c r="I56" s="539"/>
      <c r="J56" s="539"/>
      <c r="K56" s="537" t="s">
        <v>710</v>
      </c>
      <c r="L56" s="538">
        <v>0</v>
      </c>
      <c r="M56" s="538">
        <v>4</v>
      </c>
      <c r="N56" s="537">
        <f>+G56+H58+G54</f>
        <v>1.33</v>
      </c>
      <c r="O56" s="537">
        <f t="shared" ref="O56:T56" si="7">IF(+$K56=O$12,+$L56*$M56*$N56,0)</f>
        <v>0</v>
      </c>
      <c r="P56" s="537">
        <f t="shared" si="7"/>
        <v>0</v>
      </c>
      <c r="Q56" s="537">
        <f t="shared" si="7"/>
        <v>0</v>
      </c>
      <c r="R56" s="537">
        <f t="shared" si="7"/>
        <v>0</v>
      </c>
      <c r="S56" s="537">
        <f t="shared" si="7"/>
        <v>0</v>
      </c>
      <c r="T56" s="537">
        <f t="shared" si="7"/>
        <v>0</v>
      </c>
    </row>
    <row r="57" spans="1:20" hidden="1">
      <c r="A57" s="756"/>
      <c r="B57" s="1083"/>
      <c r="C57" s="1079"/>
      <c r="D57" s="1079"/>
      <c r="E57" s="540"/>
      <c r="F57" s="546"/>
      <c r="G57" s="539"/>
      <c r="H57" s="539"/>
      <c r="I57" s="539"/>
      <c r="J57" s="539"/>
      <c r="K57" s="537"/>
      <c r="L57" s="538"/>
      <c r="M57" s="538"/>
      <c r="N57" s="537"/>
      <c r="O57" s="537"/>
      <c r="P57" s="537"/>
      <c r="Q57" s="537"/>
      <c r="R57" s="537"/>
      <c r="S57" s="537"/>
      <c r="T57" s="537"/>
    </row>
    <row r="58" spans="1:20" hidden="1">
      <c r="A58" s="756"/>
      <c r="B58" s="1083"/>
      <c r="C58" s="1079"/>
      <c r="D58" s="1079"/>
      <c r="E58" s="540"/>
      <c r="F58" s="539"/>
      <c r="G58" s="546"/>
      <c r="H58" s="539">
        <v>0.1</v>
      </c>
      <c r="I58" s="539"/>
      <c r="J58" s="539"/>
      <c r="K58" s="541"/>
      <c r="L58" s="538"/>
      <c r="M58" s="538"/>
      <c r="N58" s="537"/>
      <c r="O58" s="537"/>
      <c r="P58" s="537"/>
      <c r="Q58" s="537"/>
      <c r="R58" s="537"/>
      <c r="S58" s="537"/>
      <c r="T58" s="537"/>
    </row>
    <row r="59" spans="1:20" hidden="1">
      <c r="A59" s="756"/>
      <c r="B59" s="1083"/>
      <c r="C59" s="1079"/>
      <c r="D59" s="1079"/>
      <c r="E59" s="540"/>
      <c r="F59" s="539"/>
      <c r="G59" s="539"/>
      <c r="H59" s="539"/>
      <c r="I59" s="539"/>
      <c r="J59" s="539"/>
      <c r="K59" s="541"/>
      <c r="L59" s="538"/>
      <c r="M59" s="538"/>
      <c r="N59" s="537"/>
      <c r="O59" s="537"/>
      <c r="P59" s="537"/>
      <c r="Q59" s="537"/>
      <c r="R59" s="537"/>
      <c r="S59" s="537"/>
      <c r="T59" s="537"/>
    </row>
    <row r="60" spans="1:20" hidden="1">
      <c r="A60" s="756"/>
      <c r="B60" s="1083"/>
      <c r="C60" s="1079"/>
      <c r="D60" s="1078" t="s">
        <v>725</v>
      </c>
      <c r="E60" s="545"/>
      <c r="F60" s="544"/>
      <c r="G60" s="544"/>
      <c r="H60" s="544"/>
      <c r="I60" s="544"/>
      <c r="J60" s="544"/>
      <c r="K60" s="542"/>
      <c r="L60" s="542"/>
      <c r="M60" s="542"/>
      <c r="N60" s="542"/>
      <c r="O60" s="542"/>
      <c r="P60" s="542"/>
      <c r="Q60" s="542"/>
      <c r="R60" s="542"/>
      <c r="S60" s="542"/>
      <c r="T60" s="542"/>
    </row>
    <row r="61" spans="1:20" hidden="1">
      <c r="A61" s="756"/>
      <c r="B61" s="1083"/>
      <c r="C61" s="1079"/>
      <c r="D61" s="1079"/>
      <c r="E61" s="540"/>
      <c r="F61" s="539"/>
      <c r="G61" s="539"/>
      <c r="H61" s="539"/>
      <c r="I61" s="539"/>
      <c r="J61" s="539"/>
      <c r="K61" s="541"/>
      <c r="L61" s="541"/>
      <c r="M61" s="541"/>
      <c r="N61" s="541"/>
      <c r="O61" s="541"/>
      <c r="P61" s="541"/>
      <c r="Q61" s="541"/>
      <c r="R61" s="541"/>
      <c r="S61" s="541"/>
      <c r="T61" s="541"/>
    </row>
    <row r="62" spans="1:20" hidden="1">
      <c r="A62" s="756"/>
      <c r="B62" s="1083"/>
      <c r="C62" s="1079"/>
      <c r="D62" s="1079"/>
      <c r="E62" s="540"/>
      <c r="F62" s="546"/>
      <c r="G62" s="539"/>
      <c r="H62" s="539"/>
      <c r="I62" s="546"/>
      <c r="J62" s="539"/>
      <c r="K62" s="537" t="s">
        <v>692</v>
      </c>
      <c r="L62" s="538">
        <v>0</v>
      </c>
      <c r="M62" s="538">
        <v>7</v>
      </c>
      <c r="N62" s="537">
        <f>+G63</f>
        <v>0.83899999999999997</v>
      </c>
      <c r="O62" s="537">
        <f t="shared" ref="O62:T62" si="8">IF(+$K62=O$12,+$L62*$M62*$N62,0)</f>
        <v>0</v>
      </c>
      <c r="P62" s="537">
        <f t="shared" si="8"/>
        <v>0</v>
      </c>
      <c r="Q62" s="537">
        <f t="shared" si="8"/>
        <v>0</v>
      </c>
      <c r="R62" s="537">
        <f t="shared" si="8"/>
        <v>0</v>
      </c>
      <c r="S62" s="537">
        <f t="shared" si="8"/>
        <v>0</v>
      </c>
      <c r="T62" s="537">
        <f t="shared" si="8"/>
        <v>0</v>
      </c>
    </row>
    <row r="63" spans="1:20" hidden="1">
      <c r="A63" s="756"/>
      <c r="B63" s="1083"/>
      <c r="C63" s="1079"/>
      <c r="D63" s="1079"/>
      <c r="E63" s="540"/>
      <c r="F63" s="539"/>
      <c r="G63" s="1086">
        <v>0.83899999999999997</v>
      </c>
      <c r="H63" s="1086"/>
      <c r="I63" s="539"/>
      <c r="J63" s="539"/>
      <c r="K63" s="541"/>
      <c r="L63" s="538"/>
      <c r="M63" s="538"/>
      <c r="N63" s="537"/>
      <c r="O63" s="537"/>
      <c r="P63" s="537"/>
      <c r="Q63" s="537"/>
      <c r="R63" s="537"/>
      <c r="S63" s="537"/>
      <c r="T63" s="537"/>
    </row>
    <row r="64" spans="1:20" hidden="1">
      <c r="A64" s="756"/>
      <c r="B64" s="1083"/>
      <c r="C64" s="1079"/>
      <c r="D64" s="1079"/>
      <c r="E64" s="540"/>
      <c r="F64" s="539"/>
      <c r="G64" s="539"/>
      <c r="H64" s="550"/>
      <c r="I64" s="539"/>
      <c r="J64" s="539"/>
      <c r="K64" s="541"/>
      <c r="L64" s="538"/>
      <c r="M64" s="538"/>
      <c r="N64" s="537"/>
      <c r="O64" s="537"/>
      <c r="P64" s="537"/>
      <c r="Q64" s="537"/>
      <c r="R64" s="537"/>
      <c r="S64" s="537"/>
      <c r="T64" s="537"/>
    </row>
    <row r="65" spans="1:20" hidden="1">
      <c r="A65" s="756"/>
      <c r="B65" s="1083"/>
      <c r="C65" s="1079"/>
      <c r="D65" s="1078" t="s">
        <v>727</v>
      </c>
      <c r="E65" s="545"/>
      <c r="F65" s="544"/>
      <c r="G65" s="544"/>
      <c r="H65" s="544"/>
      <c r="I65" s="544"/>
      <c r="J65" s="544"/>
      <c r="K65" s="542"/>
      <c r="L65" s="542"/>
      <c r="M65" s="542"/>
      <c r="N65" s="542"/>
      <c r="O65" s="542"/>
      <c r="P65" s="542"/>
      <c r="Q65" s="542"/>
      <c r="R65" s="542"/>
      <c r="S65" s="542"/>
      <c r="T65" s="542"/>
    </row>
    <row r="66" spans="1:20" hidden="1">
      <c r="A66" s="756"/>
      <c r="B66" s="1083"/>
      <c r="C66" s="1079"/>
      <c r="D66" s="1079"/>
      <c r="E66" s="540"/>
      <c r="F66" s="546"/>
      <c r="G66" s="539"/>
      <c r="H66" s="539"/>
      <c r="I66" s="546"/>
      <c r="J66" s="539"/>
      <c r="K66" s="537"/>
      <c r="L66" s="538"/>
      <c r="M66" s="538"/>
      <c r="N66" s="537"/>
      <c r="O66" s="537"/>
      <c r="P66" s="537"/>
      <c r="Q66" s="537"/>
      <c r="R66" s="537"/>
      <c r="S66" s="537"/>
      <c r="T66" s="537"/>
    </row>
    <row r="67" spans="1:20" hidden="1">
      <c r="A67" s="756"/>
      <c r="B67" s="1083"/>
      <c r="C67" s="1079"/>
      <c r="D67" s="1079"/>
      <c r="E67" s="540"/>
      <c r="F67" s="546"/>
      <c r="G67" s="546"/>
      <c r="H67" s="546"/>
      <c r="I67" s="546"/>
      <c r="J67" s="539"/>
      <c r="K67" s="537" t="s">
        <v>710</v>
      </c>
      <c r="L67" s="538">
        <v>0</v>
      </c>
      <c r="M67" s="538">
        <v>6</v>
      </c>
      <c r="N67" s="537">
        <f>+G68</f>
        <v>0.83899999999999997</v>
      </c>
      <c r="O67" s="537">
        <f t="shared" ref="O67:T67" si="9">IF(+$K67=O$12,+$L67*$M67*$N67,0)</f>
        <v>0</v>
      </c>
      <c r="P67" s="537">
        <f t="shared" si="9"/>
        <v>0</v>
      </c>
      <c r="Q67" s="537">
        <f t="shared" si="9"/>
        <v>0</v>
      </c>
      <c r="R67" s="537">
        <f t="shared" si="9"/>
        <v>0</v>
      </c>
      <c r="S67" s="537">
        <f t="shared" si="9"/>
        <v>0</v>
      </c>
      <c r="T67" s="537">
        <f t="shared" si="9"/>
        <v>0</v>
      </c>
    </row>
    <row r="68" spans="1:20" hidden="1">
      <c r="A68" s="756"/>
      <c r="B68" s="1083"/>
      <c r="C68" s="1079"/>
      <c r="D68" s="1079"/>
      <c r="E68" s="540"/>
      <c r="F68" s="539"/>
      <c r="G68" s="1093">
        <f>+G63</f>
        <v>0.83899999999999997</v>
      </c>
      <c r="H68" s="1093"/>
      <c r="I68" s="539"/>
      <c r="J68" s="539"/>
      <c r="K68" s="541"/>
      <c r="L68" s="538"/>
      <c r="M68" s="538"/>
      <c r="N68" s="537"/>
      <c r="O68" s="537"/>
      <c r="P68" s="537"/>
      <c r="Q68" s="537"/>
      <c r="R68" s="537"/>
      <c r="S68" s="537"/>
      <c r="T68" s="537"/>
    </row>
    <row r="69" spans="1:20" hidden="1">
      <c r="A69" s="756"/>
      <c r="B69" s="1083"/>
      <c r="C69" s="1079"/>
      <c r="D69" s="1080"/>
      <c r="E69" s="551"/>
      <c r="F69" s="550"/>
      <c r="G69" s="569"/>
      <c r="H69" s="569"/>
      <c r="I69" s="550"/>
      <c r="J69" s="550"/>
      <c r="K69" s="549"/>
      <c r="L69" s="548"/>
      <c r="M69" s="548"/>
      <c r="N69" s="547"/>
      <c r="O69" s="537"/>
      <c r="P69" s="537"/>
      <c r="Q69" s="537"/>
      <c r="R69" s="537"/>
      <c r="S69" s="537"/>
      <c r="T69" s="537"/>
    </row>
    <row r="70" spans="1:20" hidden="1">
      <c r="A70" s="756"/>
      <c r="B70" s="1083"/>
      <c r="C70" s="1079"/>
      <c r="D70" s="1078" t="s">
        <v>726</v>
      </c>
      <c r="E70" s="545"/>
      <c r="F70" s="544"/>
      <c r="G70" s="568"/>
      <c r="H70" s="568"/>
      <c r="I70" s="544"/>
      <c r="J70" s="544"/>
      <c r="K70" s="542"/>
      <c r="L70" s="542"/>
      <c r="M70" s="542"/>
      <c r="N70" s="542"/>
      <c r="O70" s="542"/>
      <c r="P70" s="542"/>
      <c r="Q70" s="542"/>
      <c r="R70" s="542"/>
      <c r="S70" s="542"/>
      <c r="T70" s="542"/>
    </row>
    <row r="71" spans="1:20" hidden="1">
      <c r="A71" s="756"/>
      <c r="B71" s="1083"/>
      <c r="C71" s="1079"/>
      <c r="D71" s="1079"/>
      <c r="E71" s="540"/>
      <c r="F71" s="546"/>
      <c r="G71" s="567"/>
      <c r="H71" s="567"/>
      <c r="I71" s="546"/>
      <c r="J71" s="539"/>
      <c r="K71" s="537"/>
      <c r="L71" s="538"/>
      <c r="M71" s="538"/>
      <c r="N71" s="537"/>
      <c r="O71" s="537"/>
      <c r="P71" s="537"/>
      <c r="Q71" s="537"/>
      <c r="R71" s="537"/>
      <c r="S71" s="537"/>
      <c r="T71" s="537"/>
    </row>
    <row r="72" spans="1:20" hidden="1">
      <c r="A72" s="756"/>
      <c r="B72" s="1083"/>
      <c r="C72" s="1079"/>
      <c r="D72" s="1079"/>
      <c r="E72" s="540"/>
      <c r="F72" s="546"/>
      <c r="G72" s="1093">
        <v>0.91</v>
      </c>
      <c r="H72" s="1093"/>
      <c r="I72" s="546"/>
      <c r="J72" s="539"/>
      <c r="K72" s="537" t="s">
        <v>710</v>
      </c>
      <c r="L72" s="538">
        <v>0</v>
      </c>
      <c r="M72" s="538">
        <f>+M56</f>
        <v>4</v>
      </c>
      <c r="N72" s="537">
        <f>+G72</f>
        <v>0.91</v>
      </c>
      <c r="O72" s="537">
        <f t="shared" ref="O72:T72" si="10">IF(+$K72=O$12,+$L72*$M72*$N72,0)</f>
        <v>0</v>
      </c>
      <c r="P72" s="537">
        <f t="shared" si="10"/>
        <v>0</v>
      </c>
      <c r="Q72" s="537">
        <f t="shared" si="10"/>
        <v>0</v>
      </c>
      <c r="R72" s="537">
        <f t="shared" si="10"/>
        <v>0</v>
      </c>
      <c r="S72" s="537">
        <f t="shared" si="10"/>
        <v>0</v>
      </c>
      <c r="T72" s="537">
        <f t="shared" si="10"/>
        <v>0</v>
      </c>
    </row>
    <row r="73" spans="1:20" hidden="1">
      <c r="A73" s="756"/>
      <c r="B73" s="1083"/>
      <c r="C73" s="1079"/>
      <c r="D73" s="1079"/>
      <c r="E73" s="540"/>
      <c r="F73" s="539"/>
      <c r="G73" s="546"/>
      <c r="H73" s="546"/>
      <c r="I73" s="539"/>
      <c r="J73" s="539"/>
      <c r="K73" s="537"/>
      <c r="L73" s="538"/>
      <c r="M73" s="538"/>
      <c r="N73" s="537"/>
      <c r="O73" s="537"/>
      <c r="P73" s="537"/>
      <c r="Q73" s="537"/>
      <c r="R73" s="537"/>
      <c r="S73" s="537"/>
      <c r="T73" s="537"/>
    </row>
    <row r="74" spans="1:20" ht="15.75" hidden="1" thickBot="1">
      <c r="A74" s="756"/>
      <c r="B74" s="1084"/>
      <c r="C74" s="1081"/>
      <c r="D74" s="1081"/>
      <c r="E74" s="536"/>
      <c r="F74" s="535"/>
      <c r="G74" s="535"/>
      <c r="H74" s="535"/>
      <c r="I74" s="535"/>
      <c r="J74" s="535"/>
      <c r="K74" s="534"/>
      <c r="L74" s="533"/>
      <c r="M74" s="533"/>
      <c r="N74" s="532"/>
      <c r="O74" s="537"/>
      <c r="P74" s="537"/>
      <c r="Q74" s="537"/>
      <c r="R74" s="537"/>
      <c r="S74" s="537"/>
      <c r="T74" s="537"/>
    </row>
    <row r="75" spans="1:20" ht="3.75" hidden="1" customHeight="1" thickTop="1">
      <c r="A75" s="756"/>
      <c r="B75" s="1083"/>
      <c r="C75" s="1079"/>
      <c r="D75" s="1079"/>
      <c r="E75" s="540"/>
      <c r="F75" s="539"/>
      <c r="G75" s="546"/>
      <c r="H75" s="539">
        <v>0.13700000000000001</v>
      </c>
      <c r="I75" s="539"/>
      <c r="J75" s="539"/>
      <c r="K75" s="541"/>
      <c r="L75" s="537"/>
      <c r="M75" s="537"/>
      <c r="N75" s="537"/>
      <c r="O75" s="542"/>
      <c r="P75" s="542"/>
      <c r="Q75" s="542"/>
      <c r="R75" s="542"/>
      <c r="S75" s="542"/>
      <c r="T75" s="542"/>
    </row>
    <row r="76" spans="1:20" hidden="1">
      <c r="A76" s="756"/>
      <c r="B76" s="1083"/>
      <c r="C76" s="1079"/>
      <c r="D76" s="1079"/>
      <c r="E76" s="540"/>
      <c r="F76" s="539"/>
      <c r="G76" s="539"/>
      <c r="H76" s="539"/>
      <c r="I76" s="539"/>
      <c r="J76" s="539"/>
      <c r="K76" s="541"/>
      <c r="L76" s="537"/>
      <c r="M76" s="537"/>
      <c r="N76" s="537"/>
      <c r="O76" s="537"/>
      <c r="P76" s="537"/>
      <c r="Q76" s="537"/>
      <c r="R76" s="537"/>
      <c r="S76" s="537"/>
      <c r="T76" s="537"/>
    </row>
    <row r="77" spans="1:20" hidden="1">
      <c r="A77" s="756"/>
      <c r="B77" s="1083"/>
      <c r="C77" s="1079"/>
      <c r="D77" s="1079"/>
      <c r="E77" s="540"/>
      <c r="F77" s="546"/>
      <c r="G77" s="539">
        <v>1.101</v>
      </c>
      <c r="H77" s="539"/>
      <c r="I77" s="539"/>
      <c r="J77" s="539"/>
      <c r="K77" s="537" t="s">
        <v>710</v>
      </c>
      <c r="L77" s="538">
        <v>0</v>
      </c>
      <c r="M77" s="538">
        <v>7</v>
      </c>
      <c r="N77" s="537">
        <f>+G77+G79+H75</f>
        <v>1.488</v>
      </c>
      <c r="O77" s="537">
        <f t="shared" ref="O77:T77" si="11">IF(+$K77=O$12,+$L77*$M77*$N77,0)</f>
        <v>0</v>
      </c>
      <c r="P77" s="537">
        <f t="shared" si="11"/>
        <v>0</v>
      </c>
      <c r="Q77" s="537">
        <f t="shared" si="11"/>
        <v>0</v>
      </c>
      <c r="R77" s="537">
        <f t="shared" si="11"/>
        <v>0</v>
      </c>
      <c r="S77" s="537">
        <f t="shared" si="11"/>
        <v>0</v>
      </c>
      <c r="T77" s="537">
        <f t="shared" si="11"/>
        <v>0</v>
      </c>
    </row>
    <row r="78" spans="1:20" hidden="1">
      <c r="A78" s="756"/>
      <c r="B78" s="1083"/>
      <c r="C78" s="1079"/>
      <c r="D78" s="1079"/>
      <c r="E78" s="540"/>
      <c r="F78" s="546"/>
      <c r="G78" s="539"/>
      <c r="H78" s="539"/>
      <c r="I78" s="539"/>
      <c r="J78" s="539"/>
      <c r="K78" s="537"/>
      <c r="L78" s="538"/>
      <c r="M78" s="538"/>
      <c r="N78" s="537"/>
      <c r="O78" s="537"/>
      <c r="P78" s="537"/>
      <c r="Q78" s="537"/>
      <c r="R78" s="537"/>
      <c r="S78" s="537"/>
      <c r="T78" s="537"/>
    </row>
    <row r="79" spans="1:20" hidden="1">
      <c r="A79" s="756"/>
      <c r="B79" s="1083"/>
      <c r="C79" s="1079"/>
      <c r="D79" s="1079"/>
      <c r="E79" s="540"/>
      <c r="F79" s="539"/>
      <c r="G79" s="539">
        <v>0.25</v>
      </c>
      <c r="H79" s="546"/>
      <c r="I79" s="539"/>
      <c r="J79" s="539"/>
      <c r="K79" s="541"/>
      <c r="L79" s="538"/>
      <c r="M79" s="538"/>
      <c r="N79" s="537"/>
      <c r="O79" s="537"/>
      <c r="P79" s="537"/>
      <c r="Q79" s="537"/>
      <c r="R79" s="537"/>
      <c r="S79" s="537"/>
      <c r="T79" s="537"/>
    </row>
    <row r="80" spans="1:20" hidden="1">
      <c r="A80" s="756"/>
      <c r="B80" s="1083"/>
      <c r="C80" s="1079"/>
      <c r="D80" s="1078" t="s">
        <v>725</v>
      </c>
      <c r="E80" s="545"/>
      <c r="F80" s="544"/>
      <c r="G80" s="544"/>
      <c r="H80" s="544"/>
      <c r="I80" s="544"/>
      <c r="J80" s="544"/>
      <c r="K80" s="542"/>
      <c r="L80" s="542"/>
      <c r="M80" s="542"/>
      <c r="N80" s="542"/>
      <c r="O80" s="542"/>
      <c r="P80" s="542"/>
      <c r="Q80" s="542"/>
      <c r="R80" s="542"/>
      <c r="S80" s="542"/>
      <c r="T80" s="542"/>
    </row>
    <row r="81" spans="1:20" hidden="1">
      <c r="A81" s="756"/>
      <c r="B81" s="1083"/>
      <c r="C81" s="1079"/>
      <c r="D81" s="1079"/>
      <c r="E81" s="540"/>
      <c r="F81" s="539"/>
      <c r="G81" s="539"/>
      <c r="H81" s="539"/>
      <c r="I81" s="539"/>
      <c r="J81" s="539"/>
      <c r="K81" s="541"/>
      <c r="L81" s="541"/>
      <c r="M81" s="541"/>
      <c r="N81" s="541"/>
      <c r="O81" s="537"/>
      <c r="P81" s="537"/>
      <c r="Q81" s="537"/>
      <c r="R81" s="537"/>
      <c r="S81" s="537"/>
      <c r="T81" s="537"/>
    </row>
    <row r="82" spans="1:20" hidden="1">
      <c r="A82" s="756"/>
      <c r="B82" s="1083"/>
      <c r="C82" s="1079"/>
      <c r="D82" s="1079"/>
      <c r="E82" s="540"/>
      <c r="F82" s="546"/>
      <c r="G82" s="1086">
        <v>1.26</v>
      </c>
      <c r="H82" s="1086"/>
      <c r="I82" s="546"/>
      <c r="J82" s="539"/>
      <c r="K82" s="537" t="s">
        <v>710</v>
      </c>
      <c r="L82" s="538">
        <v>0</v>
      </c>
      <c r="M82" s="538">
        <v>11</v>
      </c>
      <c r="N82" s="537">
        <f>+G82</f>
        <v>1.26</v>
      </c>
      <c r="O82" s="537">
        <f t="shared" ref="O82:T82" si="12">IF(+$K82=O$12,+$L82*$M82*$N82,0)</f>
        <v>0</v>
      </c>
      <c r="P82" s="537">
        <f t="shared" si="12"/>
        <v>0</v>
      </c>
      <c r="Q82" s="537">
        <f t="shared" si="12"/>
        <v>0</v>
      </c>
      <c r="R82" s="537">
        <f t="shared" si="12"/>
        <v>0</v>
      </c>
      <c r="S82" s="537">
        <f t="shared" si="12"/>
        <v>0</v>
      </c>
      <c r="T82" s="537">
        <f t="shared" si="12"/>
        <v>0</v>
      </c>
    </row>
    <row r="83" spans="1:20" hidden="1">
      <c r="A83" s="756"/>
      <c r="B83" s="1083"/>
      <c r="C83" s="1079"/>
      <c r="D83" s="1079"/>
      <c r="E83" s="540"/>
      <c r="F83" s="539"/>
      <c r="G83" s="546"/>
      <c r="H83" s="546"/>
      <c r="I83" s="539"/>
      <c r="J83" s="539"/>
      <c r="K83" s="541"/>
      <c r="L83" s="538"/>
      <c r="M83" s="538"/>
      <c r="N83" s="537"/>
      <c r="O83" s="537"/>
      <c r="P83" s="537"/>
      <c r="Q83" s="537"/>
      <c r="R83" s="537"/>
      <c r="S83" s="537"/>
      <c r="T83" s="537"/>
    </row>
    <row r="84" spans="1:20" hidden="1">
      <c r="A84" s="756"/>
      <c r="B84" s="1083"/>
      <c r="C84" s="1079"/>
      <c r="D84" s="1079"/>
      <c r="E84" s="540"/>
      <c r="F84" s="539"/>
      <c r="G84" s="539"/>
      <c r="H84" s="539"/>
      <c r="I84" s="539"/>
      <c r="J84" s="539"/>
      <c r="K84" s="541"/>
      <c r="L84" s="538"/>
      <c r="M84" s="538"/>
      <c r="N84" s="537"/>
      <c r="O84" s="537"/>
      <c r="P84" s="537"/>
      <c r="Q84" s="537"/>
      <c r="R84" s="537"/>
      <c r="S84" s="537"/>
      <c r="T84" s="537"/>
    </row>
    <row r="85" spans="1:20" hidden="1">
      <c r="A85" s="756"/>
      <c r="B85" s="1083"/>
      <c r="C85" s="1079"/>
      <c r="D85" s="1078" t="s">
        <v>724</v>
      </c>
      <c r="E85" s="545"/>
      <c r="F85" s="544"/>
      <c r="G85" s="544"/>
      <c r="H85" s="572">
        <v>0.2</v>
      </c>
      <c r="I85" s="544"/>
      <c r="J85" s="544"/>
      <c r="K85" s="542"/>
      <c r="L85" s="542"/>
      <c r="M85" s="542"/>
      <c r="N85" s="542"/>
      <c r="O85" s="542"/>
      <c r="P85" s="542"/>
      <c r="Q85" s="542"/>
      <c r="R85" s="542"/>
      <c r="S85" s="542"/>
      <c r="T85" s="542"/>
    </row>
    <row r="86" spans="1:20" hidden="1">
      <c r="A86" s="756"/>
      <c r="B86" s="1083"/>
      <c r="C86" s="1079"/>
      <c r="D86" s="1079"/>
      <c r="E86" s="540"/>
      <c r="F86" s="546"/>
      <c r="G86" s="539"/>
      <c r="H86" s="539"/>
      <c r="I86" s="546"/>
      <c r="J86" s="539"/>
      <c r="K86" s="537"/>
      <c r="L86" s="538"/>
      <c r="M86" s="538"/>
      <c r="N86" s="537"/>
      <c r="O86" s="537"/>
      <c r="P86" s="537"/>
      <c r="Q86" s="537"/>
      <c r="R86" s="537"/>
      <c r="S86" s="537"/>
      <c r="T86" s="537"/>
    </row>
    <row r="87" spans="1:20" ht="3.75" hidden="1" customHeight="1">
      <c r="A87" s="756"/>
      <c r="B87" s="1083"/>
      <c r="C87" s="1079"/>
      <c r="D87" s="1079"/>
      <c r="E87" s="540"/>
      <c r="F87" s="546"/>
      <c r="G87" s="1093">
        <f>+G82</f>
        <v>1.26</v>
      </c>
      <c r="H87" s="1093"/>
      <c r="I87" s="546"/>
      <c r="J87" s="539"/>
      <c r="K87" s="537" t="s">
        <v>710</v>
      </c>
      <c r="L87" s="538">
        <v>0</v>
      </c>
      <c r="M87" s="538">
        <v>7</v>
      </c>
      <c r="N87" s="537">
        <f>+G87+H85+H89</f>
        <v>1.96</v>
      </c>
      <c r="O87" s="537">
        <f t="shared" ref="O87:T87" si="13">IF(+$K87=O$12,+$L87*$M87*$N87,0)</f>
        <v>0</v>
      </c>
      <c r="P87" s="537">
        <f t="shared" si="13"/>
        <v>0</v>
      </c>
      <c r="Q87" s="537">
        <f t="shared" si="13"/>
        <v>0</v>
      </c>
      <c r="R87" s="537">
        <f t="shared" si="13"/>
        <v>0</v>
      </c>
      <c r="S87" s="537">
        <f t="shared" si="13"/>
        <v>0</v>
      </c>
      <c r="T87" s="537">
        <f t="shared" si="13"/>
        <v>0</v>
      </c>
    </row>
    <row r="88" spans="1:20" hidden="1">
      <c r="A88" s="756"/>
      <c r="B88" s="1083"/>
      <c r="C88" s="1079"/>
      <c r="D88" s="1079"/>
      <c r="E88" s="540"/>
      <c r="F88" s="539"/>
      <c r="G88" s="546"/>
      <c r="H88" s="546"/>
      <c r="I88" s="539"/>
      <c r="J88" s="539"/>
      <c r="K88" s="541"/>
      <c r="L88" s="538"/>
      <c r="M88" s="538"/>
      <c r="N88" s="537"/>
      <c r="O88" s="537"/>
      <c r="P88" s="537"/>
      <c r="Q88" s="537"/>
      <c r="R88" s="537"/>
      <c r="S88" s="537"/>
      <c r="T88" s="537"/>
    </row>
    <row r="89" spans="1:20" hidden="1">
      <c r="A89" s="756"/>
      <c r="B89" s="1083"/>
      <c r="C89" s="1079"/>
      <c r="D89" s="1080"/>
      <c r="E89" s="551"/>
      <c r="F89" s="550"/>
      <c r="G89" s="569"/>
      <c r="H89" s="571">
        <v>0.5</v>
      </c>
      <c r="I89" s="550"/>
      <c r="J89" s="550"/>
      <c r="K89" s="549"/>
      <c r="L89" s="548"/>
      <c r="M89" s="548"/>
      <c r="N89" s="547"/>
      <c r="O89" s="537"/>
      <c r="P89" s="537"/>
      <c r="Q89" s="537"/>
      <c r="R89" s="537"/>
      <c r="S89" s="537"/>
      <c r="T89" s="537"/>
    </row>
    <row r="90" spans="1:20" hidden="1">
      <c r="A90" s="756"/>
      <c r="B90" s="1083"/>
      <c r="C90" s="1079"/>
      <c r="D90" s="1078" t="s">
        <v>723</v>
      </c>
      <c r="E90" s="545"/>
      <c r="F90" s="544"/>
      <c r="G90" s="568"/>
      <c r="H90" s="568"/>
      <c r="I90" s="544"/>
      <c r="J90" s="544"/>
      <c r="K90" s="542"/>
      <c r="L90" s="542"/>
      <c r="M90" s="542"/>
      <c r="N90" s="542"/>
      <c r="O90" s="542"/>
      <c r="P90" s="542"/>
      <c r="Q90" s="542"/>
      <c r="R90" s="542"/>
      <c r="S90" s="542"/>
      <c r="T90" s="542"/>
    </row>
    <row r="91" spans="1:20" hidden="1">
      <c r="A91" s="756"/>
      <c r="B91" s="1083"/>
      <c r="C91" s="1079"/>
      <c r="D91" s="1079"/>
      <c r="E91" s="540"/>
      <c r="F91" s="546"/>
      <c r="G91" s="567"/>
      <c r="H91" s="567"/>
      <c r="I91" s="546"/>
      <c r="J91" s="539"/>
      <c r="K91" s="537"/>
      <c r="L91" s="538"/>
      <c r="M91" s="538"/>
      <c r="N91" s="537"/>
      <c r="O91" s="537"/>
      <c r="P91" s="537"/>
      <c r="Q91" s="537"/>
      <c r="R91" s="537"/>
      <c r="S91" s="537"/>
      <c r="T91" s="537"/>
    </row>
    <row r="92" spans="1:20" hidden="1">
      <c r="A92" s="756"/>
      <c r="B92" s="1083"/>
      <c r="C92" s="1079"/>
      <c r="D92" s="1079"/>
      <c r="E92" s="540"/>
      <c r="F92" s="546"/>
      <c r="G92" s="1093">
        <v>0.69499999999999995</v>
      </c>
      <c r="H92" s="1093"/>
      <c r="I92" s="546"/>
      <c r="J92" s="539"/>
      <c r="K92" s="537" t="s">
        <v>710</v>
      </c>
      <c r="L92" s="538">
        <v>0</v>
      </c>
      <c r="M92" s="538">
        <v>4</v>
      </c>
      <c r="N92" s="537">
        <f>+G92</f>
        <v>0.69499999999999995</v>
      </c>
      <c r="O92" s="537">
        <f t="shared" ref="O92:T92" si="14">IF(+$K92=O$12,+$L92*$M92*$N92,0)</f>
        <v>0</v>
      </c>
      <c r="P92" s="537">
        <f t="shared" si="14"/>
        <v>0</v>
      </c>
      <c r="Q92" s="537">
        <f t="shared" si="14"/>
        <v>0</v>
      </c>
      <c r="R92" s="537">
        <f t="shared" si="14"/>
        <v>0</v>
      </c>
      <c r="S92" s="537">
        <f t="shared" si="14"/>
        <v>0</v>
      </c>
      <c r="T92" s="537">
        <f t="shared" si="14"/>
        <v>0</v>
      </c>
    </row>
    <row r="93" spans="1:20" ht="1.5" hidden="1" customHeight="1">
      <c r="A93" s="756"/>
      <c r="B93" s="1083"/>
      <c r="C93" s="1079"/>
      <c r="D93" s="1079"/>
      <c r="E93" s="540"/>
      <c r="F93" s="539"/>
      <c r="G93" s="546"/>
      <c r="H93" s="546"/>
      <c r="I93" s="539"/>
      <c r="J93" s="539"/>
      <c r="K93" s="537"/>
      <c r="L93" s="538"/>
      <c r="M93" s="538"/>
      <c r="N93" s="537"/>
      <c r="O93" s="537"/>
      <c r="P93" s="537"/>
      <c r="Q93" s="537"/>
      <c r="R93" s="537"/>
      <c r="S93" s="537"/>
      <c r="T93" s="537"/>
    </row>
    <row r="94" spans="1:20" hidden="1">
      <c r="A94" s="756"/>
      <c r="B94" s="1083"/>
      <c r="C94" s="1080"/>
      <c r="D94" s="1080"/>
      <c r="E94" s="551"/>
      <c r="F94" s="550"/>
      <c r="G94" s="550"/>
      <c r="H94" s="550"/>
      <c r="I94" s="550"/>
      <c r="J94" s="550"/>
      <c r="K94" s="549"/>
      <c r="L94" s="548"/>
      <c r="M94" s="548"/>
      <c r="N94" s="547"/>
      <c r="O94" s="537"/>
      <c r="P94" s="537"/>
      <c r="Q94" s="537"/>
      <c r="R94" s="537"/>
      <c r="S94" s="537"/>
      <c r="T94" s="537"/>
    </row>
    <row r="95" spans="1:20" hidden="1">
      <c r="A95" s="756"/>
      <c r="B95" s="1083"/>
      <c r="C95" s="570"/>
      <c r="D95" s="1078" t="s">
        <v>722</v>
      </c>
      <c r="E95" s="545"/>
      <c r="F95" s="544"/>
      <c r="G95" s="568"/>
      <c r="H95" s="568"/>
      <c r="I95" s="544"/>
      <c r="J95" s="544"/>
      <c r="K95" s="542"/>
      <c r="L95" s="542"/>
      <c r="M95" s="542"/>
      <c r="N95" s="542"/>
      <c r="O95" s="542"/>
      <c r="P95" s="542"/>
      <c r="Q95" s="542"/>
      <c r="R95" s="542"/>
      <c r="S95" s="542"/>
      <c r="T95" s="542"/>
    </row>
    <row r="96" spans="1:20" hidden="1">
      <c r="A96" s="756"/>
      <c r="B96" s="1083"/>
      <c r="C96" s="570"/>
      <c r="D96" s="1079"/>
      <c r="E96" s="540"/>
      <c r="F96" s="546"/>
      <c r="G96" s="567"/>
      <c r="H96" s="567"/>
      <c r="I96" s="546"/>
      <c r="J96" s="539"/>
      <c r="K96" s="537"/>
      <c r="L96" s="538"/>
      <c r="M96" s="538"/>
      <c r="N96" s="537"/>
      <c r="O96" s="537"/>
      <c r="P96" s="537"/>
      <c r="Q96" s="537"/>
      <c r="R96" s="537"/>
      <c r="S96" s="537"/>
      <c r="T96" s="537"/>
    </row>
    <row r="97" spans="1:20" hidden="1">
      <c r="A97" s="756"/>
      <c r="B97" s="1083"/>
      <c r="C97" s="570"/>
      <c r="D97" s="1079"/>
      <c r="E97" s="540"/>
      <c r="F97" s="546"/>
      <c r="G97" s="1093">
        <v>0.76</v>
      </c>
      <c r="H97" s="1093"/>
      <c r="I97" s="546"/>
      <c r="J97" s="539"/>
      <c r="K97" s="537" t="s">
        <v>710</v>
      </c>
      <c r="L97" s="538">
        <v>0</v>
      </c>
      <c r="M97" s="538">
        <v>5</v>
      </c>
      <c r="N97" s="537">
        <f>+G97</f>
        <v>0.76</v>
      </c>
      <c r="O97" s="537">
        <f t="shared" ref="O97:T97" si="15">IF(+$K97=O$12,+$L97*$M97*$N97,0)</f>
        <v>0</v>
      </c>
      <c r="P97" s="537">
        <f t="shared" si="15"/>
        <v>0</v>
      </c>
      <c r="Q97" s="537">
        <f t="shared" si="15"/>
        <v>0</v>
      </c>
      <c r="R97" s="537">
        <f t="shared" si="15"/>
        <v>0</v>
      </c>
      <c r="S97" s="537">
        <f t="shared" si="15"/>
        <v>0</v>
      </c>
      <c r="T97" s="537">
        <f t="shared" si="15"/>
        <v>0</v>
      </c>
    </row>
    <row r="98" spans="1:20" hidden="1">
      <c r="A98" s="756"/>
      <c r="B98" s="1083"/>
      <c r="C98" s="570"/>
      <c r="D98" s="1079"/>
      <c r="E98" s="540"/>
      <c r="F98" s="539"/>
      <c r="G98" s="546"/>
      <c r="H98" s="546"/>
      <c r="I98" s="539"/>
      <c r="J98" s="539"/>
      <c r="K98" s="537"/>
      <c r="L98" s="538"/>
      <c r="M98" s="538"/>
      <c r="N98" s="537"/>
      <c r="O98" s="537"/>
      <c r="P98" s="537"/>
      <c r="Q98" s="537"/>
      <c r="R98" s="537"/>
      <c r="S98" s="537"/>
      <c r="T98" s="537"/>
    </row>
    <row r="99" spans="1:20" hidden="1">
      <c r="A99" s="756"/>
      <c r="B99" s="1083"/>
      <c r="C99" s="570"/>
      <c r="D99" s="1080"/>
      <c r="E99" s="551"/>
      <c r="F99" s="550"/>
      <c r="G99" s="550"/>
      <c r="H99" s="550"/>
      <c r="I99" s="550"/>
      <c r="J99" s="550"/>
      <c r="K99" s="549"/>
      <c r="L99" s="548"/>
      <c r="M99" s="548"/>
      <c r="N99" s="547"/>
      <c r="O99" s="537"/>
      <c r="P99" s="537"/>
      <c r="Q99" s="537"/>
      <c r="R99" s="537"/>
      <c r="S99" s="537"/>
      <c r="T99" s="537"/>
    </row>
    <row r="100" spans="1:20" hidden="1">
      <c r="A100" s="756"/>
      <c r="B100" s="1083"/>
      <c r="C100" s="1079"/>
      <c r="D100" s="1079"/>
      <c r="E100" s="540"/>
      <c r="F100" s="539"/>
      <c r="G100" s="546"/>
      <c r="H100" s="539">
        <v>0.2</v>
      </c>
      <c r="I100" s="539"/>
      <c r="J100" s="539"/>
      <c r="K100" s="541"/>
      <c r="L100" s="537"/>
      <c r="M100" s="537"/>
      <c r="N100" s="537"/>
      <c r="O100" s="542"/>
      <c r="P100" s="542"/>
      <c r="Q100" s="542"/>
      <c r="R100" s="542"/>
      <c r="S100" s="542"/>
      <c r="T100" s="542"/>
    </row>
    <row r="101" spans="1:20" hidden="1">
      <c r="A101" s="756"/>
      <c r="B101" s="1083"/>
      <c r="C101" s="1079"/>
      <c r="D101" s="1079"/>
      <c r="E101" s="540"/>
      <c r="F101" s="539"/>
      <c r="G101" s="539"/>
      <c r="H101" s="539"/>
      <c r="I101" s="539"/>
      <c r="J101" s="539"/>
      <c r="K101" s="541"/>
      <c r="L101" s="537"/>
      <c r="M101" s="537"/>
      <c r="N101" s="537"/>
      <c r="O101" s="537"/>
      <c r="P101" s="537"/>
      <c r="Q101" s="537"/>
      <c r="R101" s="537"/>
      <c r="S101" s="537"/>
      <c r="T101" s="537"/>
    </row>
    <row r="102" spans="1:20" hidden="1">
      <c r="A102" s="756"/>
      <c r="B102" s="1083"/>
      <c r="C102" s="1079"/>
      <c r="D102" s="1079"/>
      <c r="E102" s="540"/>
      <c r="F102" s="546"/>
      <c r="G102" s="539">
        <v>0.2</v>
      </c>
      <c r="H102" s="539"/>
      <c r="I102" s="539"/>
      <c r="J102" s="539"/>
      <c r="K102" s="537" t="s">
        <v>692</v>
      </c>
      <c r="L102" s="538">
        <v>0</v>
      </c>
      <c r="M102" s="538">
        <v>4</v>
      </c>
      <c r="N102" s="537">
        <f>+G102+H104+H100</f>
        <v>0.4</v>
      </c>
      <c r="O102" s="537">
        <f t="shared" ref="O102:T102" si="16">IF(+$K102=O$12,+$L102*$M102*$N102,0)</f>
        <v>0</v>
      </c>
      <c r="P102" s="537">
        <f t="shared" si="16"/>
        <v>0</v>
      </c>
      <c r="Q102" s="537">
        <f t="shared" si="16"/>
        <v>0</v>
      </c>
      <c r="R102" s="537">
        <f t="shared" si="16"/>
        <v>0</v>
      </c>
      <c r="S102" s="537">
        <f t="shared" si="16"/>
        <v>0</v>
      </c>
      <c r="T102" s="537">
        <f t="shared" si="16"/>
        <v>0</v>
      </c>
    </row>
    <row r="103" spans="1:20" hidden="1">
      <c r="A103" s="756"/>
      <c r="B103" s="1083"/>
      <c r="C103" s="1079"/>
      <c r="D103" s="1079"/>
      <c r="E103" s="540"/>
      <c r="F103" s="546"/>
      <c r="G103" s="539"/>
      <c r="H103" s="539"/>
      <c r="I103" s="539"/>
      <c r="J103" s="539"/>
      <c r="K103" s="537"/>
      <c r="L103" s="538"/>
      <c r="M103" s="538"/>
      <c r="N103" s="537"/>
      <c r="O103" s="537"/>
      <c r="P103" s="537"/>
      <c r="Q103" s="537"/>
      <c r="R103" s="537"/>
      <c r="S103" s="537"/>
      <c r="T103" s="537"/>
    </row>
    <row r="104" spans="1:20" hidden="1">
      <c r="A104" s="756"/>
      <c r="B104" s="1083"/>
      <c r="C104" s="1079"/>
      <c r="D104" s="1079"/>
      <c r="E104" s="540"/>
      <c r="F104" s="539"/>
      <c r="G104" s="546"/>
      <c r="H104" s="539"/>
      <c r="I104" s="539"/>
      <c r="J104" s="539"/>
      <c r="K104" s="541"/>
      <c r="L104" s="538"/>
      <c r="M104" s="538"/>
      <c r="N104" s="537"/>
      <c r="O104" s="537"/>
      <c r="P104" s="537"/>
      <c r="Q104" s="537"/>
      <c r="R104" s="537"/>
      <c r="S104" s="537"/>
      <c r="T104" s="537"/>
    </row>
    <row r="105" spans="1:20" hidden="1">
      <c r="A105" s="756"/>
      <c r="B105" s="1083"/>
      <c r="C105" s="1079"/>
      <c r="D105" s="1078" t="s">
        <v>721</v>
      </c>
      <c r="E105" s="545"/>
      <c r="F105" s="544"/>
      <c r="G105" s="544"/>
      <c r="H105" s="544"/>
      <c r="I105" s="544"/>
      <c r="J105" s="544"/>
      <c r="K105" s="542"/>
      <c r="L105" s="542"/>
      <c r="M105" s="542"/>
      <c r="N105" s="542"/>
      <c r="O105" s="542"/>
      <c r="P105" s="542"/>
      <c r="Q105" s="542"/>
      <c r="R105" s="542"/>
      <c r="S105" s="542"/>
      <c r="T105" s="542"/>
    </row>
    <row r="106" spans="1:20" hidden="1">
      <c r="A106" s="756"/>
      <c r="B106" s="1083"/>
      <c r="C106" s="1079"/>
      <c r="D106" s="1079"/>
      <c r="E106" s="540"/>
      <c r="F106" s="539"/>
      <c r="G106" s="539"/>
      <c r="H106" s="539"/>
      <c r="I106" s="539"/>
      <c r="J106" s="539"/>
      <c r="K106" s="541"/>
      <c r="L106" s="541"/>
      <c r="M106" s="541"/>
      <c r="N106" s="541"/>
      <c r="O106" s="537"/>
      <c r="P106" s="537"/>
      <c r="Q106" s="537"/>
      <c r="R106" s="537"/>
      <c r="S106" s="537"/>
      <c r="T106" s="537"/>
    </row>
    <row r="107" spans="1:20" hidden="1">
      <c r="A107" s="756"/>
      <c r="B107" s="1083"/>
      <c r="C107" s="1079"/>
      <c r="D107" s="1079"/>
      <c r="E107" s="540"/>
      <c r="F107" s="546"/>
      <c r="G107" s="553">
        <v>0.1</v>
      </c>
      <c r="H107" s="553"/>
      <c r="I107" s="546"/>
      <c r="J107" s="539"/>
      <c r="K107" s="537" t="s">
        <v>692</v>
      </c>
      <c r="L107" s="538">
        <v>0</v>
      </c>
      <c r="M107" s="538">
        <v>2</v>
      </c>
      <c r="N107" s="537">
        <f>+G107</f>
        <v>0.1</v>
      </c>
      <c r="O107" s="537">
        <f t="shared" ref="O107:T107" si="17">IF(+$K107=O$12,+$L107*$M107*$N107,0)</f>
        <v>0</v>
      </c>
      <c r="P107" s="537">
        <f t="shared" si="17"/>
        <v>0</v>
      </c>
      <c r="Q107" s="537">
        <f t="shared" si="17"/>
        <v>0</v>
      </c>
      <c r="R107" s="537">
        <f t="shared" si="17"/>
        <v>0</v>
      </c>
      <c r="S107" s="537">
        <f t="shared" si="17"/>
        <v>0</v>
      </c>
      <c r="T107" s="537">
        <f t="shared" si="17"/>
        <v>0</v>
      </c>
    </row>
    <row r="108" spans="1:20" hidden="1">
      <c r="A108" s="756"/>
      <c r="B108" s="1083"/>
      <c r="C108" s="1079"/>
      <c r="D108" s="1079"/>
      <c r="E108" s="540"/>
      <c r="F108" s="539"/>
      <c r="G108" s="546"/>
      <c r="H108" s="546"/>
      <c r="I108" s="539"/>
      <c r="J108" s="539"/>
      <c r="K108" s="541"/>
      <c r="L108" s="538"/>
      <c r="M108" s="538"/>
      <c r="N108" s="537"/>
      <c r="O108" s="537"/>
      <c r="P108" s="537"/>
      <c r="Q108" s="537"/>
      <c r="R108" s="537"/>
      <c r="S108" s="537"/>
      <c r="T108" s="537"/>
    </row>
    <row r="109" spans="1:20" hidden="1">
      <c r="A109" s="756"/>
      <c r="B109" s="1083"/>
      <c r="C109" s="1079"/>
      <c r="D109" s="1079"/>
      <c r="E109" s="540"/>
      <c r="F109" s="539"/>
      <c r="G109" s="539"/>
      <c r="H109" s="539"/>
      <c r="I109" s="539"/>
      <c r="J109" s="539"/>
      <c r="K109" s="541"/>
      <c r="L109" s="538"/>
      <c r="M109" s="538"/>
      <c r="N109" s="537"/>
      <c r="O109" s="537"/>
      <c r="P109" s="537"/>
      <c r="Q109" s="537"/>
      <c r="R109" s="537"/>
      <c r="S109" s="537"/>
      <c r="T109" s="537"/>
    </row>
    <row r="110" spans="1:20" ht="12" hidden="1" customHeight="1">
      <c r="A110" s="756"/>
      <c r="B110" s="1083"/>
      <c r="C110" s="1079"/>
      <c r="D110" s="1078" t="s">
        <v>719</v>
      </c>
      <c r="E110" s="545"/>
      <c r="F110" s="544"/>
      <c r="G110" s="544"/>
      <c r="H110" s="544"/>
      <c r="I110" s="544"/>
      <c r="J110" s="544"/>
      <c r="K110" s="542"/>
      <c r="L110" s="542"/>
      <c r="M110" s="542"/>
      <c r="N110" s="542"/>
      <c r="O110" s="542"/>
      <c r="P110" s="542"/>
      <c r="Q110" s="542"/>
      <c r="R110" s="542"/>
      <c r="S110" s="542"/>
      <c r="T110" s="542"/>
    </row>
    <row r="111" spans="1:20" hidden="1">
      <c r="A111" s="756"/>
      <c r="B111" s="1083"/>
      <c r="C111" s="1079"/>
      <c r="D111" s="1079"/>
      <c r="E111" s="540"/>
      <c r="F111" s="546"/>
      <c r="G111" s="539"/>
      <c r="H111" s="539"/>
      <c r="I111" s="546"/>
      <c r="J111" s="539"/>
      <c r="K111" s="541"/>
      <c r="L111" s="538"/>
      <c r="M111" s="538"/>
      <c r="N111" s="537"/>
      <c r="O111" s="537"/>
      <c r="P111" s="537"/>
      <c r="Q111" s="537"/>
      <c r="R111" s="537"/>
      <c r="S111" s="537"/>
      <c r="T111" s="537"/>
    </row>
    <row r="112" spans="1:20" hidden="1">
      <c r="A112" s="756"/>
      <c r="B112" s="1083"/>
      <c r="C112" s="1079"/>
      <c r="D112" s="1079"/>
      <c r="E112" s="540"/>
      <c r="F112" s="546"/>
      <c r="G112" s="546"/>
      <c r="H112" s="567">
        <v>0.43</v>
      </c>
      <c r="I112" s="546"/>
      <c r="J112" s="539"/>
      <c r="K112" s="537" t="s">
        <v>692</v>
      </c>
      <c r="L112" s="538">
        <v>0</v>
      </c>
      <c r="M112" s="538">
        <v>2</v>
      </c>
      <c r="N112" s="537">
        <f>+H112+G114</f>
        <v>0.53</v>
      </c>
      <c r="O112" s="537">
        <f t="shared" ref="O112:T112" si="18">IF(+$K112=O$12,+$L112*$M112*$N112,0)</f>
        <v>0</v>
      </c>
      <c r="P112" s="537">
        <f t="shared" si="18"/>
        <v>0</v>
      </c>
      <c r="Q112" s="537">
        <f t="shared" si="18"/>
        <v>0</v>
      </c>
      <c r="R112" s="537">
        <f t="shared" si="18"/>
        <v>0</v>
      </c>
      <c r="S112" s="537">
        <f t="shared" si="18"/>
        <v>0</v>
      </c>
      <c r="T112" s="537">
        <f t="shared" si="18"/>
        <v>0</v>
      </c>
    </row>
    <row r="113" spans="1:20" hidden="1">
      <c r="A113" s="756"/>
      <c r="B113" s="1083"/>
      <c r="C113" s="1079"/>
      <c r="D113" s="1079"/>
      <c r="E113" s="540"/>
      <c r="F113" s="539"/>
      <c r="G113" s="546"/>
      <c r="H113" s="566"/>
      <c r="I113" s="539"/>
      <c r="J113" s="539"/>
      <c r="K113" s="541"/>
      <c r="L113" s="538"/>
      <c r="M113" s="538"/>
      <c r="N113" s="537"/>
      <c r="O113" s="537"/>
      <c r="P113" s="537"/>
      <c r="Q113" s="537"/>
      <c r="R113" s="537"/>
      <c r="S113" s="537"/>
      <c r="T113" s="537"/>
    </row>
    <row r="114" spans="1:20" hidden="1">
      <c r="A114" s="756"/>
      <c r="B114" s="1083"/>
      <c r="C114" s="1079"/>
      <c r="D114" s="1080"/>
      <c r="E114" s="551"/>
      <c r="F114" s="550"/>
      <c r="G114" s="569">
        <v>0.1</v>
      </c>
      <c r="H114" s="569"/>
      <c r="I114" s="550"/>
      <c r="J114" s="550"/>
      <c r="K114" s="541"/>
      <c r="L114" s="548"/>
      <c r="M114" s="548"/>
      <c r="N114" s="547"/>
      <c r="O114" s="537"/>
      <c r="P114" s="537"/>
      <c r="Q114" s="537"/>
      <c r="R114" s="537"/>
      <c r="S114" s="537"/>
      <c r="T114" s="537"/>
    </row>
    <row r="115" spans="1:20" hidden="1">
      <c r="A115" s="756"/>
      <c r="B115" s="1083"/>
      <c r="C115" s="1079"/>
      <c r="D115" s="1078" t="s">
        <v>720</v>
      </c>
      <c r="E115" s="545"/>
      <c r="F115" s="544"/>
      <c r="G115" s="544"/>
      <c r="H115" s="544"/>
      <c r="I115" s="544"/>
      <c r="J115" s="544"/>
      <c r="K115" s="542"/>
      <c r="L115" s="542"/>
      <c r="M115" s="542"/>
      <c r="N115" s="542"/>
      <c r="O115" s="542"/>
      <c r="P115" s="542"/>
      <c r="Q115" s="542"/>
      <c r="R115" s="542"/>
      <c r="S115" s="542"/>
      <c r="T115" s="542"/>
    </row>
    <row r="116" spans="1:20" hidden="1">
      <c r="A116" s="756"/>
      <c r="B116" s="1083"/>
      <c r="C116" s="1079"/>
      <c r="D116" s="1079"/>
      <c r="E116" s="540"/>
      <c r="F116" s="546"/>
      <c r="G116" s="539"/>
      <c r="H116" s="539"/>
      <c r="I116" s="546"/>
      <c r="J116" s="539"/>
      <c r="K116" s="541"/>
      <c r="L116" s="538"/>
      <c r="M116" s="538"/>
      <c r="N116" s="537"/>
      <c r="O116" s="537"/>
      <c r="P116" s="537"/>
      <c r="Q116" s="537"/>
      <c r="R116" s="537"/>
      <c r="S116" s="537"/>
      <c r="T116" s="537"/>
    </row>
    <row r="117" spans="1:20" hidden="1">
      <c r="A117" s="756"/>
      <c r="B117" s="1083"/>
      <c r="C117" s="1079"/>
      <c r="D117" s="1079"/>
      <c r="E117" s="540"/>
      <c r="F117" s="546"/>
      <c r="G117" s="546"/>
      <c r="H117" s="567">
        <v>0.28999999999999998</v>
      </c>
      <c r="I117" s="546"/>
      <c r="J117" s="539"/>
      <c r="K117" s="537" t="s">
        <v>692</v>
      </c>
      <c r="L117" s="538">
        <v>0</v>
      </c>
      <c r="M117" s="538">
        <v>2</v>
      </c>
      <c r="N117" s="537">
        <f>+H117+H119</f>
        <v>0.39</v>
      </c>
      <c r="O117" s="537">
        <f t="shared" ref="O117:T117" si="19">IF(+$K117=O$12,+$L117*$M117*$N117,0)</f>
        <v>0</v>
      </c>
      <c r="P117" s="537">
        <f t="shared" si="19"/>
        <v>0</v>
      </c>
      <c r="Q117" s="537">
        <f t="shared" si="19"/>
        <v>0</v>
      </c>
      <c r="R117" s="537">
        <f t="shared" si="19"/>
        <v>0</v>
      </c>
      <c r="S117" s="537">
        <f t="shared" si="19"/>
        <v>0</v>
      </c>
      <c r="T117" s="537">
        <f t="shared" si="19"/>
        <v>0</v>
      </c>
    </row>
    <row r="118" spans="1:20" hidden="1">
      <c r="A118" s="756"/>
      <c r="B118" s="1083"/>
      <c r="C118" s="1079"/>
      <c r="D118" s="1079"/>
      <c r="E118" s="540"/>
      <c r="F118" s="539"/>
      <c r="G118" s="546"/>
      <c r="H118" s="566"/>
      <c r="I118" s="539"/>
      <c r="J118" s="539"/>
      <c r="K118" s="541"/>
      <c r="L118" s="538"/>
      <c r="M118" s="538"/>
      <c r="N118" s="537"/>
      <c r="O118" s="537"/>
      <c r="P118" s="537"/>
      <c r="Q118" s="537"/>
      <c r="R118" s="537"/>
      <c r="S118" s="537"/>
      <c r="T118" s="537"/>
    </row>
    <row r="119" spans="1:20" hidden="1">
      <c r="A119" s="756"/>
      <c r="B119" s="1083"/>
      <c r="C119" s="1079"/>
      <c r="D119" s="1080"/>
      <c r="E119" s="551"/>
      <c r="F119" s="550"/>
      <c r="G119" s="546"/>
      <c r="H119" s="569">
        <v>0.1</v>
      </c>
      <c r="I119" s="550"/>
      <c r="J119" s="550"/>
      <c r="K119" s="541"/>
      <c r="L119" s="548"/>
      <c r="M119" s="548"/>
      <c r="N119" s="547"/>
      <c r="O119" s="537"/>
      <c r="P119" s="537"/>
      <c r="Q119" s="537"/>
      <c r="R119" s="537"/>
      <c r="S119" s="537"/>
      <c r="T119" s="537"/>
    </row>
    <row r="120" spans="1:20" hidden="1">
      <c r="A120" s="756"/>
      <c r="B120" s="1083"/>
      <c r="C120" s="1079"/>
      <c r="D120" s="1078" t="s">
        <v>719</v>
      </c>
      <c r="E120" s="545"/>
      <c r="F120" s="544"/>
      <c r="G120" s="544"/>
      <c r="H120" s="544"/>
      <c r="I120" s="544"/>
      <c r="J120" s="544"/>
      <c r="K120" s="542"/>
      <c r="L120" s="542"/>
      <c r="M120" s="542"/>
      <c r="N120" s="542"/>
      <c r="O120" s="542"/>
      <c r="P120" s="542"/>
      <c r="Q120" s="542"/>
      <c r="R120" s="542"/>
      <c r="S120" s="542"/>
      <c r="T120" s="542"/>
    </row>
    <row r="121" spans="1:20" hidden="1">
      <c r="A121" s="756"/>
      <c r="B121" s="1083"/>
      <c r="C121" s="1079"/>
      <c r="D121" s="1079"/>
      <c r="E121" s="540"/>
      <c r="F121" s="546"/>
      <c r="G121" s="539"/>
      <c r="H121" s="539"/>
      <c r="I121" s="546"/>
      <c r="J121" s="539"/>
      <c r="K121" s="541"/>
      <c r="L121" s="538"/>
      <c r="M121" s="538"/>
      <c r="N121" s="537"/>
      <c r="O121" s="537"/>
      <c r="P121" s="537"/>
      <c r="Q121" s="537"/>
      <c r="R121" s="537"/>
      <c r="S121" s="537"/>
      <c r="T121" s="537"/>
    </row>
    <row r="122" spans="1:20" hidden="1">
      <c r="A122" s="756"/>
      <c r="B122" s="1083"/>
      <c r="C122" s="1079"/>
      <c r="D122" s="1079"/>
      <c r="E122" s="540"/>
      <c r="F122" s="546"/>
      <c r="G122" s="546"/>
      <c r="H122" s="567">
        <v>0.8</v>
      </c>
      <c r="I122" s="546"/>
      <c r="J122" s="539"/>
      <c r="K122" s="537" t="s">
        <v>692</v>
      </c>
      <c r="L122" s="538">
        <v>0</v>
      </c>
      <c r="M122" s="538">
        <v>2</v>
      </c>
      <c r="N122" s="537">
        <f>+H122+G124</f>
        <v>0.8</v>
      </c>
      <c r="O122" s="537">
        <f t="shared" ref="O122:T122" si="20">IF(+$K122=O$12,+$L122*$M122*$N122,0)</f>
        <v>0</v>
      </c>
      <c r="P122" s="537">
        <f t="shared" si="20"/>
        <v>0</v>
      </c>
      <c r="Q122" s="537">
        <f t="shared" si="20"/>
        <v>0</v>
      </c>
      <c r="R122" s="537">
        <f t="shared" si="20"/>
        <v>0</v>
      </c>
      <c r="S122" s="537">
        <f t="shared" si="20"/>
        <v>0</v>
      </c>
      <c r="T122" s="537">
        <f t="shared" si="20"/>
        <v>0</v>
      </c>
    </row>
    <row r="123" spans="1:20" hidden="1">
      <c r="A123" s="756"/>
      <c r="B123" s="1083"/>
      <c r="C123" s="1079"/>
      <c r="D123" s="1079"/>
      <c r="E123" s="540"/>
      <c r="F123" s="539"/>
      <c r="G123" s="546"/>
      <c r="H123" s="566"/>
      <c r="I123" s="539"/>
      <c r="J123" s="539"/>
      <c r="K123" s="541"/>
      <c r="L123" s="538"/>
      <c r="M123" s="538"/>
      <c r="N123" s="537"/>
      <c r="O123" s="537"/>
      <c r="P123" s="537"/>
      <c r="Q123" s="537"/>
      <c r="R123" s="537"/>
      <c r="S123" s="537"/>
      <c r="T123" s="537"/>
    </row>
    <row r="124" spans="1:20" hidden="1">
      <c r="A124" s="756"/>
      <c r="B124" s="1083"/>
      <c r="C124" s="1079"/>
      <c r="D124" s="1080"/>
      <c r="E124" s="551"/>
      <c r="F124" s="550"/>
      <c r="G124" s="569"/>
      <c r="H124" s="569"/>
      <c r="I124" s="550"/>
      <c r="J124" s="550"/>
      <c r="K124" s="541"/>
      <c r="L124" s="548"/>
      <c r="M124" s="548"/>
      <c r="N124" s="547"/>
      <c r="O124" s="537"/>
      <c r="P124" s="537"/>
      <c r="Q124" s="537"/>
      <c r="R124" s="537"/>
      <c r="S124" s="537"/>
      <c r="T124" s="537"/>
    </row>
    <row r="125" spans="1:20" hidden="1">
      <c r="A125" s="756"/>
      <c r="B125" s="1083"/>
      <c r="C125" s="1079"/>
      <c r="D125" s="1078" t="s">
        <v>718</v>
      </c>
      <c r="E125" s="545"/>
      <c r="F125" s="544"/>
      <c r="G125" s="544">
        <v>0.223</v>
      </c>
      <c r="H125" s="544"/>
      <c r="I125" s="544"/>
      <c r="J125" s="544"/>
      <c r="K125" s="542"/>
      <c r="L125" s="542"/>
      <c r="M125" s="542"/>
      <c r="N125" s="542"/>
      <c r="O125" s="542"/>
      <c r="P125" s="542"/>
      <c r="Q125" s="542"/>
      <c r="R125" s="542"/>
      <c r="S125" s="542"/>
      <c r="T125" s="542"/>
    </row>
    <row r="126" spans="1:20" hidden="1">
      <c r="A126" s="756"/>
      <c r="B126" s="1083"/>
      <c r="C126" s="1079"/>
      <c r="D126" s="1079"/>
      <c r="E126" s="540"/>
      <c r="F126" s="546"/>
      <c r="G126" s="539"/>
      <c r="H126" s="539"/>
      <c r="I126" s="546"/>
      <c r="J126" s="539"/>
      <c r="K126" s="541"/>
      <c r="L126" s="538"/>
      <c r="M126" s="538"/>
      <c r="N126" s="537"/>
      <c r="O126" s="537"/>
      <c r="P126" s="537"/>
      <c r="Q126" s="537"/>
      <c r="R126" s="537"/>
      <c r="S126" s="537"/>
      <c r="T126" s="537"/>
    </row>
    <row r="127" spans="1:20" hidden="1">
      <c r="A127" s="756"/>
      <c r="B127" s="1083"/>
      <c r="C127" s="1079"/>
      <c r="D127" s="1079"/>
      <c r="E127" s="540"/>
      <c r="F127" s="546"/>
      <c r="G127" s="546"/>
      <c r="H127" s="567">
        <v>0.155</v>
      </c>
      <c r="I127" s="546"/>
      <c r="J127" s="539"/>
      <c r="K127" s="537" t="s">
        <v>692</v>
      </c>
      <c r="L127" s="538">
        <v>0</v>
      </c>
      <c r="M127" s="538">
        <v>11</v>
      </c>
      <c r="N127" s="537">
        <f>+H127+H129+G125</f>
        <v>0.73199999999999998</v>
      </c>
      <c r="O127" s="537">
        <f t="shared" ref="O127:T127" si="21">IF(+$K127=O$12,+$L127*$M127*$N127,0)</f>
        <v>0</v>
      </c>
      <c r="P127" s="537">
        <f t="shared" si="21"/>
        <v>0</v>
      </c>
      <c r="Q127" s="537">
        <f t="shared" si="21"/>
        <v>0</v>
      </c>
      <c r="R127" s="537">
        <f t="shared" si="21"/>
        <v>0</v>
      </c>
      <c r="S127" s="537">
        <f t="shared" si="21"/>
        <v>0</v>
      </c>
      <c r="T127" s="537">
        <f t="shared" si="21"/>
        <v>0</v>
      </c>
    </row>
    <row r="128" spans="1:20" hidden="1">
      <c r="A128" s="756"/>
      <c r="B128" s="1083"/>
      <c r="C128" s="1079"/>
      <c r="D128" s="1079"/>
      <c r="E128" s="540"/>
      <c r="F128" s="539"/>
      <c r="G128" s="546"/>
      <c r="H128" s="566"/>
      <c r="I128" s="539"/>
      <c r="J128" s="539"/>
      <c r="K128" s="541"/>
      <c r="L128" s="538"/>
      <c r="M128" s="538"/>
      <c r="N128" s="537"/>
      <c r="O128" s="537"/>
      <c r="P128" s="537"/>
      <c r="Q128" s="537"/>
      <c r="R128" s="537"/>
      <c r="S128" s="537"/>
      <c r="T128" s="537"/>
    </row>
    <row r="129" spans="1:20" hidden="1">
      <c r="A129" s="756"/>
      <c r="B129" s="1083"/>
      <c r="C129" s="1079"/>
      <c r="D129" s="1080"/>
      <c r="E129" s="551"/>
      <c r="F129" s="550"/>
      <c r="G129" s="546"/>
      <c r="H129" s="569">
        <v>0.35399999999999998</v>
      </c>
      <c r="I129" s="550"/>
      <c r="J129" s="550"/>
      <c r="K129" s="541"/>
      <c r="L129" s="548"/>
      <c r="M129" s="548"/>
      <c r="N129" s="547"/>
      <c r="O129" s="537"/>
      <c r="P129" s="537"/>
      <c r="Q129" s="537"/>
      <c r="R129" s="537"/>
      <c r="S129" s="537"/>
      <c r="T129" s="537"/>
    </row>
    <row r="130" spans="1:20" hidden="1">
      <c r="A130" s="756"/>
      <c r="B130" s="1083"/>
      <c r="C130" s="1079"/>
      <c r="D130" s="1078" t="s">
        <v>717</v>
      </c>
      <c r="E130" s="545"/>
      <c r="F130" s="544"/>
      <c r="G130" s="544"/>
      <c r="H130" s="544"/>
      <c r="I130" s="544"/>
      <c r="J130" s="544"/>
      <c r="K130" s="542"/>
      <c r="L130" s="542"/>
      <c r="M130" s="542"/>
      <c r="N130" s="542"/>
      <c r="O130" s="542"/>
      <c r="P130" s="542"/>
      <c r="Q130" s="542"/>
      <c r="R130" s="542"/>
      <c r="S130" s="542"/>
      <c r="T130" s="542"/>
    </row>
    <row r="131" spans="1:20" hidden="1">
      <c r="A131" s="756"/>
      <c r="B131" s="1083"/>
      <c r="C131" s="1079"/>
      <c r="D131" s="1079"/>
      <c r="E131" s="540"/>
      <c r="F131" s="546"/>
      <c r="G131" s="539"/>
      <c r="H131" s="539"/>
      <c r="I131" s="546"/>
      <c r="J131" s="539"/>
      <c r="K131" s="541"/>
      <c r="L131" s="538"/>
      <c r="M131" s="538"/>
      <c r="N131" s="537"/>
      <c r="O131" s="537"/>
      <c r="P131" s="537"/>
      <c r="Q131" s="537"/>
      <c r="R131" s="537"/>
      <c r="S131" s="537"/>
      <c r="T131" s="537"/>
    </row>
    <row r="132" spans="1:20" ht="1.5" hidden="1" customHeight="1">
      <c r="A132" s="756"/>
      <c r="B132" s="1083"/>
      <c r="C132" s="1079"/>
      <c r="D132" s="1079"/>
      <c r="E132" s="540"/>
      <c r="F132" s="546"/>
      <c r="G132" s="546"/>
      <c r="H132" s="567">
        <v>2.2999999999999998</v>
      </c>
      <c r="I132" s="546"/>
      <c r="J132" s="539"/>
      <c r="K132" s="537" t="s">
        <v>692</v>
      </c>
      <c r="L132" s="538">
        <v>0</v>
      </c>
      <c r="M132" s="538">
        <v>2</v>
      </c>
      <c r="N132" s="537">
        <f>+H132+G134+G130</f>
        <v>2.2999999999999998</v>
      </c>
      <c r="O132" s="537">
        <f t="shared" ref="O132:T132" si="22">IF(+$K132=O$12,+$L132*$M132*$N132,0)</f>
        <v>0</v>
      </c>
      <c r="P132" s="537">
        <f t="shared" si="22"/>
        <v>0</v>
      </c>
      <c r="Q132" s="537">
        <f t="shared" si="22"/>
        <v>0</v>
      </c>
      <c r="R132" s="537">
        <f t="shared" si="22"/>
        <v>0</v>
      </c>
      <c r="S132" s="537">
        <f t="shared" si="22"/>
        <v>0</v>
      </c>
      <c r="T132" s="537">
        <f t="shared" si="22"/>
        <v>0</v>
      </c>
    </row>
    <row r="133" spans="1:20" hidden="1">
      <c r="A133" s="756"/>
      <c r="B133" s="1083"/>
      <c r="C133" s="1079"/>
      <c r="D133" s="1079"/>
      <c r="E133" s="540"/>
      <c r="F133" s="539"/>
      <c r="G133" s="546"/>
      <c r="H133" s="566"/>
      <c r="I133" s="539"/>
      <c r="J133" s="539"/>
      <c r="K133" s="541"/>
      <c r="L133" s="538"/>
      <c r="M133" s="538"/>
      <c r="N133" s="537"/>
      <c r="O133" s="537"/>
      <c r="P133" s="537"/>
      <c r="Q133" s="537"/>
      <c r="R133" s="537"/>
      <c r="S133" s="537"/>
      <c r="T133" s="537"/>
    </row>
    <row r="134" spans="1:20" hidden="1">
      <c r="A134" s="756"/>
      <c r="B134" s="1083"/>
      <c r="C134" s="1079"/>
      <c r="D134" s="1080"/>
      <c r="E134" s="551"/>
      <c r="F134" s="550"/>
      <c r="G134" s="569"/>
      <c r="H134" s="569"/>
      <c r="I134" s="550"/>
      <c r="J134" s="550"/>
      <c r="K134" s="541"/>
      <c r="L134" s="548"/>
      <c r="M134" s="548"/>
      <c r="N134" s="547"/>
      <c r="O134" s="537"/>
      <c r="P134" s="537"/>
      <c r="Q134" s="537"/>
      <c r="R134" s="537"/>
      <c r="S134" s="537"/>
      <c r="T134" s="537"/>
    </row>
    <row r="135" spans="1:20" hidden="1">
      <c r="A135" s="756"/>
      <c r="B135" s="1083"/>
      <c r="C135" s="1079"/>
      <c r="D135" s="1078" t="s">
        <v>716</v>
      </c>
      <c r="E135" s="545"/>
      <c r="F135" s="544"/>
      <c r="G135" s="568"/>
      <c r="H135" s="568"/>
      <c r="I135" s="544"/>
      <c r="J135" s="544"/>
      <c r="K135" s="542"/>
      <c r="L135" s="542"/>
      <c r="M135" s="542"/>
      <c r="N135" s="542"/>
      <c r="O135" s="542"/>
      <c r="P135" s="542"/>
      <c r="Q135" s="542"/>
      <c r="R135" s="542"/>
      <c r="S135" s="542"/>
      <c r="T135" s="542"/>
    </row>
    <row r="136" spans="1:20" hidden="1">
      <c r="A136" s="756"/>
      <c r="B136" s="1083"/>
      <c r="C136" s="1079"/>
      <c r="D136" s="1079"/>
      <c r="E136" s="540"/>
      <c r="F136" s="546"/>
      <c r="G136" s="567"/>
      <c r="H136" s="567"/>
      <c r="I136" s="546"/>
      <c r="J136" s="539"/>
      <c r="K136" s="537"/>
      <c r="L136" s="538"/>
      <c r="M136" s="538"/>
      <c r="N136" s="537"/>
      <c r="O136" s="537"/>
      <c r="P136" s="537"/>
      <c r="Q136" s="537"/>
      <c r="R136" s="537"/>
      <c r="S136" s="537"/>
      <c r="T136" s="537"/>
    </row>
    <row r="137" spans="1:20" hidden="1">
      <c r="A137" s="756"/>
      <c r="B137" s="1083"/>
      <c r="C137" s="1079"/>
      <c r="D137" s="1079"/>
      <c r="E137" s="540"/>
      <c r="F137" s="546"/>
      <c r="G137" s="546"/>
      <c r="H137" s="566">
        <v>0.28499999999999998</v>
      </c>
      <c r="I137" s="546"/>
      <c r="J137" s="539"/>
      <c r="K137" s="537" t="s">
        <v>710</v>
      </c>
      <c r="L137" s="538">
        <v>0</v>
      </c>
      <c r="M137" s="538">
        <v>2</v>
      </c>
      <c r="N137" s="537">
        <f>+H137</f>
        <v>0.28499999999999998</v>
      </c>
      <c r="O137" s="537">
        <f t="shared" ref="O137:T137" si="23">IF(+$K137=O$12,+$L137*$M137*$N137,0)</f>
        <v>0</v>
      </c>
      <c r="P137" s="537">
        <f t="shared" si="23"/>
        <v>0</v>
      </c>
      <c r="Q137" s="537">
        <f t="shared" si="23"/>
        <v>0</v>
      </c>
      <c r="R137" s="537">
        <f t="shared" si="23"/>
        <v>0</v>
      </c>
      <c r="S137" s="537">
        <f t="shared" si="23"/>
        <v>0</v>
      </c>
      <c r="T137" s="537">
        <f t="shared" si="23"/>
        <v>0</v>
      </c>
    </row>
    <row r="138" spans="1:20" hidden="1">
      <c r="A138" s="756"/>
      <c r="B138" s="1083"/>
      <c r="C138" s="1079"/>
      <c r="D138" s="1079"/>
      <c r="E138" s="540"/>
      <c r="F138" s="539"/>
      <c r="G138" s="546"/>
      <c r="H138" s="566"/>
      <c r="I138" s="539"/>
      <c r="J138" s="539"/>
      <c r="K138" s="537"/>
      <c r="L138" s="538"/>
      <c r="M138" s="538"/>
      <c r="N138" s="537"/>
      <c r="O138" s="537"/>
      <c r="P138" s="537"/>
      <c r="Q138" s="537"/>
      <c r="R138" s="537"/>
      <c r="S138" s="537"/>
      <c r="T138" s="537"/>
    </row>
    <row r="139" spans="1:20" ht="15.75" hidden="1" thickBot="1">
      <c r="A139" s="756"/>
      <c r="B139" s="1084"/>
      <c r="C139" s="1081"/>
      <c r="D139" s="1081"/>
      <c r="E139" s="536"/>
      <c r="F139" s="535"/>
      <c r="G139" s="535"/>
      <c r="H139" s="535">
        <v>0.1</v>
      </c>
      <c r="I139" s="535"/>
      <c r="J139" s="535"/>
      <c r="K139" s="534"/>
      <c r="L139" s="533"/>
      <c r="M139" s="533"/>
      <c r="N139" s="532"/>
      <c r="O139" s="537"/>
      <c r="P139" s="537"/>
      <c r="Q139" s="537"/>
      <c r="R139" s="537"/>
      <c r="S139" s="537"/>
      <c r="T139" s="537"/>
    </row>
    <row r="140" spans="1:20" ht="15.75" hidden="1" thickTop="1">
      <c r="A140" s="756"/>
      <c r="B140" s="1087" t="s">
        <v>715</v>
      </c>
      <c r="C140" s="1091" t="s">
        <v>481</v>
      </c>
      <c r="D140" s="1092" t="s">
        <v>714</v>
      </c>
      <c r="E140" s="565"/>
      <c r="F140" s="564"/>
      <c r="G140" s="564"/>
      <c r="H140" s="564"/>
      <c r="I140" s="564"/>
      <c r="J140" s="564"/>
      <c r="K140" s="563"/>
      <c r="L140" s="563"/>
      <c r="M140" s="563"/>
      <c r="N140" s="563"/>
      <c r="O140" s="542"/>
      <c r="P140" s="542"/>
      <c r="Q140" s="542"/>
      <c r="R140" s="542"/>
      <c r="S140" s="542"/>
      <c r="T140" s="542"/>
    </row>
    <row r="141" spans="1:20" hidden="1">
      <c r="A141" s="756"/>
      <c r="B141" s="1088"/>
      <c r="C141" s="1083"/>
      <c r="D141" s="1079"/>
      <c r="E141" s="540"/>
      <c r="F141" s="546"/>
      <c r="G141" s="554">
        <v>4.266</v>
      </c>
      <c r="H141" s="554"/>
      <c r="I141" s="546"/>
      <c r="J141" s="539"/>
      <c r="K141" s="541"/>
      <c r="L141" s="541"/>
      <c r="M141" s="541"/>
      <c r="N141" s="541"/>
      <c r="O141" s="537"/>
      <c r="P141" s="537"/>
      <c r="Q141" s="537"/>
      <c r="R141" s="537"/>
      <c r="S141" s="537"/>
      <c r="T141" s="537"/>
    </row>
    <row r="142" spans="1:20" hidden="1">
      <c r="A142" s="756"/>
      <c r="B142" s="1089"/>
      <c r="C142" s="1083"/>
      <c r="D142" s="1079"/>
      <c r="E142" s="540"/>
      <c r="F142" s="539">
        <v>0.5</v>
      </c>
      <c r="G142" s="546"/>
      <c r="H142" s="546"/>
      <c r="I142" s="539">
        <v>0.5</v>
      </c>
      <c r="J142" s="539"/>
      <c r="K142" s="537" t="s">
        <v>692</v>
      </c>
      <c r="L142" s="538">
        <v>0</v>
      </c>
      <c r="M142" s="538">
        <v>10</v>
      </c>
      <c r="N142" s="537">
        <f>G141+I142+F142</f>
        <v>5.266</v>
      </c>
      <c r="O142" s="537">
        <f t="shared" ref="O142:T142" si="24">IF(+$K142=O$12,+$L142*$M142*$N142,0)</f>
        <v>0</v>
      </c>
      <c r="P142" s="537">
        <f t="shared" si="24"/>
        <v>0</v>
      </c>
      <c r="Q142" s="537">
        <f t="shared" si="24"/>
        <v>0</v>
      </c>
      <c r="R142" s="537">
        <f t="shared" si="24"/>
        <v>0</v>
      </c>
      <c r="S142" s="537">
        <f t="shared" si="24"/>
        <v>0</v>
      </c>
      <c r="T142" s="537">
        <f t="shared" si="24"/>
        <v>0</v>
      </c>
    </row>
    <row r="143" spans="1:20" hidden="1">
      <c r="A143" s="756"/>
      <c r="B143" s="1089"/>
      <c r="C143" s="1083"/>
      <c r="D143" s="1079"/>
      <c r="E143" s="540"/>
      <c r="F143" s="546"/>
      <c r="G143" s="546"/>
      <c r="H143" s="546"/>
      <c r="I143" s="546"/>
      <c r="J143" s="539"/>
      <c r="K143" s="541"/>
      <c r="L143" s="538"/>
      <c r="M143" s="538"/>
      <c r="N143" s="537"/>
      <c r="O143" s="537"/>
      <c r="P143" s="537"/>
      <c r="Q143" s="537"/>
      <c r="R143" s="537"/>
      <c r="S143" s="537"/>
      <c r="T143" s="537"/>
    </row>
    <row r="144" spans="1:20" hidden="1">
      <c r="A144" s="756"/>
      <c r="B144" s="1089"/>
      <c r="C144" s="1083"/>
      <c r="D144" s="1079"/>
      <c r="E144" s="540"/>
      <c r="F144" s="539"/>
      <c r="G144" s="539"/>
      <c r="H144" s="539"/>
      <c r="I144" s="539"/>
      <c r="J144" s="539"/>
      <c r="K144" s="541"/>
      <c r="L144" s="538"/>
      <c r="M144" s="538"/>
      <c r="N144" s="537"/>
      <c r="O144" s="537"/>
      <c r="P144" s="537"/>
      <c r="Q144" s="537"/>
      <c r="R144" s="537"/>
      <c r="S144" s="537"/>
      <c r="T144" s="537"/>
    </row>
    <row r="145" spans="1:20" hidden="1">
      <c r="A145" s="756"/>
      <c r="B145" s="1089"/>
      <c r="C145" s="1224"/>
      <c r="D145" s="765"/>
      <c r="E145" s="545"/>
      <c r="F145" s="544"/>
      <c r="G145" s="544"/>
      <c r="H145" s="544"/>
      <c r="I145" s="544"/>
      <c r="J145" s="544"/>
      <c r="K145" s="764"/>
      <c r="L145" s="763"/>
      <c r="M145" s="763"/>
      <c r="N145" s="545"/>
      <c r="O145" s="542"/>
      <c r="P145" s="542"/>
      <c r="Q145" s="542"/>
      <c r="R145" s="542"/>
      <c r="S145" s="542"/>
      <c r="T145" s="542"/>
    </row>
    <row r="146" spans="1:20" hidden="1">
      <c r="A146" s="756"/>
      <c r="B146" s="1089"/>
      <c r="C146" s="1083"/>
      <c r="D146" s="1079" t="s">
        <v>712</v>
      </c>
      <c r="E146" s="540"/>
      <c r="F146" s="539"/>
      <c r="G146" s="539"/>
      <c r="H146" s="539">
        <v>0.25</v>
      </c>
      <c r="I146" s="539"/>
      <c r="J146" s="539"/>
      <c r="K146" s="541"/>
      <c r="L146" s="541"/>
      <c r="M146" s="541"/>
      <c r="N146" s="541"/>
      <c r="O146" s="537"/>
      <c r="P146" s="537"/>
      <c r="Q146" s="537"/>
      <c r="R146" s="537"/>
      <c r="S146" s="537"/>
      <c r="T146" s="537"/>
    </row>
    <row r="147" spans="1:20" hidden="1">
      <c r="A147" s="756"/>
      <c r="B147" s="1089"/>
      <c r="C147" s="1083"/>
      <c r="D147" s="1079"/>
      <c r="E147" s="540"/>
      <c r="F147" s="546"/>
      <c r="G147" s="539"/>
      <c r="H147" s="539"/>
      <c r="I147" s="546"/>
      <c r="J147" s="539"/>
      <c r="K147" s="537" t="s">
        <v>692</v>
      </c>
      <c r="L147" s="538">
        <v>0</v>
      </c>
      <c r="M147" s="538">
        <v>22</v>
      </c>
      <c r="N147" s="537">
        <f>G148+H146+H149</f>
        <v>2.9089999999999998</v>
      </c>
      <c r="O147" s="537">
        <f t="shared" ref="O147:T147" si="25">IF(+$K147=O$12,+$L147*$M147*$N147,0)</f>
        <v>0</v>
      </c>
      <c r="P147" s="537">
        <f t="shared" si="25"/>
        <v>0</v>
      </c>
      <c r="Q147" s="537">
        <f t="shared" si="25"/>
        <v>0</v>
      </c>
      <c r="R147" s="537">
        <f t="shared" si="25"/>
        <v>0</v>
      </c>
      <c r="S147" s="537">
        <f t="shared" si="25"/>
        <v>0</v>
      </c>
      <c r="T147" s="537">
        <f t="shared" si="25"/>
        <v>0</v>
      </c>
    </row>
    <row r="148" spans="1:20" hidden="1">
      <c r="A148" s="756"/>
      <c r="B148" s="1089"/>
      <c r="C148" s="1083"/>
      <c r="D148" s="1079"/>
      <c r="E148" s="540"/>
      <c r="F148" s="539"/>
      <c r="G148" s="1086">
        <v>2.4089999999999998</v>
      </c>
      <c r="H148" s="1086"/>
      <c r="I148" s="539"/>
      <c r="J148" s="539"/>
      <c r="K148" s="541"/>
      <c r="L148" s="538"/>
      <c r="M148" s="538"/>
      <c r="N148" s="537"/>
      <c r="O148" s="537"/>
      <c r="P148" s="537"/>
      <c r="Q148" s="537"/>
      <c r="R148" s="537"/>
      <c r="S148" s="537"/>
      <c r="T148" s="537"/>
    </row>
    <row r="149" spans="1:20" hidden="1">
      <c r="A149" s="756"/>
      <c r="B149" s="1089"/>
      <c r="C149" s="1088"/>
      <c r="D149" s="1080"/>
      <c r="E149" s="551"/>
      <c r="F149" s="550"/>
      <c r="G149" s="550"/>
      <c r="H149" s="550">
        <v>0.25</v>
      </c>
      <c r="I149" s="550"/>
      <c r="J149" s="550"/>
      <c r="K149" s="549"/>
      <c r="L149" s="548"/>
      <c r="M149" s="548"/>
      <c r="N149" s="547"/>
      <c r="O149" s="537"/>
      <c r="P149" s="537"/>
      <c r="Q149" s="537"/>
      <c r="R149" s="537"/>
      <c r="S149" s="537"/>
      <c r="T149" s="537"/>
    </row>
    <row r="150" spans="1:20" hidden="1">
      <c r="A150" s="756"/>
      <c r="B150" s="1089"/>
      <c r="C150" s="1082" t="s">
        <v>713</v>
      </c>
      <c r="D150" s="1079" t="s">
        <v>712</v>
      </c>
      <c r="E150" s="540"/>
      <c r="F150" s="539"/>
      <c r="G150" s="539"/>
      <c r="H150" s="539"/>
      <c r="I150" s="539"/>
      <c r="J150" s="539"/>
      <c r="K150" s="541"/>
      <c r="L150" s="541"/>
      <c r="M150" s="541"/>
      <c r="N150" s="541"/>
      <c r="O150" s="542"/>
      <c r="P150" s="542"/>
      <c r="Q150" s="542"/>
      <c r="R150" s="542"/>
      <c r="S150" s="542"/>
      <c r="T150" s="542"/>
    </row>
    <row r="151" spans="1:20" hidden="1">
      <c r="A151" s="756"/>
      <c r="B151" s="1089"/>
      <c r="C151" s="1083"/>
      <c r="D151" s="1079"/>
      <c r="E151" s="540"/>
      <c r="F151" s="546"/>
      <c r="G151" s="1086"/>
      <c r="H151" s="1086"/>
      <c r="I151" s="546"/>
      <c r="J151" s="539"/>
      <c r="K151" s="537"/>
      <c r="L151" s="538"/>
      <c r="M151" s="538"/>
      <c r="N151" s="537"/>
      <c r="O151" s="537"/>
      <c r="P151" s="537"/>
      <c r="Q151" s="537"/>
      <c r="R151" s="537"/>
      <c r="S151" s="537"/>
      <c r="T151" s="537"/>
    </row>
    <row r="152" spans="1:20" hidden="1">
      <c r="A152" s="756"/>
      <c r="B152" s="1089"/>
      <c r="C152" s="1083"/>
      <c r="D152" s="1079"/>
      <c r="E152" s="540"/>
      <c r="F152" s="546"/>
      <c r="G152" s="546"/>
      <c r="H152" s="539">
        <v>0.47499999999999998</v>
      </c>
      <c r="I152" s="546"/>
      <c r="J152" s="539"/>
      <c r="K152" s="537" t="s">
        <v>710</v>
      </c>
      <c r="L152" s="538">
        <v>0</v>
      </c>
      <c r="M152" s="538">
        <v>10</v>
      </c>
      <c r="N152" s="537">
        <f>H152</f>
        <v>0.47499999999999998</v>
      </c>
      <c r="O152" s="537">
        <f t="shared" ref="O152:T152" si="26">IF(+$K152=O$12,+$L152*$M152*$N152,0)</f>
        <v>0</v>
      </c>
      <c r="P152" s="537">
        <f t="shared" si="26"/>
        <v>0</v>
      </c>
      <c r="Q152" s="537">
        <f t="shared" si="26"/>
        <v>0</v>
      </c>
      <c r="R152" s="537">
        <f t="shared" si="26"/>
        <v>0</v>
      </c>
      <c r="S152" s="537">
        <f t="shared" si="26"/>
        <v>0</v>
      </c>
      <c r="T152" s="537">
        <f t="shared" si="26"/>
        <v>0</v>
      </c>
    </row>
    <row r="153" spans="1:20" ht="4.5" hidden="1" customHeight="1">
      <c r="A153" s="756"/>
      <c r="B153" s="1089"/>
      <c r="C153" s="1083"/>
      <c r="D153" s="1079"/>
      <c r="E153" s="540"/>
      <c r="F153" s="546"/>
      <c r="G153" s="546"/>
      <c r="H153" s="539"/>
      <c r="I153" s="546"/>
      <c r="J153" s="539"/>
      <c r="K153" s="537"/>
      <c r="L153" s="538"/>
      <c r="M153" s="538"/>
      <c r="N153" s="537"/>
      <c r="O153" s="537"/>
      <c r="P153" s="537"/>
      <c r="Q153" s="537"/>
      <c r="R153" s="537"/>
      <c r="S153" s="537"/>
      <c r="T153" s="537"/>
    </row>
    <row r="154" spans="1:20" hidden="1">
      <c r="A154" s="756"/>
      <c r="B154" s="1089"/>
      <c r="C154" s="1083"/>
      <c r="D154" s="1080"/>
      <c r="E154" s="551"/>
      <c r="F154" s="550"/>
      <c r="G154" s="550"/>
      <c r="H154" s="550"/>
      <c r="I154" s="550"/>
      <c r="J154" s="550"/>
      <c r="K154" s="549"/>
      <c r="L154" s="548"/>
      <c r="M154" s="548"/>
      <c r="N154" s="547"/>
      <c r="O154" s="537"/>
      <c r="P154" s="537"/>
      <c r="Q154" s="537"/>
      <c r="R154" s="537"/>
      <c r="S154" s="537"/>
      <c r="T154" s="537"/>
    </row>
    <row r="155" spans="1:20" hidden="1">
      <c r="A155" s="756"/>
      <c r="B155" s="1089"/>
      <c r="C155" s="1083"/>
      <c r="D155" s="1078" t="s">
        <v>711</v>
      </c>
      <c r="E155" s="545"/>
      <c r="F155" s="544"/>
      <c r="G155" s="544"/>
      <c r="H155" s="544"/>
      <c r="I155" s="544"/>
      <c r="J155" s="544"/>
      <c r="K155" s="542"/>
      <c r="L155" s="542"/>
      <c r="M155" s="542"/>
      <c r="N155" s="542"/>
      <c r="O155" s="542"/>
      <c r="P155" s="542"/>
      <c r="Q155" s="542"/>
      <c r="R155" s="542"/>
      <c r="S155" s="542"/>
      <c r="T155" s="542"/>
    </row>
    <row r="156" spans="1:20" hidden="1">
      <c r="A156" s="756"/>
      <c r="B156" s="1089"/>
      <c r="C156" s="1083"/>
      <c r="D156" s="1079"/>
      <c r="E156" s="540"/>
      <c r="F156" s="546"/>
      <c r="G156" s="539"/>
      <c r="H156" s="539"/>
      <c r="I156" s="546"/>
      <c r="J156" s="539"/>
      <c r="K156" s="537"/>
      <c r="L156" s="538"/>
      <c r="M156" s="538"/>
      <c r="N156" s="537"/>
      <c r="O156" s="537"/>
      <c r="P156" s="537"/>
      <c r="Q156" s="537"/>
      <c r="R156" s="537"/>
      <c r="S156" s="537"/>
      <c r="T156" s="537"/>
    </row>
    <row r="157" spans="1:20" hidden="1">
      <c r="A157" s="756"/>
      <c r="B157" s="1089"/>
      <c r="C157" s="1083"/>
      <c r="D157" s="1079"/>
      <c r="E157" s="540"/>
      <c r="F157" s="539"/>
      <c r="G157" s="1086">
        <v>2.34</v>
      </c>
      <c r="H157" s="1086"/>
      <c r="I157" s="539"/>
      <c r="J157" s="539"/>
      <c r="K157" s="537" t="s">
        <v>710</v>
      </c>
      <c r="L157" s="538">
        <v>0</v>
      </c>
      <c r="M157" s="538">
        <v>3</v>
      </c>
      <c r="N157" s="537">
        <f>G157</f>
        <v>2.34</v>
      </c>
      <c r="O157" s="537">
        <f t="shared" ref="O157:T157" si="27">IF(+$K157=O$12,+$L157*$M157*$N157,0)</f>
        <v>0</v>
      </c>
      <c r="P157" s="537">
        <f t="shared" si="27"/>
        <v>0</v>
      </c>
      <c r="Q157" s="537">
        <f t="shared" si="27"/>
        <v>0</v>
      </c>
      <c r="R157" s="537">
        <f t="shared" si="27"/>
        <v>0</v>
      </c>
      <c r="S157" s="537">
        <f t="shared" si="27"/>
        <v>0</v>
      </c>
      <c r="T157" s="537">
        <f t="shared" si="27"/>
        <v>0</v>
      </c>
    </row>
    <row r="158" spans="1:20" hidden="1">
      <c r="A158" s="756"/>
      <c r="B158" s="1082"/>
      <c r="C158" s="1083"/>
      <c r="D158" s="1079"/>
      <c r="E158" s="540"/>
      <c r="F158" s="539"/>
      <c r="G158" s="539"/>
      <c r="H158" s="539"/>
      <c r="I158" s="539"/>
      <c r="J158" s="539"/>
      <c r="K158" s="537"/>
      <c r="L158" s="538"/>
      <c r="M158" s="538"/>
      <c r="N158" s="537"/>
      <c r="O158" s="537"/>
      <c r="P158" s="537"/>
      <c r="Q158" s="537"/>
      <c r="R158" s="537"/>
      <c r="S158" s="537"/>
      <c r="T158" s="537"/>
    </row>
    <row r="159" spans="1:20" ht="15.75" hidden="1" thickBot="1">
      <c r="A159" s="756"/>
      <c r="B159" s="1090"/>
      <c r="C159" s="1084"/>
      <c r="D159" s="1081"/>
      <c r="E159" s="536"/>
      <c r="F159" s="535"/>
      <c r="G159" s="535"/>
      <c r="H159" s="535"/>
      <c r="I159" s="535"/>
      <c r="J159" s="535"/>
      <c r="K159" s="534"/>
      <c r="L159" s="533"/>
      <c r="M159" s="533"/>
      <c r="N159" s="532"/>
      <c r="O159" s="537"/>
      <c r="P159" s="537"/>
      <c r="Q159" s="537"/>
      <c r="R159" s="537"/>
      <c r="S159" s="537"/>
      <c r="T159" s="537"/>
    </row>
    <row r="160" spans="1:20" hidden="1">
      <c r="A160" s="756"/>
      <c r="B160" s="1083"/>
      <c r="C160" s="1079"/>
      <c r="D160" s="1079"/>
      <c r="E160" s="540"/>
      <c r="F160" s="539"/>
      <c r="G160" s="539"/>
      <c r="H160" s="539"/>
      <c r="I160" s="539"/>
      <c r="J160" s="539"/>
      <c r="K160" s="541"/>
      <c r="L160" s="537"/>
      <c r="M160" s="537"/>
      <c r="N160" s="537"/>
      <c r="O160" s="542"/>
      <c r="P160" s="542"/>
      <c r="Q160" s="542"/>
      <c r="R160" s="542"/>
      <c r="S160" s="542"/>
      <c r="T160" s="542"/>
    </row>
    <row r="161" spans="1:20" hidden="1">
      <c r="A161" s="756"/>
      <c r="B161" s="1083"/>
      <c r="C161" s="1079"/>
      <c r="D161" s="1079"/>
      <c r="E161" s="540"/>
      <c r="F161" s="546"/>
      <c r="G161" s="539"/>
      <c r="H161" s="546"/>
      <c r="I161" s="539">
        <f>+F163</f>
        <v>8.5000000000000006E-2</v>
      </c>
      <c r="J161" s="539"/>
      <c r="K161" s="541"/>
      <c r="L161" s="537"/>
      <c r="M161" s="537"/>
      <c r="N161" s="537"/>
      <c r="O161" s="537"/>
      <c r="P161" s="537"/>
      <c r="Q161" s="537"/>
      <c r="R161" s="537"/>
      <c r="S161" s="537"/>
      <c r="T161" s="537"/>
    </row>
    <row r="162" spans="1:20" hidden="1">
      <c r="A162" s="756"/>
      <c r="B162" s="1083"/>
      <c r="C162" s="1079"/>
      <c r="D162" s="1079"/>
      <c r="E162" s="540"/>
      <c r="F162" s="546"/>
      <c r="G162" s="539"/>
      <c r="H162" s="539"/>
      <c r="I162" s="546"/>
      <c r="J162" s="539"/>
      <c r="K162" s="537" t="s">
        <v>692</v>
      </c>
      <c r="L162" s="538">
        <v>0</v>
      </c>
      <c r="M162" s="538">
        <v>9</v>
      </c>
      <c r="N162" s="537">
        <f>+F163+G163+I161</f>
        <v>1.3199999999999998</v>
      </c>
      <c r="O162" s="537">
        <f t="shared" ref="O162:T162" si="28">IF(+$K162=O$12,+$L162*$M162*$N162,0)</f>
        <v>0</v>
      </c>
      <c r="P162" s="537">
        <f t="shared" si="28"/>
        <v>0</v>
      </c>
      <c r="Q162" s="537">
        <f t="shared" si="28"/>
        <v>0</v>
      </c>
      <c r="R162" s="537">
        <f t="shared" si="28"/>
        <v>0</v>
      </c>
      <c r="S162" s="537">
        <f t="shared" si="28"/>
        <v>0</v>
      </c>
      <c r="T162" s="537">
        <f t="shared" si="28"/>
        <v>0</v>
      </c>
    </row>
    <row r="163" spans="1:20" hidden="1">
      <c r="A163" s="756"/>
      <c r="B163" s="1083"/>
      <c r="C163" s="1079"/>
      <c r="D163" s="1079"/>
      <c r="E163" s="540"/>
      <c r="F163" s="554">
        <v>8.5000000000000006E-2</v>
      </c>
      <c r="G163" s="1086">
        <v>1.1499999999999999</v>
      </c>
      <c r="H163" s="1086"/>
      <c r="I163" s="539"/>
      <c r="J163" s="539"/>
      <c r="K163" s="541"/>
      <c r="L163" s="538"/>
      <c r="M163" s="538"/>
      <c r="N163" s="537"/>
      <c r="O163" s="537"/>
      <c r="P163" s="537"/>
      <c r="Q163" s="537"/>
      <c r="R163" s="537"/>
      <c r="S163" s="537"/>
      <c r="T163" s="537"/>
    </row>
    <row r="164" spans="1:20" hidden="1">
      <c r="A164" s="756"/>
      <c r="B164" s="1083"/>
      <c r="C164" s="1079"/>
      <c r="D164" s="1080"/>
      <c r="E164" s="551"/>
      <c r="F164" s="550"/>
      <c r="G164" s="550"/>
      <c r="H164" s="550"/>
      <c r="I164" s="550"/>
      <c r="J164" s="550"/>
      <c r="K164" s="549"/>
      <c r="L164" s="548"/>
      <c r="M164" s="548"/>
      <c r="N164" s="547"/>
      <c r="O164" s="537"/>
      <c r="P164" s="537"/>
      <c r="Q164" s="537"/>
      <c r="R164" s="537"/>
      <c r="S164" s="537"/>
      <c r="T164" s="537"/>
    </row>
    <row r="165" spans="1:20" hidden="1">
      <c r="A165" s="756"/>
      <c r="B165" s="1083"/>
      <c r="C165" s="1079"/>
      <c r="D165" s="1079"/>
      <c r="E165" s="540"/>
      <c r="F165" s="539"/>
      <c r="G165" s="539"/>
      <c r="H165" s="554">
        <v>0.1</v>
      </c>
      <c r="I165" s="539"/>
      <c r="J165" s="539"/>
      <c r="K165" s="541"/>
      <c r="L165" s="537"/>
      <c r="M165" s="537"/>
      <c r="N165" s="537"/>
      <c r="O165" s="542"/>
      <c r="P165" s="542"/>
      <c r="Q165" s="542"/>
      <c r="R165" s="542"/>
      <c r="S165" s="542"/>
      <c r="T165" s="542"/>
    </row>
    <row r="166" spans="1:20" hidden="1">
      <c r="A166" s="756"/>
      <c r="B166" s="1083"/>
      <c r="C166" s="1079"/>
      <c r="D166" s="1079"/>
      <c r="E166" s="540"/>
      <c r="F166" s="546"/>
      <c r="G166" s="539"/>
      <c r="H166" s="546"/>
      <c r="I166" s="539"/>
      <c r="J166" s="539"/>
      <c r="K166" s="541"/>
      <c r="L166" s="537"/>
      <c r="M166" s="537"/>
      <c r="N166" s="537"/>
      <c r="O166" s="537"/>
      <c r="P166" s="537"/>
      <c r="Q166" s="537"/>
      <c r="R166" s="537"/>
      <c r="S166" s="537"/>
      <c r="T166" s="537"/>
    </row>
    <row r="167" spans="1:20" hidden="1">
      <c r="A167" s="756"/>
      <c r="B167" s="1083"/>
      <c r="C167" s="1079"/>
      <c r="D167" s="1079"/>
      <c r="E167" s="540"/>
      <c r="F167" s="546"/>
      <c r="G167" s="539"/>
      <c r="H167" s="554">
        <v>1.64</v>
      </c>
      <c r="I167" s="546"/>
      <c r="J167" s="539"/>
      <c r="K167" s="537" t="s">
        <v>692</v>
      </c>
      <c r="L167" s="538">
        <v>0</v>
      </c>
      <c r="M167" s="538">
        <v>6</v>
      </c>
      <c r="N167" s="537">
        <f>+H165+G169+H167</f>
        <v>1.8399999999999999</v>
      </c>
      <c r="O167" s="537">
        <f t="shared" ref="O167:T167" si="29">IF(+$K167=O$12,+$L167*$M167*$N167,0)</f>
        <v>0</v>
      </c>
      <c r="P167" s="537">
        <f t="shared" si="29"/>
        <v>0</v>
      </c>
      <c r="Q167" s="537">
        <f t="shared" si="29"/>
        <v>0</v>
      </c>
      <c r="R167" s="537">
        <f t="shared" si="29"/>
        <v>0</v>
      </c>
      <c r="S167" s="537">
        <f t="shared" si="29"/>
        <v>0</v>
      </c>
      <c r="T167" s="537">
        <f t="shared" si="29"/>
        <v>0</v>
      </c>
    </row>
    <row r="168" spans="1:20" hidden="1">
      <c r="A168" s="756"/>
      <c r="B168" s="1083"/>
      <c r="C168" s="1079"/>
      <c r="D168" s="1079"/>
      <c r="E168" s="540"/>
      <c r="F168" s="539"/>
      <c r="G168" s="546"/>
      <c r="H168" s="553"/>
      <c r="I168" s="539"/>
      <c r="J168" s="539"/>
      <c r="K168" s="541"/>
      <c r="L168" s="538"/>
      <c r="M168" s="538"/>
      <c r="N168" s="537"/>
      <c r="O168" s="537"/>
      <c r="P168" s="537"/>
      <c r="Q168" s="537"/>
      <c r="R168" s="537"/>
      <c r="S168" s="537"/>
      <c r="T168" s="537"/>
    </row>
    <row r="169" spans="1:20" hidden="1">
      <c r="A169" s="756"/>
      <c r="B169" s="1083"/>
      <c r="C169" s="1079"/>
      <c r="D169" s="1080"/>
      <c r="E169" s="551"/>
      <c r="F169" s="550"/>
      <c r="G169" s="553">
        <v>0.1</v>
      </c>
      <c r="H169" s="550"/>
      <c r="I169" s="550"/>
      <c r="J169" s="550"/>
      <c r="K169" s="549"/>
      <c r="L169" s="548"/>
      <c r="M169" s="548"/>
      <c r="N169" s="547"/>
      <c r="O169" s="537"/>
      <c r="P169" s="537"/>
      <c r="Q169" s="537"/>
      <c r="R169" s="537"/>
      <c r="S169" s="537"/>
      <c r="T169" s="537"/>
    </row>
    <row r="170" spans="1:20" hidden="1">
      <c r="A170" s="756"/>
      <c r="B170" s="1083"/>
      <c r="C170" s="1079"/>
      <c r="D170" s="1078" t="s">
        <v>706</v>
      </c>
      <c r="E170" s="545"/>
      <c r="F170" s="544"/>
      <c r="G170" s="544"/>
      <c r="H170" s="544"/>
      <c r="I170" s="544"/>
      <c r="J170" s="544"/>
      <c r="K170" s="542"/>
      <c r="L170" s="543"/>
      <c r="M170" s="543"/>
      <c r="N170" s="562"/>
      <c r="O170" s="542"/>
      <c r="P170" s="542"/>
      <c r="Q170" s="542"/>
      <c r="R170" s="542"/>
      <c r="S170" s="542"/>
      <c r="T170" s="542"/>
    </row>
    <row r="171" spans="1:20" hidden="1">
      <c r="A171" s="756"/>
      <c r="B171" s="1083"/>
      <c r="C171" s="1079"/>
      <c r="D171" s="1079"/>
      <c r="E171" s="540"/>
      <c r="F171" s="554">
        <v>0.1</v>
      </c>
      <c r="G171" s="539"/>
      <c r="H171" s="546"/>
      <c r="I171" s="539">
        <f>+F171</f>
        <v>0.1</v>
      </c>
      <c r="J171" s="539"/>
      <c r="K171" s="541"/>
      <c r="L171" s="537"/>
      <c r="M171" s="537"/>
      <c r="N171" s="537"/>
      <c r="O171" s="537"/>
      <c r="P171" s="537"/>
      <c r="Q171" s="537"/>
      <c r="R171" s="537"/>
      <c r="S171" s="537"/>
      <c r="T171" s="537"/>
    </row>
    <row r="172" spans="1:20" hidden="1">
      <c r="A172" s="756"/>
      <c r="B172" s="1083"/>
      <c r="C172" s="1079"/>
      <c r="D172" s="1079"/>
      <c r="E172" s="540"/>
      <c r="F172" s="546"/>
      <c r="G172" s="539"/>
      <c r="H172" s="539"/>
      <c r="I172" s="546"/>
      <c r="J172" s="539"/>
      <c r="K172" s="537" t="s">
        <v>692</v>
      </c>
      <c r="L172" s="538">
        <v>0</v>
      </c>
      <c r="M172" s="538">
        <v>9</v>
      </c>
      <c r="N172" s="537">
        <f>+F171+G173+I171</f>
        <v>1.7200000000000002</v>
      </c>
      <c r="O172" s="537">
        <f t="shared" ref="O172:T172" si="30">IF(+$K172=O$12,+$L172*$M172*$N172,0)</f>
        <v>0</v>
      </c>
      <c r="P172" s="537">
        <f t="shared" si="30"/>
        <v>0</v>
      </c>
      <c r="Q172" s="537">
        <f t="shared" si="30"/>
        <v>0</v>
      </c>
      <c r="R172" s="537">
        <f t="shared" si="30"/>
        <v>0</v>
      </c>
      <c r="S172" s="537">
        <f t="shared" si="30"/>
        <v>0</v>
      </c>
      <c r="T172" s="537">
        <f t="shared" si="30"/>
        <v>0</v>
      </c>
    </row>
    <row r="173" spans="1:20" ht="9.75" hidden="1" customHeight="1">
      <c r="A173" s="756"/>
      <c r="B173" s="1083"/>
      <c r="C173" s="1079"/>
      <c r="D173" s="1079"/>
      <c r="E173" s="540"/>
      <c r="F173" s="539"/>
      <c r="G173" s="1086">
        <v>1.52</v>
      </c>
      <c r="H173" s="1086"/>
      <c r="I173" s="539"/>
      <c r="J173" s="539"/>
      <c r="K173" s="541"/>
      <c r="L173" s="538"/>
      <c r="M173" s="538"/>
      <c r="N173" s="537"/>
      <c r="O173" s="537"/>
      <c r="P173" s="537"/>
      <c r="Q173" s="537"/>
      <c r="R173" s="537"/>
      <c r="S173" s="537"/>
      <c r="T173" s="537"/>
    </row>
    <row r="174" spans="1:20" hidden="1">
      <c r="A174" s="756"/>
      <c r="B174" s="1083"/>
      <c r="C174" s="1079"/>
      <c r="D174" s="1080"/>
      <c r="E174" s="551"/>
      <c r="F174" s="550"/>
      <c r="G174" s="550"/>
      <c r="H174" s="550"/>
      <c r="I174" s="550"/>
      <c r="J174" s="550"/>
      <c r="K174" s="549"/>
      <c r="L174" s="548"/>
      <c r="M174" s="548"/>
      <c r="N174" s="547"/>
      <c r="O174" s="537"/>
      <c r="P174" s="537"/>
      <c r="Q174" s="537"/>
      <c r="R174" s="537"/>
      <c r="S174" s="537"/>
      <c r="T174" s="537"/>
    </row>
    <row r="175" spans="1:20" hidden="1">
      <c r="A175" s="756"/>
      <c r="B175" s="1083"/>
      <c r="C175" s="1079"/>
      <c r="D175" s="1078" t="s">
        <v>705</v>
      </c>
      <c r="E175" s="545"/>
      <c r="F175" s="544"/>
      <c r="G175" s="544"/>
      <c r="H175" s="555">
        <f>G179</f>
        <v>0.1</v>
      </c>
      <c r="I175" s="544"/>
      <c r="J175" s="544"/>
      <c r="K175" s="542"/>
      <c r="L175" s="543"/>
      <c r="M175" s="543"/>
      <c r="N175" s="562"/>
      <c r="O175" s="542"/>
      <c r="P175" s="542"/>
      <c r="Q175" s="542"/>
      <c r="R175" s="542"/>
      <c r="S175" s="542"/>
      <c r="T175" s="542"/>
    </row>
    <row r="176" spans="1:20" hidden="1">
      <c r="A176" s="756"/>
      <c r="B176" s="1083"/>
      <c r="C176" s="1079"/>
      <c r="D176" s="1079"/>
      <c r="E176" s="540"/>
      <c r="F176" s="539"/>
      <c r="G176" s="539"/>
      <c r="H176" s="539"/>
      <c r="I176" s="539"/>
      <c r="J176" s="539"/>
      <c r="K176" s="541"/>
      <c r="L176" s="538"/>
      <c r="M176" s="538"/>
      <c r="N176" s="537"/>
      <c r="O176" s="537"/>
      <c r="P176" s="537"/>
      <c r="Q176" s="537"/>
      <c r="R176" s="537"/>
      <c r="S176" s="537"/>
      <c r="T176" s="537"/>
    </row>
    <row r="177" spans="1:20" hidden="1">
      <c r="A177" s="756"/>
      <c r="B177" s="1083"/>
      <c r="C177" s="1079"/>
      <c r="D177" s="1079"/>
      <c r="E177" s="540"/>
      <c r="F177" s="546"/>
      <c r="G177" s="546"/>
      <c r="H177" s="561">
        <v>1.64</v>
      </c>
      <c r="I177" s="546"/>
      <c r="J177" s="539"/>
      <c r="K177" s="537" t="s">
        <v>692</v>
      </c>
      <c r="L177" s="538">
        <v>0</v>
      </c>
      <c r="M177" s="538">
        <v>6</v>
      </c>
      <c r="N177" s="537">
        <f>+H177+G179+H175</f>
        <v>1.84</v>
      </c>
      <c r="O177" s="537">
        <f t="shared" ref="O177:T177" si="31">IF(+$K177=O$12,+$L177*$M177*$N177,0)</f>
        <v>0</v>
      </c>
      <c r="P177" s="537">
        <f t="shared" si="31"/>
        <v>0</v>
      </c>
      <c r="Q177" s="537">
        <f t="shared" si="31"/>
        <v>0</v>
      </c>
      <c r="R177" s="537">
        <f t="shared" si="31"/>
        <v>0</v>
      </c>
      <c r="S177" s="537">
        <f t="shared" si="31"/>
        <v>0</v>
      </c>
      <c r="T177" s="537">
        <f t="shared" si="31"/>
        <v>0</v>
      </c>
    </row>
    <row r="178" spans="1:20" hidden="1">
      <c r="A178" s="756"/>
      <c r="B178" s="1083"/>
      <c r="C178" s="1079"/>
      <c r="D178" s="1079"/>
      <c r="E178" s="540"/>
      <c r="F178" s="539"/>
      <c r="G178" s="546"/>
      <c r="H178" s="546"/>
      <c r="I178" s="539"/>
      <c r="J178" s="539"/>
      <c r="K178" s="537"/>
      <c r="L178" s="538"/>
      <c r="M178" s="538"/>
      <c r="N178" s="537"/>
      <c r="O178" s="537"/>
      <c r="P178" s="537"/>
      <c r="Q178" s="537"/>
      <c r="R178" s="537"/>
      <c r="S178" s="537"/>
      <c r="T178" s="537"/>
    </row>
    <row r="179" spans="1:20" hidden="1">
      <c r="A179" s="756"/>
      <c r="B179" s="1083"/>
      <c r="C179" s="1080"/>
      <c r="D179" s="1080"/>
      <c r="E179" s="551"/>
      <c r="F179" s="550"/>
      <c r="G179" s="539">
        <v>0.1</v>
      </c>
      <c r="H179" s="550"/>
      <c r="I179" s="550"/>
      <c r="J179" s="550"/>
      <c r="K179" s="549"/>
      <c r="L179" s="548"/>
      <c r="M179" s="548"/>
      <c r="N179" s="547"/>
      <c r="O179" s="537"/>
      <c r="P179" s="537"/>
      <c r="Q179" s="537"/>
      <c r="R179" s="537"/>
      <c r="S179" s="537"/>
      <c r="T179" s="537"/>
    </row>
    <row r="180" spans="1:20" hidden="1">
      <c r="A180" s="756"/>
      <c r="B180" s="1083"/>
      <c r="C180" s="1078" t="s">
        <v>917</v>
      </c>
      <c r="D180" s="1079" t="s">
        <v>704</v>
      </c>
      <c r="E180" s="540"/>
      <c r="F180" s="539"/>
      <c r="G180" s="539"/>
      <c r="H180" s="539"/>
      <c r="I180" s="539"/>
      <c r="J180" s="539"/>
      <c r="K180" s="541"/>
      <c r="L180" s="541"/>
      <c r="M180" s="541"/>
      <c r="N180" s="541"/>
      <c r="O180" s="542"/>
      <c r="P180" s="542"/>
      <c r="Q180" s="542"/>
      <c r="R180" s="542"/>
      <c r="S180" s="542"/>
      <c r="T180" s="542"/>
    </row>
    <row r="181" spans="1:20" hidden="1">
      <c r="A181" s="756"/>
      <c r="B181" s="1083"/>
      <c r="C181" s="1079"/>
      <c r="D181" s="1079"/>
      <c r="E181" s="540"/>
      <c r="F181" s="546"/>
      <c r="G181" s="546"/>
      <c r="H181" s="539"/>
      <c r="I181" s="539"/>
      <c r="J181" s="539"/>
      <c r="K181" s="541"/>
      <c r="L181" s="537"/>
      <c r="M181" s="537"/>
      <c r="N181" s="537"/>
      <c r="O181" s="537"/>
      <c r="P181" s="537"/>
      <c r="Q181" s="537"/>
      <c r="R181" s="537"/>
      <c r="S181" s="537"/>
      <c r="T181" s="537"/>
    </row>
    <row r="182" spans="1:20" hidden="1">
      <c r="A182" s="756"/>
      <c r="B182" s="1083"/>
      <c r="C182" s="1079"/>
      <c r="D182" s="1079"/>
      <c r="E182" s="540"/>
      <c r="F182" s="539">
        <v>0.1</v>
      </c>
      <c r="G182" s="546"/>
      <c r="H182" s="546"/>
      <c r="I182" s="552">
        <v>0.1</v>
      </c>
      <c r="J182" s="539"/>
      <c r="K182" s="537" t="s">
        <v>692</v>
      </c>
      <c r="L182" s="538">
        <v>0</v>
      </c>
      <c r="M182" s="538">
        <v>2</v>
      </c>
      <c r="N182" s="537">
        <f>+F182+G183</f>
        <v>1.2000000000000002</v>
      </c>
      <c r="O182" s="537">
        <f t="shared" ref="O182:T182" si="32">IF(+$K182=O$12,+$L182*$M182*$N182,0)</f>
        <v>0</v>
      </c>
      <c r="P182" s="537">
        <f t="shared" si="32"/>
        <v>0</v>
      </c>
      <c r="Q182" s="537">
        <f t="shared" si="32"/>
        <v>0</v>
      </c>
      <c r="R182" s="537">
        <f t="shared" si="32"/>
        <v>0</v>
      </c>
      <c r="S182" s="537">
        <f t="shared" si="32"/>
        <v>0</v>
      </c>
      <c r="T182" s="537">
        <f t="shared" si="32"/>
        <v>0</v>
      </c>
    </row>
    <row r="183" spans="1:20" hidden="1">
      <c r="A183" s="756"/>
      <c r="B183" s="1083"/>
      <c r="C183" s="1079"/>
      <c r="D183" s="1079"/>
      <c r="E183" s="540"/>
      <c r="F183" s="539"/>
      <c r="G183" s="559">
        <v>1.1000000000000001</v>
      </c>
      <c r="H183" s="560"/>
      <c r="I183" s="539"/>
      <c r="J183" s="539"/>
      <c r="K183" s="541"/>
      <c r="L183" s="538"/>
      <c r="M183" s="538"/>
      <c r="N183" s="537"/>
      <c r="O183" s="537"/>
      <c r="P183" s="537"/>
      <c r="Q183" s="537"/>
      <c r="R183" s="537"/>
      <c r="S183" s="537"/>
      <c r="T183" s="537"/>
    </row>
    <row r="184" spans="1:20" hidden="1">
      <c r="A184" s="756"/>
      <c r="B184" s="1083"/>
      <c r="C184" s="1079"/>
      <c r="D184" s="1079"/>
      <c r="E184" s="540"/>
      <c r="F184" s="539"/>
      <c r="G184" s="539"/>
      <c r="H184" s="539"/>
      <c r="I184" s="539"/>
      <c r="J184" s="539"/>
      <c r="K184" s="541"/>
      <c r="L184" s="538"/>
      <c r="M184" s="538"/>
      <c r="N184" s="537"/>
      <c r="O184" s="537"/>
      <c r="P184" s="537"/>
      <c r="Q184" s="537"/>
      <c r="R184" s="537"/>
      <c r="S184" s="537"/>
      <c r="T184" s="537"/>
    </row>
    <row r="185" spans="1:20" ht="12.75" hidden="1" customHeight="1">
      <c r="A185" s="756"/>
      <c r="B185" s="1083"/>
      <c r="C185" s="1079"/>
      <c r="D185" s="1078" t="s">
        <v>703</v>
      </c>
      <c r="E185" s="545"/>
      <c r="F185" s="544"/>
      <c r="G185" s="544"/>
      <c r="H185" s="544"/>
      <c r="I185" s="544"/>
      <c r="J185" s="544"/>
      <c r="K185" s="542"/>
      <c r="L185" s="542"/>
      <c r="M185" s="542"/>
      <c r="N185" s="542"/>
      <c r="O185" s="542"/>
      <c r="P185" s="542"/>
      <c r="Q185" s="542"/>
      <c r="R185" s="542"/>
      <c r="S185" s="542"/>
      <c r="T185" s="542"/>
    </row>
    <row r="186" spans="1:20" hidden="1">
      <c r="A186" s="756"/>
      <c r="B186" s="1083"/>
      <c r="C186" s="1079"/>
      <c r="D186" s="1079"/>
      <c r="E186" s="540"/>
      <c r="F186" s="539"/>
      <c r="G186" s="539"/>
      <c r="H186" s="539"/>
      <c r="I186" s="539"/>
      <c r="J186" s="539"/>
      <c r="K186" s="541"/>
      <c r="L186" s="537"/>
      <c r="M186" s="537"/>
      <c r="N186" s="537"/>
      <c r="O186" s="537"/>
      <c r="P186" s="537"/>
      <c r="Q186" s="537"/>
      <c r="R186" s="537"/>
      <c r="S186" s="537"/>
      <c r="T186" s="537"/>
    </row>
    <row r="187" spans="1:20" hidden="1">
      <c r="A187" s="756"/>
      <c r="B187" s="1083"/>
      <c r="C187" s="1079"/>
      <c r="D187" s="1079"/>
      <c r="E187" s="540"/>
      <c r="F187" s="546"/>
      <c r="G187" s="546"/>
      <c r="H187" s="539">
        <v>0.66</v>
      </c>
      <c r="I187" s="546"/>
      <c r="J187" s="539"/>
      <c r="K187" s="537" t="s">
        <v>692</v>
      </c>
      <c r="L187" s="538">
        <v>0</v>
      </c>
      <c r="M187" s="538">
        <v>6</v>
      </c>
      <c r="N187" s="537">
        <f>+G189+H187</f>
        <v>0.91</v>
      </c>
      <c r="O187" s="537">
        <f t="shared" ref="O187:T187" si="33">IF(+$K187=O$12,+$L187*$M187*$N187,0)</f>
        <v>0</v>
      </c>
      <c r="P187" s="537">
        <f t="shared" si="33"/>
        <v>0</v>
      </c>
      <c r="Q187" s="537">
        <f t="shared" si="33"/>
        <v>0</v>
      </c>
      <c r="R187" s="537">
        <f t="shared" si="33"/>
        <v>0</v>
      </c>
      <c r="S187" s="537">
        <f t="shared" si="33"/>
        <v>0</v>
      </c>
      <c r="T187" s="537">
        <f t="shared" si="33"/>
        <v>0</v>
      </c>
    </row>
    <row r="188" spans="1:20" hidden="1">
      <c r="A188" s="756"/>
      <c r="B188" s="1083"/>
      <c r="C188" s="1079"/>
      <c r="D188" s="1079"/>
      <c r="E188" s="540"/>
      <c r="F188" s="546"/>
      <c r="G188" s="546"/>
      <c r="H188" s="539"/>
      <c r="I188" s="546"/>
      <c r="J188" s="539"/>
      <c r="K188" s="537"/>
      <c r="L188" s="538"/>
      <c r="M188" s="538"/>
      <c r="N188" s="537"/>
      <c r="O188" s="537"/>
      <c r="P188" s="537"/>
      <c r="Q188" s="537"/>
      <c r="R188" s="537"/>
      <c r="S188" s="537"/>
      <c r="T188" s="537"/>
    </row>
    <row r="189" spans="1:20" hidden="1">
      <c r="A189" s="756"/>
      <c r="B189" s="1083"/>
      <c r="C189" s="1079"/>
      <c r="D189" s="1079"/>
      <c r="E189" s="540"/>
      <c r="F189" s="539"/>
      <c r="G189" s="559">
        <v>0.25</v>
      </c>
      <c r="H189" s="546"/>
      <c r="I189" s="539"/>
      <c r="J189" s="539"/>
      <c r="K189" s="541"/>
      <c r="L189" s="538"/>
      <c r="M189" s="538"/>
      <c r="N189" s="537"/>
      <c r="O189" s="537"/>
      <c r="P189" s="537"/>
      <c r="Q189" s="537"/>
      <c r="R189" s="537"/>
      <c r="S189" s="537"/>
      <c r="T189" s="537"/>
    </row>
    <row r="190" spans="1:20" hidden="1">
      <c r="A190" s="756"/>
      <c r="B190" s="1083"/>
      <c r="C190" s="1079"/>
      <c r="D190" s="1078"/>
      <c r="E190" s="545"/>
      <c r="F190" s="544"/>
      <c r="G190" s="544"/>
      <c r="H190" s="544"/>
      <c r="I190" s="544"/>
      <c r="J190" s="544"/>
      <c r="K190" s="542"/>
      <c r="L190" s="542"/>
      <c r="M190" s="542"/>
      <c r="N190" s="542"/>
      <c r="O190" s="542"/>
      <c r="P190" s="542"/>
      <c r="Q190" s="542"/>
      <c r="R190" s="542"/>
      <c r="S190" s="542"/>
      <c r="T190" s="542"/>
    </row>
    <row r="191" spans="1:20" hidden="1">
      <c r="A191" s="756"/>
      <c r="B191" s="1083"/>
      <c r="C191" s="1079"/>
      <c r="D191" s="1079"/>
      <c r="E191" s="540"/>
      <c r="F191" s="539"/>
      <c r="G191" s="539"/>
      <c r="H191" s="539"/>
      <c r="I191" s="539"/>
      <c r="J191" s="539"/>
      <c r="K191" s="541"/>
      <c r="L191" s="537"/>
      <c r="M191" s="537"/>
      <c r="N191" s="537"/>
      <c r="O191" s="537"/>
      <c r="P191" s="537"/>
      <c r="Q191" s="537"/>
      <c r="R191" s="537"/>
      <c r="S191" s="537"/>
      <c r="T191" s="537"/>
    </row>
    <row r="192" spans="1:20" hidden="1">
      <c r="A192" s="756"/>
      <c r="B192" s="1083"/>
      <c r="C192" s="1079"/>
      <c r="D192" s="1079"/>
      <c r="E192" s="540"/>
      <c r="F192" s="554">
        <v>1.1499999999999999</v>
      </c>
      <c r="G192" s="539"/>
      <c r="H192" s="546"/>
      <c r="I192" s="539"/>
      <c r="J192" s="539"/>
      <c r="K192" s="537" t="s">
        <v>692</v>
      </c>
      <c r="L192" s="538">
        <v>0</v>
      </c>
      <c r="M192" s="538">
        <v>8</v>
      </c>
      <c r="N192" s="537">
        <f>+F192+G194+G190</f>
        <v>1.4</v>
      </c>
      <c r="O192" s="537">
        <f t="shared" ref="O192:T192" si="34">IF(+$K192=O$12,+$L192*$M192*$N192,0)</f>
        <v>0</v>
      </c>
      <c r="P192" s="537">
        <f t="shared" si="34"/>
        <v>0</v>
      </c>
      <c r="Q192" s="537">
        <f t="shared" si="34"/>
        <v>0</v>
      </c>
      <c r="R192" s="537">
        <f t="shared" si="34"/>
        <v>0</v>
      </c>
      <c r="S192" s="537">
        <f t="shared" si="34"/>
        <v>0</v>
      </c>
      <c r="T192" s="537">
        <f t="shared" si="34"/>
        <v>0</v>
      </c>
    </row>
    <row r="193" spans="1:20" hidden="1">
      <c r="A193" s="756"/>
      <c r="B193" s="1083"/>
      <c r="C193" s="1079"/>
      <c r="D193" s="1079"/>
      <c r="E193" s="540"/>
      <c r="F193" s="546"/>
      <c r="G193" s="539"/>
      <c r="H193" s="539"/>
      <c r="I193" s="546"/>
      <c r="J193" s="539"/>
      <c r="K193" s="537"/>
      <c r="L193" s="538"/>
      <c r="M193" s="538"/>
      <c r="N193" s="537"/>
      <c r="O193" s="537"/>
      <c r="P193" s="537"/>
      <c r="Q193" s="537"/>
      <c r="R193" s="537"/>
      <c r="S193" s="537"/>
      <c r="T193" s="537"/>
    </row>
    <row r="194" spans="1:20" hidden="1">
      <c r="A194" s="756"/>
      <c r="B194" s="1083"/>
      <c r="C194" s="1079"/>
      <c r="D194" s="1080"/>
      <c r="E194" s="551"/>
      <c r="F194" s="550"/>
      <c r="G194" s="556">
        <v>0.25</v>
      </c>
      <c r="H194" s="556"/>
      <c r="I194" s="550"/>
      <c r="J194" s="550"/>
      <c r="K194" s="549"/>
      <c r="L194" s="548"/>
      <c r="M194" s="548"/>
      <c r="N194" s="547"/>
      <c r="O194" s="537"/>
      <c r="P194" s="537"/>
      <c r="Q194" s="537"/>
      <c r="R194" s="537"/>
      <c r="S194" s="537"/>
      <c r="T194" s="537"/>
    </row>
    <row r="195" spans="1:20" hidden="1">
      <c r="A195" s="756"/>
      <c r="B195" s="1083"/>
      <c r="C195" s="1079"/>
      <c r="D195" s="1079" t="s">
        <v>701</v>
      </c>
      <c r="E195" s="540"/>
      <c r="F195" s="539"/>
      <c r="G195" s="554">
        <f>G199</f>
        <v>0.25</v>
      </c>
      <c r="H195" s="539"/>
      <c r="I195" s="539"/>
      <c r="J195" s="539"/>
      <c r="K195" s="541"/>
      <c r="L195" s="541"/>
      <c r="M195" s="541"/>
      <c r="N195" s="541"/>
      <c r="O195" s="542"/>
      <c r="P195" s="542"/>
      <c r="Q195" s="542"/>
      <c r="R195" s="542"/>
      <c r="S195" s="542"/>
      <c r="T195" s="542"/>
    </row>
    <row r="196" spans="1:20" hidden="1">
      <c r="A196" s="756"/>
      <c r="B196" s="1083"/>
      <c r="C196" s="1079"/>
      <c r="D196" s="1079"/>
      <c r="E196" s="540"/>
      <c r="F196" s="546"/>
      <c r="G196" s="546"/>
      <c r="H196" s="539"/>
      <c r="I196" s="539"/>
      <c r="J196" s="539"/>
      <c r="K196" s="541"/>
      <c r="L196" s="537"/>
      <c r="M196" s="537"/>
      <c r="N196" s="537"/>
      <c r="O196" s="537"/>
      <c r="P196" s="537"/>
      <c r="Q196" s="537"/>
      <c r="R196" s="537"/>
      <c r="S196" s="537"/>
      <c r="T196" s="537"/>
    </row>
    <row r="197" spans="1:20" hidden="1">
      <c r="A197" s="756"/>
      <c r="B197" s="1083"/>
      <c r="C197" s="1079"/>
      <c r="D197" s="1079"/>
      <c r="E197" s="540"/>
      <c r="F197" s="546"/>
      <c r="G197" s="546"/>
      <c r="H197" s="546"/>
      <c r="I197" s="554">
        <v>1.5469999999999999</v>
      </c>
      <c r="J197" s="539"/>
      <c r="K197" s="537" t="s">
        <v>692</v>
      </c>
      <c r="L197" s="538">
        <v>0</v>
      </c>
      <c r="M197" s="538">
        <v>6</v>
      </c>
      <c r="N197" s="537">
        <f>+I197+G199+G195</f>
        <v>2.0469999999999997</v>
      </c>
      <c r="O197" s="537">
        <f t="shared" ref="O197:T197" si="35">IF(+$K197=O$12,+$L197*$M197*$N197,0)</f>
        <v>0</v>
      </c>
      <c r="P197" s="537">
        <f t="shared" si="35"/>
        <v>0</v>
      </c>
      <c r="Q197" s="537">
        <f t="shared" si="35"/>
        <v>0</v>
      </c>
      <c r="R197" s="537">
        <f t="shared" si="35"/>
        <v>0</v>
      </c>
      <c r="S197" s="537">
        <f t="shared" si="35"/>
        <v>0</v>
      </c>
      <c r="T197" s="537">
        <f t="shared" si="35"/>
        <v>0</v>
      </c>
    </row>
    <row r="198" spans="1:20" hidden="1">
      <c r="A198" s="756"/>
      <c r="B198" s="1083"/>
      <c r="C198" s="1079"/>
      <c r="D198" s="1079"/>
      <c r="E198" s="540"/>
      <c r="F198" s="539"/>
      <c r="G198" s="546"/>
      <c r="H198" s="756"/>
      <c r="I198" s="756"/>
      <c r="J198" s="539"/>
      <c r="K198" s="537"/>
      <c r="L198" s="538"/>
      <c r="M198" s="538"/>
      <c r="N198" s="537"/>
      <c r="O198" s="537"/>
      <c r="P198" s="537"/>
      <c r="Q198" s="537"/>
      <c r="R198" s="537"/>
      <c r="S198" s="537"/>
      <c r="T198" s="537"/>
    </row>
    <row r="199" spans="1:20" ht="73.5" hidden="1" customHeight="1">
      <c r="A199" s="756"/>
      <c r="B199" s="1083"/>
      <c r="C199" s="1079"/>
      <c r="D199" s="1079"/>
      <c r="E199" s="540"/>
      <c r="F199" s="539"/>
      <c r="G199" s="557">
        <v>0.25</v>
      </c>
      <c r="H199" s="560"/>
      <c r="I199" s="539"/>
      <c r="J199" s="539"/>
      <c r="K199" s="541"/>
      <c r="L199" s="538"/>
      <c r="M199" s="538"/>
      <c r="N199" s="537"/>
      <c r="O199" s="537"/>
      <c r="P199" s="537"/>
      <c r="Q199" s="537"/>
      <c r="R199" s="537"/>
      <c r="S199" s="537"/>
      <c r="T199" s="537"/>
    </row>
    <row r="200" spans="1:20" ht="15" customHeight="1">
      <c r="A200" s="756"/>
      <c r="B200" s="1083"/>
      <c r="C200" s="1079"/>
      <c r="D200" s="1078" t="s">
        <v>916</v>
      </c>
      <c r="E200" s="545"/>
      <c r="F200" s="544"/>
      <c r="G200" s="544">
        <v>0.1</v>
      </c>
      <c r="H200" s="544"/>
      <c r="I200" s="544"/>
      <c r="J200" s="544"/>
      <c r="K200" s="542"/>
      <c r="L200" s="542"/>
      <c r="M200" s="542"/>
      <c r="N200" s="542"/>
      <c r="O200" s="542"/>
      <c r="P200" s="542"/>
      <c r="Q200" s="542"/>
      <c r="R200" s="542"/>
      <c r="S200" s="542"/>
      <c r="T200" s="542"/>
    </row>
    <row r="201" spans="1:20" ht="15" customHeight="1">
      <c r="A201" s="756"/>
      <c r="B201" s="1083"/>
      <c r="C201" s="1079"/>
      <c r="D201" s="1079"/>
      <c r="E201" s="540"/>
      <c r="F201" s="539"/>
      <c r="G201" s="539"/>
      <c r="H201" s="539"/>
      <c r="I201" s="539"/>
      <c r="J201" s="539"/>
      <c r="K201" s="541"/>
      <c r="L201" s="537"/>
      <c r="M201" s="537"/>
      <c r="N201" s="537"/>
      <c r="O201" s="537"/>
      <c r="P201" s="537"/>
      <c r="Q201" s="537"/>
      <c r="R201" s="537"/>
      <c r="S201" s="537"/>
      <c r="T201" s="537"/>
    </row>
    <row r="202" spans="1:20" ht="15" customHeight="1">
      <c r="A202" s="756"/>
      <c r="B202" s="1083"/>
      <c r="C202" s="1079"/>
      <c r="D202" s="1079"/>
      <c r="E202" s="540"/>
      <c r="F202" s="554">
        <v>0.54</v>
      </c>
      <c r="G202" s="539"/>
      <c r="H202" s="546"/>
      <c r="I202" s="539"/>
      <c r="J202" s="539"/>
      <c r="K202" s="761" t="s">
        <v>738</v>
      </c>
      <c r="L202" s="538">
        <v>1</v>
      </c>
      <c r="M202" s="538">
        <v>6</v>
      </c>
      <c r="N202" s="537">
        <f>+F202+G204+G200</f>
        <v>0.74</v>
      </c>
      <c r="O202" s="537">
        <f t="shared" ref="O202:T202" si="36">IF(+$K202=O$12,+$L202*$M202*$N202,0)</f>
        <v>4.4399999999999995</v>
      </c>
      <c r="P202" s="537">
        <f t="shared" si="36"/>
        <v>0</v>
      </c>
      <c r="Q202" s="537">
        <f t="shared" si="36"/>
        <v>0</v>
      </c>
      <c r="R202" s="537">
        <f t="shared" si="36"/>
        <v>0</v>
      </c>
      <c r="S202" s="537">
        <f t="shared" si="36"/>
        <v>0</v>
      </c>
      <c r="T202" s="537">
        <f t="shared" si="36"/>
        <v>0</v>
      </c>
    </row>
    <row r="203" spans="1:20" ht="15" customHeight="1">
      <c r="A203" s="756"/>
      <c r="B203" s="1083"/>
      <c r="C203" s="1079"/>
      <c r="D203" s="1079"/>
      <c r="E203" s="540"/>
      <c r="F203" s="546"/>
      <c r="G203" s="539"/>
      <c r="H203" s="539"/>
      <c r="I203" s="546"/>
      <c r="J203" s="539"/>
      <c r="K203" s="537"/>
      <c r="L203" s="538"/>
      <c r="M203" s="538"/>
      <c r="N203" s="537"/>
      <c r="O203" s="537"/>
      <c r="P203" s="537"/>
      <c r="Q203" s="537"/>
      <c r="R203" s="537"/>
      <c r="S203" s="537"/>
      <c r="T203" s="537"/>
    </row>
    <row r="204" spans="1:20" ht="15" customHeight="1">
      <c r="A204" s="756"/>
      <c r="B204" s="1083"/>
      <c r="C204" s="1079"/>
      <c r="D204" s="1079"/>
      <c r="E204" s="540"/>
      <c r="F204" s="539"/>
      <c r="G204" s="553">
        <v>0.1</v>
      </c>
      <c r="H204" s="553"/>
      <c r="I204" s="539"/>
      <c r="J204" s="539"/>
      <c r="K204" s="541"/>
      <c r="L204" s="538"/>
      <c r="M204" s="538"/>
      <c r="N204" s="537"/>
      <c r="O204" s="537"/>
      <c r="P204" s="537"/>
      <c r="Q204" s="537"/>
      <c r="R204" s="537"/>
      <c r="S204" s="537"/>
      <c r="T204" s="537"/>
    </row>
    <row r="205" spans="1:20" ht="15" customHeight="1">
      <c r="A205" s="756"/>
      <c r="B205" s="1083"/>
      <c r="C205" s="1079"/>
      <c r="D205" s="1078" t="s">
        <v>915</v>
      </c>
      <c r="E205" s="545"/>
      <c r="F205" s="539"/>
      <c r="G205" s="539"/>
      <c r="H205" s="539"/>
      <c r="I205" s="544"/>
      <c r="J205" s="544"/>
      <c r="K205" s="542"/>
      <c r="L205" s="542"/>
      <c r="M205" s="542"/>
      <c r="N205" s="542"/>
      <c r="O205" s="542"/>
      <c r="P205" s="542"/>
      <c r="Q205" s="542"/>
      <c r="R205" s="542"/>
      <c r="S205" s="542"/>
      <c r="T205" s="542"/>
    </row>
    <row r="206" spans="1:20" ht="15" customHeight="1">
      <c r="A206" s="756"/>
      <c r="B206" s="1083"/>
      <c r="C206" s="1079"/>
      <c r="D206" s="1079"/>
      <c r="E206" s="540"/>
      <c r="F206" s="546"/>
      <c r="G206" s="546"/>
      <c r="H206" s="539"/>
      <c r="I206" s="539"/>
      <c r="J206" s="539"/>
      <c r="K206" s="541"/>
      <c r="L206" s="537"/>
      <c r="M206" s="537"/>
      <c r="N206" s="537"/>
      <c r="O206" s="537"/>
      <c r="P206" s="537"/>
      <c r="Q206" s="537"/>
      <c r="R206" s="537"/>
      <c r="S206" s="537"/>
      <c r="T206" s="537"/>
    </row>
    <row r="207" spans="1:20" ht="15" customHeight="1">
      <c r="A207" s="756"/>
      <c r="B207" s="1083"/>
      <c r="C207" s="1079"/>
      <c r="D207" s="1079"/>
      <c r="E207" s="540"/>
      <c r="F207" s="539">
        <v>0.05</v>
      </c>
      <c r="G207" s="546"/>
      <c r="H207" s="546"/>
      <c r="I207" s="555">
        <v>0.05</v>
      </c>
      <c r="J207" s="539"/>
      <c r="K207" s="761" t="s">
        <v>738</v>
      </c>
      <c r="L207" s="538">
        <v>1</v>
      </c>
      <c r="M207" s="538">
        <v>4</v>
      </c>
      <c r="N207" s="537">
        <f>+F207+G208+I207</f>
        <v>1.25</v>
      </c>
      <c r="O207" s="537">
        <f t="shared" ref="O207:T207" si="37">IF(+$K207=O$12,+$L207*$M207*$N207,0)</f>
        <v>5</v>
      </c>
      <c r="P207" s="537">
        <f t="shared" si="37"/>
        <v>0</v>
      </c>
      <c r="Q207" s="537">
        <f t="shared" si="37"/>
        <v>0</v>
      </c>
      <c r="R207" s="537">
        <f t="shared" si="37"/>
        <v>0</v>
      </c>
      <c r="S207" s="537">
        <f t="shared" si="37"/>
        <v>0</v>
      </c>
      <c r="T207" s="537">
        <f t="shared" si="37"/>
        <v>0</v>
      </c>
    </row>
    <row r="208" spans="1:20" ht="15" customHeight="1">
      <c r="A208" s="756"/>
      <c r="B208" s="1083"/>
      <c r="C208" s="1079"/>
      <c r="D208" s="1079"/>
      <c r="E208" s="540"/>
      <c r="F208" s="539"/>
      <c r="G208" s="1085">
        <v>1.1499999999999999</v>
      </c>
      <c r="H208" s="1085"/>
      <c r="I208" s="539"/>
      <c r="J208" s="539"/>
      <c r="K208" s="541"/>
      <c r="L208" s="538"/>
      <c r="M208" s="538"/>
      <c r="N208" s="537"/>
      <c r="O208" s="537"/>
      <c r="P208" s="537"/>
      <c r="Q208" s="537"/>
      <c r="R208" s="537"/>
      <c r="S208" s="537"/>
      <c r="T208" s="537"/>
    </row>
    <row r="209" spans="1:20" ht="15" customHeight="1">
      <c r="A209" s="756"/>
      <c r="B209" s="1083"/>
      <c r="C209" s="1079"/>
      <c r="D209" s="1080"/>
      <c r="E209" s="551"/>
      <c r="F209" s="550"/>
      <c r="G209" s="550"/>
      <c r="H209" s="550"/>
      <c r="I209" s="550"/>
      <c r="J209" s="550"/>
      <c r="K209" s="549"/>
      <c r="L209" s="548"/>
      <c r="M209" s="548"/>
      <c r="N209" s="547"/>
      <c r="O209" s="537"/>
      <c r="P209" s="537"/>
      <c r="Q209" s="537"/>
      <c r="R209" s="537"/>
      <c r="S209" s="537"/>
      <c r="T209" s="537"/>
    </row>
    <row r="210" spans="1:20" ht="15" customHeight="1">
      <c r="A210" s="756"/>
      <c r="B210" s="1083"/>
      <c r="C210" s="1079"/>
      <c r="D210" s="1078" t="s">
        <v>914</v>
      </c>
      <c r="E210" s="545"/>
      <c r="F210" s="544"/>
      <c r="G210" s="544">
        <v>7.4999999999999997E-2</v>
      </c>
      <c r="H210" s="544"/>
      <c r="I210" s="544"/>
      <c r="J210" s="544"/>
      <c r="K210" s="542"/>
      <c r="L210" s="542"/>
      <c r="M210" s="542"/>
      <c r="N210" s="542"/>
      <c r="O210" s="542"/>
      <c r="P210" s="542"/>
      <c r="Q210" s="542"/>
      <c r="R210" s="542"/>
      <c r="S210" s="542"/>
      <c r="T210" s="542"/>
    </row>
    <row r="211" spans="1:20" ht="15" customHeight="1">
      <c r="A211" s="756"/>
      <c r="B211" s="1083"/>
      <c r="C211" s="1079"/>
      <c r="D211" s="1079"/>
      <c r="E211" s="540"/>
      <c r="F211" s="539"/>
      <c r="G211" s="539"/>
      <c r="H211" s="539"/>
      <c r="I211" s="539"/>
      <c r="J211" s="539"/>
      <c r="K211" s="541"/>
      <c r="L211" s="537"/>
      <c r="M211" s="537"/>
      <c r="N211" s="537"/>
      <c r="O211" s="537"/>
      <c r="P211" s="537"/>
      <c r="Q211" s="537"/>
      <c r="R211" s="537"/>
      <c r="S211" s="537"/>
      <c r="T211" s="537"/>
    </row>
    <row r="212" spans="1:20" ht="15" customHeight="1">
      <c r="A212" s="756"/>
      <c r="B212" s="1083"/>
      <c r="C212" s="1079"/>
      <c r="D212" s="1079"/>
      <c r="E212" s="540"/>
      <c r="F212" s="554">
        <v>0.56999999999999995</v>
      </c>
      <c r="G212" s="539"/>
      <c r="H212" s="546"/>
      <c r="I212" s="539"/>
      <c r="J212" s="539"/>
      <c r="K212" s="761" t="s">
        <v>738</v>
      </c>
      <c r="L212" s="538">
        <v>1</v>
      </c>
      <c r="M212" s="538">
        <v>3</v>
      </c>
      <c r="N212" s="537">
        <f>+F212+G214</f>
        <v>0.64499999999999991</v>
      </c>
      <c r="O212" s="537">
        <f t="shared" ref="O212:T212" si="38">IF(+$K212=O$12,+$L212*$M212*$N212,0)</f>
        <v>1.9349999999999996</v>
      </c>
      <c r="P212" s="537">
        <f t="shared" si="38"/>
        <v>0</v>
      </c>
      <c r="Q212" s="537">
        <f t="shared" si="38"/>
        <v>0</v>
      </c>
      <c r="R212" s="537">
        <f t="shared" si="38"/>
        <v>0</v>
      </c>
      <c r="S212" s="537">
        <f t="shared" si="38"/>
        <v>0</v>
      </c>
      <c r="T212" s="537">
        <f t="shared" si="38"/>
        <v>0</v>
      </c>
    </row>
    <row r="213" spans="1:20" ht="15" customHeight="1">
      <c r="A213" s="756"/>
      <c r="B213" s="1083"/>
      <c r="C213" s="1079"/>
      <c r="D213" s="1079"/>
      <c r="E213" s="540"/>
      <c r="F213" s="546"/>
      <c r="G213" s="539"/>
      <c r="H213" s="539"/>
      <c r="I213" s="546"/>
      <c r="J213" s="539"/>
      <c r="K213" s="537"/>
      <c r="L213" s="538"/>
      <c r="M213" s="538"/>
      <c r="N213" s="537"/>
      <c r="O213" s="537"/>
      <c r="P213" s="537"/>
      <c r="Q213" s="537"/>
      <c r="R213" s="537"/>
      <c r="S213" s="537"/>
      <c r="T213" s="537"/>
    </row>
    <row r="214" spans="1:20" ht="15" customHeight="1">
      <c r="A214" s="756"/>
      <c r="B214" s="1083"/>
      <c r="C214" s="1079"/>
      <c r="D214" s="1079"/>
      <c r="E214" s="540"/>
      <c r="F214" s="539"/>
      <c r="G214" s="553">
        <v>7.4999999999999997E-2</v>
      </c>
      <c r="H214" s="553"/>
      <c r="I214" s="539"/>
      <c r="J214" s="539"/>
      <c r="K214" s="541"/>
      <c r="L214" s="538"/>
      <c r="M214" s="538"/>
      <c r="N214" s="537"/>
      <c r="O214" s="537"/>
      <c r="P214" s="537"/>
      <c r="Q214" s="537"/>
      <c r="R214" s="537"/>
      <c r="S214" s="537"/>
      <c r="T214" s="537"/>
    </row>
    <row r="215" spans="1:20" ht="15" customHeight="1">
      <c r="A215" s="756"/>
      <c r="B215" s="1083"/>
      <c r="C215" s="1079"/>
      <c r="D215" s="1078" t="s">
        <v>913</v>
      </c>
      <c r="E215" s="545"/>
      <c r="F215" s="1220"/>
      <c r="G215" s="1220"/>
      <c r="H215" s="1222"/>
      <c r="I215" s="1222"/>
      <c r="J215" s="544"/>
      <c r="K215" s="542"/>
      <c r="L215" s="562"/>
      <c r="M215" s="562"/>
      <c r="N215" s="562"/>
      <c r="O215" s="542"/>
      <c r="P215" s="542"/>
      <c r="Q215" s="542"/>
      <c r="R215" s="542"/>
      <c r="S215" s="542"/>
      <c r="T215" s="542"/>
    </row>
    <row r="216" spans="1:20" ht="15" customHeight="1">
      <c r="A216" s="756"/>
      <c r="B216" s="1083"/>
      <c r="C216" s="1079"/>
      <c r="D216" s="1079"/>
      <c r="E216" s="540"/>
      <c r="F216" s="546"/>
      <c r="G216" s="546"/>
      <c r="H216" s="539"/>
      <c r="I216" s="546"/>
      <c r="J216" s="539"/>
      <c r="K216" s="541"/>
      <c r="L216" s="537"/>
      <c r="M216" s="537"/>
      <c r="N216" s="537"/>
      <c r="O216" s="537"/>
      <c r="P216" s="537"/>
      <c r="Q216" s="537"/>
      <c r="R216" s="537"/>
      <c r="S216" s="537"/>
      <c r="T216" s="537"/>
    </row>
    <row r="217" spans="1:20" ht="15" customHeight="1">
      <c r="A217" s="756"/>
      <c r="B217" s="1083"/>
      <c r="C217" s="1079"/>
      <c r="D217" s="1079"/>
      <c r="E217" s="540"/>
      <c r="F217" s="555">
        <f>I217</f>
        <v>1.546</v>
      </c>
      <c r="G217" s="546"/>
      <c r="H217" s="539"/>
      <c r="I217" s="762">
        <v>1.546</v>
      </c>
      <c r="J217" s="539"/>
      <c r="K217" s="761" t="s">
        <v>738</v>
      </c>
      <c r="L217" s="538">
        <v>1</v>
      </c>
      <c r="M217" s="538">
        <v>4</v>
      </c>
      <c r="N217" s="537">
        <f>+F215+H215+I217+F217+G218</f>
        <v>3.4859</v>
      </c>
      <c r="O217" s="537">
        <f t="shared" ref="O217:T217" si="39">IF(+$K217=O$12,+$L217*$M217*$N217,0)</f>
        <v>13.9436</v>
      </c>
      <c r="P217" s="537">
        <f t="shared" si="39"/>
        <v>0</v>
      </c>
      <c r="Q217" s="537">
        <f t="shared" si="39"/>
        <v>0</v>
      </c>
      <c r="R217" s="537">
        <f t="shared" si="39"/>
        <v>0</v>
      </c>
      <c r="S217" s="537">
        <f t="shared" si="39"/>
        <v>0</v>
      </c>
      <c r="T217" s="537">
        <f t="shared" si="39"/>
        <v>0</v>
      </c>
    </row>
    <row r="218" spans="1:20" ht="15" customHeight="1">
      <c r="A218" s="756"/>
      <c r="B218" s="1083"/>
      <c r="C218" s="1079"/>
      <c r="D218" s="1079"/>
      <c r="E218" s="540"/>
      <c r="F218" s="546"/>
      <c r="G218" s="1071">
        <v>0.39389999999999997</v>
      </c>
      <c r="H218" s="1071"/>
      <c r="I218" s="546"/>
      <c r="J218" s="539"/>
      <c r="K218" s="541"/>
      <c r="L218" s="538"/>
      <c r="M218" s="538"/>
      <c r="N218" s="537"/>
      <c r="O218" s="537"/>
      <c r="P218" s="537"/>
      <c r="Q218" s="537"/>
      <c r="R218" s="537"/>
      <c r="S218" s="537"/>
      <c r="T218" s="537"/>
    </row>
    <row r="219" spans="1:20" ht="15" customHeight="1">
      <c r="A219" s="756"/>
      <c r="B219" s="1083"/>
      <c r="C219" s="1080"/>
      <c r="D219" s="1079"/>
      <c r="E219" s="551"/>
      <c r="F219" s="550"/>
      <c r="H219" s="760"/>
      <c r="I219" s="550"/>
      <c r="J219" s="550"/>
      <c r="K219" s="549"/>
      <c r="L219" s="548"/>
      <c r="M219" s="548"/>
      <c r="N219" s="547"/>
      <c r="O219" s="537"/>
      <c r="P219" s="537"/>
      <c r="Q219" s="537"/>
      <c r="R219" s="537"/>
      <c r="S219" s="537"/>
      <c r="T219" s="537"/>
    </row>
    <row r="220" spans="1:20" ht="15" hidden="1" customHeight="1">
      <c r="A220" s="756"/>
      <c r="B220" s="1083"/>
      <c r="C220" s="1078" t="s">
        <v>696</v>
      </c>
      <c r="D220" s="1082" t="s">
        <v>695</v>
      </c>
      <c r="E220" s="545"/>
      <c r="F220" s="544"/>
      <c r="G220" s="544"/>
      <c r="H220" s="544"/>
      <c r="I220" s="544"/>
      <c r="J220" s="544"/>
      <c r="K220" s="542"/>
      <c r="L220" s="543"/>
      <c r="M220" s="543"/>
      <c r="N220" s="542"/>
      <c r="O220" s="542"/>
      <c r="P220" s="542"/>
      <c r="Q220" s="542"/>
      <c r="R220" s="542"/>
      <c r="S220" s="542"/>
      <c r="T220" s="542"/>
    </row>
    <row r="221" spans="1:20" ht="15" hidden="1" customHeight="1">
      <c r="A221" s="756"/>
      <c r="B221" s="1083"/>
      <c r="C221" s="1079"/>
      <c r="D221" s="1083"/>
      <c r="E221" s="540"/>
      <c r="F221" s="539"/>
      <c r="G221" s="539">
        <v>2.46</v>
      </c>
      <c r="H221" s="539"/>
      <c r="I221" s="539"/>
      <c r="J221" s="539"/>
      <c r="K221" s="541"/>
      <c r="L221" s="538"/>
      <c r="M221" s="538"/>
      <c r="N221" s="537"/>
      <c r="O221" s="537"/>
      <c r="P221" s="537"/>
      <c r="Q221" s="537"/>
      <c r="R221" s="537"/>
      <c r="S221" s="537"/>
      <c r="T221" s="537"/>
    </row>
    <row r="222" spans="1:20" ht="15" hidden="1" customHeight="1">
      <c r="A222" s="756"/>
      <c r="B222" s="1083"/>
      <c r="C222" s="1079"/>
      <c r="D222" s="1083"/>
      <c r="E222" s="540"/>
      <c r="F222" s="539"/>
      <c r="G222" s="546"/>
      <c r="H222" s="539"/>
      <c r="I222" s="539"/>
      <c r="J222" s="539"/>
      <c r="K222" s="537" t="s">
        <v>692</v>
      </c>
      <c r="L222" s="538">
        <v>0</v>
      </c>
      <c r="M222" s="538">
        <v>8</v>
      </c>
      <c r="N222" s="537">
        <f>+G221</f>
        <v>2.46</v>
      </c>
      <c r="O222" s="537">
        <f t="shared" ref="O222:T222" si="40">IF(+$K222=O$12,+$L222*$M222*$N222,0)</f>
        <v>0</v>
      </c>
      <c r="P222" s="537">
        <f t="shared" si="40"/>
        <v>0</v>
      </c>
      <c r="Q222" s="537">
        <f t="shared" si="40"/>
        <v>0</v>
      </c>
      <c r="R222" s="537">
        <f t="shared" si="40"/>
        <v>0</v>
      </c>
      <c r="S222" s="537">
        <f t="shared" si="40"/>
        <v>0</v>
      </c>
      <c r="T222" s="537">
        <f t="shared" si="40"/>
        <v>0</v>
      </c>
    </row>
    <row r="223" spans="1:20" ht="15" hidden="1" customHeight="1">
      <c r="A223" s="756"/>
      <c r="B223" s="1083"/>
      <c r="C223" s="1079"/>
      <c r="D223" s="1083"/>
      <c r="E223" s="540"/>
      <c r="F223" s="539"/>
      <c r="G223" s="546"/>
      <c r="H223" s="539"/>
      <c r="I223" s="539"/>
      <c r="J223" s="539"/>
      <c r="K223" s="537"/>
      <c r="L223" s="538"/>
      <c r="M223" s="538"/>
      <c r="N223" s="537"/>
      <c r="O223" s="537"/>
      <c r="P223" s="537"/>
      <c r="Q223" s="537"/>
      <c r="R223" s="537"/>
      <c r="S223" s="537"/>
      <c r="T223" s="537"/>
    </row>
    <row r="224" spans="1:20" ht="15" hidden="1" customHeight="1">
      <c r="A224" s="756"/>
      <c r="B224" s="1083"/>
      <c r="C224" s="1079"/>
      <c r="D224" s="1083"/>
      <c r="E224" s="540"/>
      <c r="F224" s="539"/>
      <c r="G224" s="539"/>
      <c r="H224" s="539"/>
      <c r="I224" s="539"/>
      <c r="J224" s="539"/>
      <c r="K224" s="541"/>
      <c r="L224" s="537"/>
      <c r="M224" s="538"/>
      <c r="N224" s="537"/>
      <c r="O224" s="537"/>
      <c r="P224" s="537"/>
      <c r="Q224" s="537"/>
      <c r="R224" s="537"/>
      <c r="S224" s="537"/>
      <c r="T224" s="537"/>
    </row>
    <row r="225" spans="1:20" ht="15" hidden="1" customHeight="1">
      <c r="A225" s="756"/>
      <c r="B225" s="1083"/>
      <c r="C225" s="1079"/>
      <c r="D225" s="1082" t="s">
        <v>695</v>
      </c>
      <c r="E225" s="545"/>
      <c r="F225" s="544"/>
      <c r="G225" s="544"/>
      <c r="H225" s="544"/>
      <c r="I225" s="544"/>
      <c r="J225" s="544"/>
      <c r="K225" s="542"/>
      <c r="L225" s="543"/>
      <c r="M225" s="543"/>
      <c r="N225" s="542"/>
      <c r="O225" s="542"/>
      <c r="P225" s="542"/>
      <c r="Q225" s="542"/>
      <c r="R225" s="542"/>
      <c r="S225" s="542"/>
      <c r="T225" s="542"/>
    </row>
    <row r="226" spans="1:20" ht="15" hidden="1" customHeight="1">
      <c r="A226" s="756"/>
      <c r="B226" s="1083"/>
      <c r="C226" s="1079"/>
      <c r="D226" s="1083"/>
      <c r="E226" s="540"/>
      <c r="F226" s="539"/>
      <c r="G226" s="539">
        <v>1.528</v>
      </c>
      <c r="H226" s="539"/>
      <c r="I226" s="539"/>
      <c r="J226" s="539"/>
      <c r="K226" s="541"/>
      <c r="L226" s="538"/>
      <c r="M226" s="538"/>
      <c r="N226" s="537"/>
      <c r="O226" s="537"/>
      <c r="P226" s="537"/>
      <c r="Q226" s="537"/>
      <c r="R226" s="537"/>
      <c r="S226" s="537"/>
      <c r="T226" s="537"/>
    </row>
    <row r="227" spans="1:20" ht="6.75" hidden="1" customHeight="1">
      <c r="A227" s="756"/>
      <c r="B227" s="1083"/>
      <c r="C227" s="1079"/>
      <c r="D227" s="1083"/>
      <c r="E227" s="540"/>
      <c r="F227" s="539"/>
      <c r="G227" s="546"/>
      <c r="H227" s="539"/>
      <c r="I227" s="539"/>
      <c r="J227" s="539"/>
      <c r="K227" s="537" t="s">
        <v>692</v>
      </c>
      <c r="L227" s="538">
        <v>0</v>
      </c>
      <c r="M227" s="538">
        <v>13</v>
      </c>
      <c r="N227" s="537">
        <f>+G226</f>
        <v>1.528</v>
      </c>
      <c r="O227" s="537">
        <f t="shared" ref="O227:T227" si="41">IF(+$K227=O$12,+$L227*$M227*$N227,0)</f>
        <v>0</v>
      </c>
      <c r="P227" s="537">
        <f t="shared" si="41"/>
        <v>0</v>
      </c>
      <c r="Q227" s="537">
        <f t="shared" si="41"/>
        <v>0</v>
      </c>
      <c r="R227" s="537">
        <f t="shared" si="41"/>
        <v>0</v>
      </c>
      <c r="S227" s="537">
        <f t="shared" si="41"/>
        <v>0</v>
      </c>
      <c r="T227" s="537">
        <f t="shared" si="41"/>
        <v>0</v>
      </c>
    </row>
    <row r="228" spans="1:20" ht="15" hidden="1" customHeight="1">
      <c r="A228" s="756"/>
      <c r="B228" s="1083"/>
      <c r="C228" s="1079"/>
      <c r="D228" s="1083"/>
      <c r="E228" s="540"/>
      <c r="F228" s="539"/>
      <c r="G228" s="546"/>
      <c r="H228" s="539"/>
      <c r="I228" s="539"/>
      <c r="J228" s="539"/>
      <c r="K228" s="537"/>
      <c r="L228" s="538"/>
      <c r="M228" s="538"/>
      <c r="N228" s="537"/>
      <c r="O228" s="537"/>
      <c r="P228" s="537"/>
      <c r="Q228" s="537"/>
      <c r="R228" s="537"/>
      <c r="S228" s="537"/>
      <c r="T228" s="537"/>
    </row>
    <row r="229" spans="1:20" ht="15" hidden="1" customHeight="1">
      <c r="A229" s="756"/>
      <c r="B229" s="1083"/>
      <c r="C229" s="1079"/>
      <c r="D229" s="1083"/>
      <c r="E229" s="540"/>
      <c r="F229" s="539"/>
      <c r="G229" s="539"/>
      <c r="H229" s="539"/>
      <c r="I229" s="539"/>
      <c r="J229" s="539"/>
      <c r="K229" s="541"/>
      <c r="L229" s="537"/>
      <c r="M229" s="538"/>
      <c r="N229" s="537"/>
      <c r="O229" s="537"/>
      <c r="P229" s="537"/>
      <c r="Q229" s="537"/>
      <c r="R229" s="537"/>
      <c r="S229" s="537"/>
      <c r="T229" s="537"/>
    </row>
    <row r="230" spans="1:20" ht="15" hidden="1" customHeight="1">
      <c r="A230" s="756"/>
      <c r="B230" s="1083"/>
      <c r="C230" s="1079"/>
      <c r="D230" s="1078" t="s">
        <v>694</v>
      </c>
      <c r="E230" s="545"/>
      <c r="F230" s="544"/>
      <c r="G230" s="544"/>
      <c r="H230" s="544"/>
      <c r="I230" s="544"/>
      <c r="J230" s="544"/>
      <c r="K230" s="542"/>
      <c r="L230" s="543"/>
      <c r="M230" s="543"/>
      <c r="N230" s="542"/>
      <c r="O230" s="542"/>
      <c r="P230" s="542"/>
      <c r="Q230" s="542"/>
      <c r="R230" s="542"/>
      <c r="S230" s="542"/>
      <c r="T230" s="542"/>
    </row>
    <row r="231" spans="1:20" ht="15" hidden="1" customHeight="1">
      <c r="A231" s="756"/>
      <c r="B231" s="1083"/>
      <c r="C231" s="1079"/>
      <c r="D231" s="1079"/>
      <c r="E231" s="540"/>
      <c r="F231" s="539"/>
      <c r="G231" s="539">
        <v>0.6</v>
      </c>
      <c r="H231" s="539"/>
      <c r="I231" s="539"/>
      <c r="J231" s="539"/>
      <c r="K231" s="541"/>
      <c r="L231" s="538"/>
      <c r="M231" s="538"/>
      <c r="N231" s="537"/>
      <c r="O231" s="537"/>
      <c r="P231" s="537"/>
      <c r="Q231" s="537"/>
      <c r="R231" s="537"/>
      <c r="S231" s="537"/>
      <c r="T231" s="537"/>
    </row>
    <row r="232" spans="1:20" ht="15" hidden="1" customHeight="1">
      <c r="A232" s="756"/>
      <c r="B232" s="1083"/>
      <c r="C232" s="1079"/>
      <c r="D232" s="1079"/>
      <c r="E232" s="540"/>
      <c r="F232" s="539"/>
      <c r="G232" s="546"/>
      <c r="H232" s="539"/>
      <c r="I232" s="539"/>
      <c r="J232" s="539"/>
      <c r="K232" s="537" t="s">
        <v>692</v>
      </c>
      <c r="L232" s="538">
        <v>0</v>
      </c>
      <c r="M232" s="538">
        <v>8</v>
      </c>
      <c r="N232" s="537">
        <f>+G231</f>
        <v>0.6</v>
      </c>
      <c r="O232" s="537">
        <f t="shared" ref="O232:T232" si="42">IF(+$K232=O$12,+$L232*$M232*$N232,0)</f>
        <v>0</v>
      </c>
      <c r="P232" s="537">
        <f t="shared" si="42"/>
        <v>0</v>
      </c>
      <c r="Q232" s="537">
        <f t="shared" si="42"/>
        <v>0</v>
      </c>
      <c r="R232" s="537">
        <f t="shared" si="42"/>
        <v>0</v>
      </c>
      <c r="S232" s="537">
        <f t="shared" si="42"/>
        <v>0</v>
      </c>
      <c r="T232" s="537">
        <f t="shared" si="42"/>
        <v>0</v>
      </c>
    </row>
    <row r="233" spans="1:20" ht="15" hidden="1" customHeight="1">
      <c r="A233" s="756"/>
      <c r="B233" s="1083"/>
      <c r="C233" s="1079"/>
      <c r="D233" s="1079"/>
      <c r="E233" s="540"/>
      <c r="F233" s="539"/>
      <c r="G233" s="546"/>
      <c r="H233" s="539"/>
      <c r="I233" s="539"/>
      <c r="J233" s="539"/>
      <c r="K233" s="537"/>
      <c r="L233" s="538"/>
      <c r="M233" s="538"/>
      <c r="N233" s="537"/>
      <c r="O233" s="537"/>
      <c r="P233" s="537"/>
      <c r="Q233" s="537"/>
      <c r="R233" s="537"/>
      <c r="S233" s="537"/>
      <c r="T233" s="537"/>
    </row>
    <row r="234" spans="1:20" ht="15" hidden="1" customHeight="1">
      <c r="A234" s="756"/>
      <c r="B234" s="1083"/>
      <c r="C234" s="1079"/>
      <c r="D234" s="1080"/>
      <c r="E234" s="551"/>
      <c r="F234" s="550"/>
      <c r="G234" s="550"/>
      <c r="H234" s="550"/>
      <c r="I234" s="550"/>
      <c r="J234" s="550"/>
      <c r="K234" s="549"/>
      <c r="L234" s="547"/>
      <c r="M234" s="548"/>
      <c r="N234" s="547"/>
      <c r="O234" s="547"/>
      <c r="P234" s="547"/>
      <c r="Q234" s="547"/>
      <c r="R234" s="547"/>
      <c r="S234" s="547"/>
      <c r="T234" s="547"/>
    </row>
    <row r="235" spans="1:20" ht="15" hidden="1" customHeight="1">
      <c r="A235" s="756"/>
      <c r="B235" s="1083"/>
      <c r="C235" s="1079"/>
      <c r="D235" s="1083" t="s">
        <v>693</v>
      </c>
      <c r="E235" s="539"/>
      <c r="F235" s="539"/>
      <c r="G235" s="539"/>
      <c r="H235" s="539"/>
      <c r="I235" s="539"/>
      <c r="J235" s="539"/>
      <c r="K235" s="546"/>
      <c r="L235" s="758"/>
      <c r="M235" s="758"/>
      <c r="N235" s="546"/>
      <c r="O235" s="546"/>
      <c r="P235" s="546"/>
      <c r="Q235" s="546"/>
      <c r="R235" s="546"/>
      <c r="S235" s="546"/>
      <c r="T235" s="759"/>
    </row>
    <row r="236" spans="1:20" ht="15" hidden="1" customHeight="1">
      <c r="A236" s="756"/>
      <c r="B236" s="1083"/>
      <c r="C236" s="1079"/>
      <c r="D236" s="1083"/>
      <c r="E236" s="539"/>
      <c r="F236" s="539"/>
      <c r="G236" s="539"/>
      <c r="H236" s="539"/>
      <c r="I236" s="539"/>
      <c r="J236" s="539"/>
      <c r="K236" s="546"/>
      <c r="L236" s="758"/>
      <c r="M236" s="758"/>
      <c r="N236" s="539"/>
      <c r="O236" s="539"/>
      <c r="P236" s="539"/>
      <c r="Q236" s="539"/>
      <c r="R236" s="539"/>
      <c r="S236" s="539"/>
      <c r="T236" s="757"/>
    </row>
    <row r="237" spans="1:20" ht="15" hidden="1" customHeight="1">
      <c r="A237" s="756"/>
      <c r="B237" s="1083"/>
      <c r="C237" s="1079"/>
      <c r="D237" s="1083"/>
      <c r="E237" s="540"/>
      <c r="F237" s="539"/>
      <c r="G237" s="539">
        <v>0.6</v>
      </c>
      <c r="H237" s="539"/>
      <c r="I237" s="539"/>
      <c r="J237" s="539"/>
      <c r="K237" s="537" t="s">
        <v>692</v>
      </c>
      <c r="L237" s="538">
        <v>0</v>
      </c>
      <c r="M237" s="538">
        <v>13</v>
      </c>
      <c r="N237" s="537">
        <f>+G237</f>
        <v>0.6</v>
      </c>
      <c r="O237" s="537">
        <f t="shared" ref="O237:T237" si="43">IF(+$K237=O$12,+$L237*$M237*$N237,0)</f>
        <v>0</v>
      </c>
      <c r="P237" s="537">
        <f t="shared" si="43"/>
        <v>0</v>
      </c>
      <c r="Q237" s="537">
        <f t="shared" si="43"/>
        <v>0</v>
      </c>
      <c r="R237" s="537">
        <f t="shared" si="43"/>
        <v>0</v>
      </c>
      <c r="S237" s="537">
        <f t="shared" si="43"/>
        <v>0</v>
      </c>
      <c r="T237" s="537">
        <f t="shared" si="43"/>
        <v>0</v>
      </c>
    </row>
    <row r="238" spans="1:20" ht="15" hidden="1" customHeight="1">
      <c r="A238" s="756"/>
      <c r="B238" s="1083"/>
      <c r="C238" s="1079"/>
      <c r="D238" s="1083"/>
      <c r="E238" s="540"/>
      <c r="F238" s="539"/>
      <c r="G238" s="539"/>
      <c r="H238" s="539"/>
      <c r="I238" s="539"/>
      <c r="J238" s="539"/>
      <c r="K238" s="537"/>
      <c r="L238" s="538"/>
      <c r="M238" s="538"/>
      <c r="N238" s="537"/>
      <c r="O238" s="537"/>
      <c r="P238" s="537"/>
      <c r="Q238" s="537"/>
      <c r="R238" s="537"/>
      <c r="S238" s="537"/>
      <c r="T238" s="537"/>
    </row>
    <row r="239" spans="1:20" ht="0.75" customHeight="1">
      <c r="A239" s="756"/>
      <c r="B239" s="1088"/>
      <c r="C239" s="1080"/>
      <c r="D239" s="1088"/>
      <c r="E239" s="551"/>
      <c r="F239" s="550"/>
      <c r="G239" s="550"/>
      <c r="H239" s="550"/>
      <c r="I239" s="550"/>
      <c r="J239" s="550"/>
      <c r="K239" s="549"/>
      <c r="L239" s="547"/>
      <c r="M239" s="548"/>
      <c r="N239" s="547"/>
      <c r="O239" s="547"/>
      <c r="P239" s="547"/>
      <c r="Q239" s="547"/>
      <c r="R239" s="547"/>
      <c r="S239" s="547"/>
      <c r="T239" s="547"/>
    </row>
    <row r="240" spans="1:20">
      <c r="B240" s="527"/>
      <c r="C240" s="527"/>
      <c r="D240" s="527"/>
      <c r="E240" s="526"/>
      <c r="F240" s="529"/>
      <c r="G240" s="529"/>
      <c r="H240" s="529"/>
      <c r="I240" s="529"/>
      <c r="J240" s="529"/>
      <c r="K240" s="1072" t="s">
        <v>691</v>
      </c>
      <c r="L240" s="1073"/>
      <c r="M240" s="1073"/>
      <c r="N240" s="1074"/>
      <c r="O240" s="531">
        <f t="shared" ref="O240:T240" si="44">SUM(O13:O239)</f>
        <v>54.264399999999995</v>
      </c>
      <c r="P240" s="531">
        <f t="shared" si="44"/>
        <v>0</v>
      </c>
      <c r="Q240" s="531">
        <f t="shared" si="44"/>
        <v>0</v>
      </c>
      <c r="R240" s="531">
        <f t="shared" si="44"/>
        <v>0</v>
      </c>
      <c r="S240" s="531">
        <f t="shared" si="44"/>
        <v>0</v>
      </c>
      <c r="T240" s="531">
        <f t="shared" si="44"/>
        <v>0</v>
      </c>
    </row>
    <row r="241" spans="2:20">
      <c r="B241" s="527"/>
      <c r="C241" s="527"/>
      <c r="D241" s="527"/>
      <c r="E241" s="526"/>
      <c r="F241" s="529"/>
      <c r="G241" s="529"/>
      <c r="H241" s="529"/>
      <c r="I241" s="529"/>
      <c r="J241" s="529"/>
      <c r="K241" s="1075" t="s">
        <v>690</v>
      </c>
      <c r="L241" s="1076"/>
      <c r="M241" s="1076"/>
      <c r="N241" s="1077"/>
      <c r="O241" s="530">
        <v>0.222</v>
      </c>
      <c r="P241" s="530">
        <v>0.56000000000000005</v>
      </c>
      <c r="Q241" s="530">
        <v>0.99399999999999999</v>
      </c>
      <c r="R241" s="530">
        <v>1.552</v>
      </c>
      <c r="S241" s="530">
        <v>2.2349999999999999</v>
      </c>
      <c r="T241" s="530">
        <v>3.9729999999999999</v>
      </c>
    </row>
    <row r="242" spans="2:20">
      <c r="B242" s="527"/>
      <c r="C242" s="527"/>
      <c r="D242" s="527"/>
      <c r="E242" s="526"/>
      <c r="F242" s="529"/>
      <c r="G242" s="529"/>
      <c r="H242" s="529"/>
      <c r="I242" s="529"/>
      <c r="J242" s="529"/>
      <c r="K242" s="1075" t="s">
        <v>689</v>
      </c>
      <c r="L242" s="1076"/>
      <c r="M242" s="1076"/>
      <c r="N242" s="1077"/>
      <c r="O242" s="528">
        <f>+O240*O241</f>
        <v>12.046696799999999</v>
      </c>
      <c r="P242" s="528">
        <f>+P240*P241</f>
        <v>0</v>
      </c>
      <c r="Q242" s="528">
        <f>+Q240*Q241</f>
        <v>0</v>
      </c>
      <c r="R242" s="528">
        <f>+R240*R241</f>
        <v>0</v>
      </c>
      <c r="S242" s="528">
        <f>+S241*S240</f>
        <v>0</v>
      </c>
      <c r="T242" s="528">
        <f>+T241*T240</f>
        <v>0</v>
      </c>
    </row>
    <row r="243" spans="2:20" ht="16.5">
      <c r="B243" s="527"/>
      <c r="C243" s="527"/>
      <c r="D243" s="527"/>
      <c r="E243" s="526"/>
      <c r="F243" s="526"/>
      <c r="G243" s="526"/>
      <c r="H243" s="526"/>
      <c r="I243" s="526"/>
      <c r="J243" s="526"/>
      <c r="K243" s="1223" t="s">
        <v>688</v>
      </c>
      <c r="L243" s="1223"/>
      <c r="M243" s="1223"/>
      <c r="N243" s="1223"/>
      <c r="O243" s="1221">
        <f>SUM(O242:T242)</f>
        <v>12.046696799999999</v>
      </c>
      <c r="P243" s="1221"/>
      <c r="Q243" s="1221"/>
      <c r="R243" s="1221"/>
      <c r="S243" s="1221"/>
      <c r="T243" s="1221"/>
    </row>
    <row r="244" spans="2:20">
      <c r="B244" s="527"/>
      <c r="C244" s="527"/>
      <c r="D244" s="527"/>
      <c r="E244" s="527"/>
      <c r="F244" s="527"/>
      <c r="G244" s="527"/>
      <c r="H244" s="527"/>
      <c r="I244" s="527"/>
      <c r="J244" s="527"/>
      <c r="K244" s="527"/>
      <c r="L244" s="527"/>
      <c r="M244" s="527"/>
      <c r="N244" s="527"/>
      <c r="O244" s="527"/>
      <c r="P244" s="527"/>
      <c r="Q244" s="527"/>
      <c r="R244" s="527"/>
      <c r="S244" s="527"/>
      <c r="T244" s="527"/>
    </row>
  </sheetData>
  <mergeCells count="95">
    <mergeCell ref="B3:T3"/>
    <mergeCell ref="B7:T7"/>
    <mergeCell ref="B11:D12"/>
    <mergeCell ref="E11:J12"/>
    <mergeCell ref="K11:K12"/>
    <mergeCell ref="L11:L12"/>
    <mergeCell ref="M11:M12"/>
    <mergeCell ref="N11:N12"/>
    <mergeCell ref="O11:T11"/>
    <mergeCell ref="B4:T5"/>
    <mergeCell ref="D33:D37"/>
    <mergeCell ref="G35:H35"/>
    <mergeCell ref="D48:D52"/>
    <mergeCell ref="G50:H50"/>
    <mergeCell ref="C53:C74"/>
    <mergeCell ref="D53:D59"/>
    <mergeCell ref="D60:D64"/>
    <mergeCell ref="G63:H63"/>
    <mergeCell ref="D65:D69"/>
    <mergeCell ref="G68:H68"/>
    <mergeCell ref="C13:C52"/>
    <mergeCell ref="D13:D17"/>
    <mergeCell ref="D18:D22"/>
    <mergeCell ref="G21:H21"/>
    <mergeCell ref="D23:D27"/>
    <mergeCell ref="D28:D32"/>
    <mergeCell ref="D70:D74"/>
    <mergeCell ref="B140:B159"/>
    <mergeCell ref="C140:C149"/>
    <mergeCell ref="D140:D144"/>
    <mergeCell ref="D146:D149"/>
    <mergeCell ref="C150:C159"/>
    <mergeCell ref="D150:D154"/>
    <mergeCell ref="D155:D159"/>
    <mergeCell ref="B75:B139"/>
    <mergeCell ref="C75:C94"/>
    <mergeCell ref="B13:B74"/>
    <mergeCell ref="D38:D42"/>
    <mergeCell ref="D43:D47"/>
    <mergeCell ref="D75:D79"/>
    <mergeCell ref="D80:D84"/>
    <mergeCell ref="D85:D89"/>
    <mergeCell ref="D170:D174"/>
    <mergeCell ref="D175:D179"/>
    <mergeCell ref="C180:C219"/>
    <mergeCell ref="D90:D94"/>
    <mergeCell ref="D95:D99"/>
    <mergeCell ref="D120:D124"/>
    <mergeCell ref="D125:D129"/>
    <mergeCell ref="D130:D134"/>
    <mergeCell ref="D180:D184"/>
    <mergeCell ref="D185:D189"/>
    <mergeCell ref="D190:D194"/>
    <mergeCell ref="D195:D199"/>
    <mergeCell ref="D200:D204"/>
    <mergeCell ref="D205:D209"/>
    <mergeCell ref="D210:D214"/>
    <mergeCell ref="O243:T243"/>
    <mergeCell ref="H215:I215"/>
    <mergeCell ref="K243:N243"/>
    <mergeCell ref="D135:D139"/>
    <mergeCell ref="B160:B239"/>
    <mergeCell ref="C160:C179"/>
    <mergeCell ref="D160:D164"/>
    <mergeCell ref="C220:C239"/>
    <mergeCell ref="D220:D224"/>
    <mergeCell ref="D225:D229"/>
    <mergeCell ref="C100:C139"/>
    <mergeCell ref="D100:D104"/>
    <mergeCell ref="D105:D109"/>
    <mergeCell ref="D110:D114"/>
    <mergeCell ref="D115:D119"/>
    <mergeCell ref="D165:D169"/>
    <mergeCell ref="D230:D234"/>
    <mergeCell ref="D235:D239"/>
    <mergeCell ref="K241:N241"/>
    <mergeCell ref="K242:N242"/>
    <mergeCell ref="G218:H218"/>
    <mergeCell ref="D215:D219"/>
    <mergeCell ref="F215:G215"/>
    <mergeCell ref="G40:H40"/>
    <mergeCell ref="G97:H97"/>
    <mergeCell ref="G26:H26"/>
    <mergeCell ref="K240:N240"/>
    <mergeCell ref="G208:H208"/>
    <mergeCell ref="G157:H157"/>
    <mergeCell ref="G148:H148"/>
    <mergeCell ref="G151:H151"/>
    <mergeCell ref="G72:H72"/>
    <mergeCell ref="G82:H82"/>
    <mergeCell ref="G87:H87"/>
    <mergeCell ref="G92:H92"/>
    <mergeCell ref="G163:H163"/>
    <mergeCell ref="G45:H45"/>
    <mergeCell ref="G173:H173"/>
  </mergeCells>
  <dataValidations count="1">
    <dataValidation type="list" allowBlank="1" showInputMessage="1" showErrorMessage="1" sqref="K227:K228 K232:K233 K177 K237:K238 K182 K197 K122 K132 K142 K147 K56 K62 K72 K67 K102 K107 K137 K117 K77 K82 K92 K87 K152:K153 K157:K158 K162 K172 K167 K192 K187:K188 K97 K112 K213 K127 K222:K223" xr:uid="{54D47D26-2316-461C-8420-B14629E1C3A6}">
      <formula1>$O$11:$T$11</formula1>
    </dataValidation>
  </dataValidations>
  <pageMargins left="0.70866141732283472" right="0.70866141732283472" top="0.74803149606299213" bottom="0.74803149606299213" header="0.31496062992125984" footer="0.31496062992125984"/>
  <pageSetup paperSize="9" scale="84" fitToHeight="0" orientation="landscape" r:id="rId1"/>
  <headerFooter>
    <oddFooter>Página &amp;P&amp;R&amp;A</oddFooter>
  </headerFooter>
  <rowBreaks count="1" manualBreakCount="1">
    <brk id="214" max="16383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3833-3C56-4416-B0AB-02E58990A5E3}">
  <sheetPr codeName="Hoja20">
    <tabColor rgb="FFFF0000"/>
    <pageSetUpPr fitToPage="1"/>
  </sheetPr>
  <dimension ref="A1:L189"/>
  <sheetViews>
    <sheetView showGridLines="0" view="pageBreakPreview" topLeftCell="A103" zoomScale="73" zoomScaleNormal="70" zoomScaleSheetLayoutView="73" zoomScalePageLayoutView="55" workbookViewId="0">
      <selection activeCell="A4" sqref="A4:I4"/>
    </sheetView>
  </sheetViews>
  <sheetFormatPr baseColWidth="10" defaultColWidth="14.6640625" defaultRowHeight="15" customHeight="1"/>
  <cols>
    <col min="1" max="1" width="18.5" style="702" customWidth="1"/>
    <col min="2" max="2" width="95.33203125" style="702" customWidth="1"/>
    <col min="3" max="3" width="10.33203125" style="707" customWidth="1"/>
    <col min="4" max="4" width="10.33203125" style="706" customWidth="1"/>
    <col min="5" max="7" width="10.33203125" style="705" customWidth="1"/>
    <col min="8" max="8" width="11.5" style="704" customWidth="1"/>
    <col min="9" max="9" width="12.5" style="703" customWidth="1"/>
    <col min="10" max="16384" width="14.6640625" style="702"/>
  </cols>
  <sheetData>
    <row r="1" spans="1:9" s="725" customFormat="1" ht="15" customHeight="1">
      <c r="A1" s="1203"/>
      <c r="B1" s="1203"/>
      <c r="C1" s="1203"/>
      <c r="D1" s="1203"/>
      <c r="E1" s="1203"/>
      <c r="F1" s="1203"/>
      <c r="G1" s="1203"/>
      <c r="H1" s="1203"/>
      <c r="I1" s="1203"/>
    </row>
    <row r="2" spans="1:9" s="725" customFormat="1" ht="18" customHeight="1">
      <c r="A2" s="1204" t="s">
        <v>786</v>
      </c>
      <c r="B2" s="1205"/>
      <c r="C2" s="1205"/>
      <c r="D2" s="1205"/>
      <c r="E2" s="1205"/>
      <c r="F2" s="1205"/>
      <c r="G2" s="1205"/>
      <c r="H2" s="1205"/>
      <c r="I2" s="1206"/>
    </row>
    <row r="3" spans="1:9" s="725" customFormat="1" ht="42.6" customHeight="1">
      <c r="A3" s="952" t="s">
        <v>1086</v>
      </c>
      <c r="B3" s="1046"/>
      <c r="C3" s="1046"/>
      <c r="D3" s="1046"/>
      <c r="E3" s="1046"/>
      <c r="F3" s="1046"/>
      <c r="G3" s="1046"/>
      <c r="H3" s="1046"/>
      <c r="I3" s="1244"/>
    </row>
    <row r="4" spans="1:9" s="725" customFormat="1" ht="19.5" customHeight="1" thickBot="1">
      <c r="A4" s="1207" t="s">
        <v>976</v>
      </c>
      <c r="B4" s="1208"/>
      <c r="C4" s="1208"/>
      <c r="D4" s="1208"/>
      <c r="E4" s="1208"/>
      <c r="F4" s="1208"/>
      <c r="G4" s="1208"/>
      <c r="H4" s="1208"/>
      <c r="I4" s="1209"/>
    </row>
    <row r="5" spans="1:9" s="725" customFormat="1" ht="15" customHeight="1">
      <c r="A5" s="797"/>
      <c r="B5" s="43"/>
      <c r="C5" s="43"/>
      <c r="D5" s="45"/>
      <c r="E5" s="43"/>
      <c r="F5" s="43"/>
      <c r="G5" s="43"/>
      <c r="H5" s="755"/>
      <c r="I5" s="46"/>
    </row>
    <row r="6" spans="1:9" s="725" customFormat="1" ht="15" customHeight="1">
      <c r="A6" s="797"/>
      <c r="B6" s="1210"/>
      <c r="C6" s="1211"/>
      <c r="D6" s="1211"/>
      <c r="E6" s="1211"/>
      <c r="F6" s="1211"/>
      <c r="G6" s="1211"/>
      <c r="H6" s="1212"/>
      <c r="I6" s="46"/>
    </row>
    <row r="7" spans="1:9" s="725" customFormat="1" ht="15" customHeight="1">
      <c r="A7" s="797"/>
      <c r="B7" s="1213"/>
      <c r="C7" s="1214"/>
      <c r="D7" s="1214"/>
      <c r="E7" s="1214"/>
      <c r="F7" s="1214"/>
      <c r="G7" s="1214"/>
      <c r="H7" s="1215"/>
      <c r="I7" s="46"/>
    </row>
    <row r="8" spans="1:9" s="725" customFormat="1" ht="15" customHeight="1">
      <c r="A8" s="797"/>
      <c r="B8" s="1213"/>
      <c r="C8" s="1214"/>
      <c r="D8" s="1214"/>
      <c r="E8" s="1214"/>
      <c r="F8" s="1214"/>
      <c r="G8" s="1214"/>
      <c r="H8" s="1215"/>
      <c r="I8" s="46"/>
    </row>
    <row r="9" spans="1:9" s="725" customFormat="1" ht="15" customHeight="1">
      <c r="A9" s="797"/>
      <c r="B9" s="1213"/>
      <c r="C9" s="1214"/>
      <c r="D9" s="1214"/>
      <c r="E9" s="1214"/>
      <c r="F9" s="1214"/>
      <c r="G9" s="1214"/>
      <c r="H9" s="1215"/>
      <c r="I9" s="46"/>
    </row>
    <row r="10" spans="1:9" s="725" customFormat="1" ht="15" customHeight="1">
      <c r="A10" s="797"/>
      <c r="B10" s="1213"/>
      <c r="C10" s="1214"/>
      <c r="D10" s="1214"/>
      <c r="E10" s="1214"/>
      <c r="F10" s="1214"/>
      <c r="G10" s="1214"/>
      <c r="H10" s="1215"/>
      <c r="I10" s="46"/>
    </row>
    <row r="11" spans="1:9" s="725" customFormat="1" ht="15" customHeight="1">
      <c r="A11" s="797"/>
      <c r="B11" s="1213"/>
      <c r="C11" s="1214"/>
      <c r="D11" s="1214"/>
      <c r="E11" s="1214"/>
      <c r="F11" s="1214"/>
      <c r="G11" s="1214"/>
      <c r="H11" s="1215"/>
      <c r="I11" s="46"/>
    </row>
    <row r="12" spans="1:9" s="725" customFormat="1" ht="15" customHeight="1">
      <c r="A12" s="797"/>
      <c r="B12" s="1213"/>
      <c r="C12" s="1214"/>
      <c r="D12" s="1214"/>
      <c r="E12" s="1214"/>
      <c r="F12" s="1214"/>
      <c r="G12" s="1214"/>
      <c r="H12" s="1215"/>
      <c r="I12" s="46"/>
    </row>
    <row r="13" spans="1:9" s="725" customFormat="1" ht="15" customHeight="1">
      <c r="A13" s="797"/>
      <c r="B13" s="1213"/>
      <c r="C13" s="1214"/>
      <c r="D13" s="1214"/>
      <c r="E13" s="1214"/>
      <c r="F13" s="1214"/>
      <c r="G13" s="1214"/>
      <c r="H13" s="1215"/>
      <c r="I13" s="46"/>
    </row>
    <row r="14" spans="1:9" s="725" customFormat="1" ht="15" customHeight="1">
      <c r="A14" s="797"/>
      <c r="B14" s="1213"/>
      <c r="C14" s="1214"/>
      <c r="D14" s="1214"/>
      <c r="E14" s="1214"/>
      <c r="F14" s="1214"/>
      <c r="G14" s="1214"/>
      <c r="H14" s="1215"/>
      <c r="I14" s="46"/>
    </row>
    <row r="15" spans="1:9" s="725" customFormat="1" ht="15" customHeight="1">
      <c r="A15" s="797"/>
      <c r="B15" s="1213"/>
      <c r="C15" s="1214"/>
      <c r="D15" s="1214"/>
      <c r="E15" s="1214"/>
      <c r="F15" s="1214"/>
      <c r="G15" s="1214"/>
      <c r="H15" s="1215"/>
      <c r="I15" s="46"/>
    </row>
    <row r="16" spans="1:9" s="725" customFormat="1" ht="15" customHeight="1">
      <c r="A16" s="797"/>
      <c r="B16" s="1213"/>
      <c r="C16" s="1214"/>
      <c r="D16" s="1214"/>
      <c r="E16" s="1214"/>
      <c r="F16" s="1214"/>
      <c r="G16" s="1214"/>
      <c r="H16" s="1215"/>
      <c r="I16" s="46"/>
    </row>
    <row r="17" spans="1:10" s="725" customFormat="1" ht="15" customHeight="1">
      <c r="A17" s="797"/>
      <c r="B17" s="1216"/>
      <c r="C17" s="1217"/>
      <c r="D17" s="1217"/>
      <c r="E17" s="1217"/>
      <c r="F17" s="1217"/>
      <c r="G17" s="1217"/>
      <c r="H17" s="1218"/>
      <c r="I17" s="46"/>
    </row>
    <row r="18" spans="1:10" s="725" customFormat="1" ht="15" customHeight="1">
      <c r="A18" s="796"/>
      <c r="B18" s="751"/>
      <c r="C18" s="751"/>
      <c r="D18" s="752"/>
      <c r="E18" s="751"/>
      <c r="F18" s="751"/>
      <c r="G18" s="751"/>
      <c r="H18" s="750"/>
      <c r="I18" s="749"/>
    </row>
    <row r="19" spans="1:10" ht="15" customHeight="1" thickBot="1">
      <c r="A19" s="795" t="s">
        <v>1</v>
      </c>
      <c r="B19" s="218" t="s">
        <v>2</v>
      </c>
      <c r="C19" s="218" t="s">
        <v>325</v>
      </c>
      <c r="D19" s="218" t="s">
        <v>3</v>
      </c>
      <c r="E19" s="218" t="s">
        <v>324</v>
      </c>
      <c r="F19" s="218" t="s">
        <v>5</v>
      </c>
      <c r="G19" s="218" t="s">
        <v>6</v>
      </c>
      <c r="H19" s="218" t="s">
        <v>7</v>
      </c>
      <c r="I19" s="218" t="s">
        <v>8</v>
      </c>
      <c r="J19" s="747"/>
    </row>
    <row r="20" spans="1:10" ht="15" customHeight="1" thickTop="1">
      <c r="A20" s="793" t="str">
        <f>+"01.15"</f>
        <v>01.15</v>
      </c>
      <c r="B20" s="794" t="str">
        <f>+"LAVADERO MULTIUSO PARA I.E.INICIAL ("&amp;+D20&amp;" Und.)"</f>
        <v>LAVADERO MULTIUSO PARA I.E.INICIAL (1 Und.)</v>
      </c>
      <c r="C20" s="745"/>
      <c r="D20" s="744">
        <v>1</v>
      </c>
      <c r="E20" s="743"/>
      <c r="F20" s="743"/>
      <c r="G20" s="743"/>
      <c r="H20" s="743"/>
      <c r="I20" s="742"/>
    </row>
    <row r="21" spans="1:10" ht="15" hidden="1" customHeight="1">
      <c r="A21" s="793"/>
      <c r="B21" s="496" t="s">
        <v>107</v>
      </c>
      <c r="C21" s="288"/>
      <c r="D21" s="691"/>
      <c r="E21" s="740"/>
      <c r="F21" s="740"/>
      <c r="G21" s="740"/>
      <c r="H21" s="740"/>
      <c r="I21" s="739"/>
    </row>
    <row r="22" spans="1:10" ht="15" customHeight="1">
      <c r="A22" s="786" t="str">
        <f>A$20 &amp; ".01"</f>
        <v>01.15.01</v>
      </c>
      <c r="B22" s="720" t="s">
        <v>107</v>
      </c>
      <c r="C22" s="260"/>
      <c r="D22" s="717">
        <f>+$D$20</f>
        <v>1</v>
      </c>
      <c r="E22" s="247"/>
      <c r="F22" s="247"/>
      <c r="G22" s="247"/>
      <c r="H22" s="247"/>
      <c r="I22" s="245"/>
    </row>
    <row r="23" spans="1:10" ht="15" customHeight="1">
      <c r="A23" s="785" t="str">
        <f>$A$22 &amp; ".01"</f>
        <v>01.15.01.01</v>
      </c>
      <c r="B23" s="790" t="s">
        <v>493</v>
      </c>
      <c r="C23" s="20" t="s">
        <v>55</v>
      </c>
      <c r="D23" s="260"/>
      <c r="E23" s="247"/>
      <c r="F23" s="247"/>
      <c r="G23" s="247"/>
      <c r="H23" s="245"/>
      <c r="I23" s="245">
        <f>SUM(H24:H28)</f>
        <v>6.2499999999999991</v>
      </c>
    </row>
    <row r="24" spans="1:10" ht="15" customHeight="1">
      <c r="A24" s="785"/>
      <c r="B24" s="719" t="s">
        <v>905</v>
      </c>
      <c r="C24" s="260"/>
      <c r="D24" s="260">
        <v>1</v>
      </c>
      <c r="E24" s="247">
        <v>3</v>
      </c>
      <c r="F24" s="247">
        <v>0.5</v>
      </c>
      <c r="G24" s="247"/>
      <c r="H24" s="448">
        <f>+ROUND(PRODUCT(D24:G24),2)</f>
        <v>1.5</v>
      </c>
      <c r="I24" s="245"/>
    </row>
    <row r="25" spans="1:10" ht="15" customHeight="1">
      <c r="A25" s="785"/>
      <c r="B25" s="719" t="s">
        <v>904</v>
      </c>
      <c r="C25" s="260"/>
      <c r="D25" s="260">
        <v>1</v>
      </c>
      <c r="E25" s="247">
        <f>E24</f>
        <v>3</v>
      </c>
      <c r="F25" s="247">
        <f>F24</f>
        <v>0.5</v>
      </c>
      <c r="G25" s="247"/>
      <c r="H25" s="448">
        <f>+ROUND(PRODUCT(D25:G25),2)</f>
        <v>1.5</v>
      </c>
      <c r="I25" s="245"/>
    </row>
    <row r="26" spans="1:10" ht="15" customHeight="1">
      <c r="A26" s="782"/>
      <c r="B26" s="719" t="s">
        <v>908</v>
      </c>
      <c r="C26" s="260"/>
      <c r="D26" s="260">
        <v>1</v>
      </c>
      <c r="E26" s="247">
        <v>2</v>
      </c>
      <c r="F26" s="247">
        <v>0.65</v>
      </c>
      <c r="G26" s="247"/>
      <c r="H26" s="448">
        <f>+ROUND(PRODUCT(D26:G26),2)</f>
        <v>1.3</v>
      </c>
      <c r="I26" s="245"/>
    </row>
    <row r="27" spans="1:10" ht="15" customHeight="1">
      <c r="A27" s="782"/>
      <c r="B27" s="719" t="s">
        <v>975</v>
      </c>
      <c r="C27" s="260"/>
      <c r="D27" s="260">
        <v>1</v>
      </c>
      <c r="E27" s="247">
        <v>2.6</v>
      </c>
      <c r="F27" s="247">
        <v>0.6</v>
      </c>
      <c r="G27" s="247"/>
      <c r="H27" s="448">
        <f>+ROUND(PRODUCT(D27:G27),2)</f>
        <v>1.56</v>
      </c>
      <c r="I27" s="245"/>
    </row>
    <row r="28" spans="1:10" ht="15" customHeight="1">
      <c r="A28" s="782"/>
      <c r="B28" s="719" t="s">
        <v>973</v>
      </c>
      <c r="C28" s="260"/>
      <c r="D28" s="260">
        <v>2</v>
      </c>
      <c r="E28" s="247">
        <v>0.3</v>
      </c>
      <c r="F28" s="247">
        <v>0.65</v>
      </c>
      <c r="G28" s="247"/>
      <c r="H28" s="448">
        <f>+ROUND(PRODUCT(D28:G28),2)</f>
        <v>0.39</v>
      </c>
      <c r="I28" s="245"/>
    </row>
    <row r="29" spans="1:10" ht="15" customHeight="1">
      <c r="A29" s="782"/>
      <c r="B29" s="273"/>
      <c r="C29" s="260"/>
      <c r="D29" s="260"/>
      <c r="E29" s="247"/>
      <c r="F29" s="247"/>
      <c r="G29" s="247"/>
      <c r="H29" s="448"/>
      <c r="I29" s="245"/>
    </row>
    <row r="30" spans="1:10" ht="15" customHeight="1">
      <c r="A30" s="782"/>
      <c r="B30" s="273"/>
      <c r="C30" s="260"/>
      <c r="D30" s="260"/>
      <c r="E30" s="247"/>
      <c r="F30" s="247"/>
      <c r="G30" s="247"/>
      <c r="H30" s="448"/>
      <c r="I30" s="245"/>
    </row>
    <row r="31" spans="1:10" ht="15" customHeight="1">
      <c r="A31" s="785" t="str">
        <f>$A$22 &amp; ".02"</f>
        <v>01.15.01.02</v>
      </c>
      <c r="B31" s="790" t="s">
        <v>642</v>
      </c>
      <c r="C31" s="20" t="s">
        <v>55</v>
      </c>
      <c r="D31" s="260"/>
      <c r="E31" s="247"/>
      <c r="F31" s="247"/>
      <c r="G31" s="247"/>
      <c r="H31" s="245"/>
      <c r="I31" s="245">
        <f>SUM(H32:H37)</f>
        <v>6.2499999999999991</v>
      </c>
    </row>
    <row r="32" spans="1:10" ht="15" customHeight="1">
      <c r="A32" s="785"/>
      <c r="B32" s="719" t="s">
        <v>905</v>
      </c>
      <c r="C32" s="260"/>
      <c r="D32" s="260">
        <v>1</v>
      </c>
      <c r="E32" s="247">
        <f t="shared" ref="E32:F36" si="0">E24</f>
        <v>3</v>
      </c>
      <c r="F32" s="247">
        <f t="shared" si="0"/>
        <v>0.5</v>
      </c>
      <c r="G32" s="247"/>
      <c r="H32" s="448">
        <f>+ROUND(PRODUCT(D32:G32),2)</f>
        <v>1.5</v>
      </c>
      <c r="I32" s="245"/>
    </row>
    <row r="33" spans="1:9" ht="15" customHeight="1">
      <c r="A33" s="785"/>
      <c r="B33" s="719" t="s">
        <v>904</v>
      </c>
      <c r="C33" s="260"/>
      <c r="D33" s="260">
        <v>1</v>
      </c>
      <c r="E33" s="247">
        <f t="shared" si="0"/>
        <v>3</v>
      </c>
      <c r="F33" s="247">
        <f t="shared" si="0"/>
        <v>0.5</v>
      </c>
      <c r="G33" s="247"/>
      <c r="H33" s="448">
        <f>+ROUND(PRODUCT(D33:G33),2)</f>
        <v>1.5</v>
      </c>
      <c r="I33" s="245"/>
    </row>
    <row r="34" spans="1:9" ht="15" customHeight="1">
      <c r="A34" s="782"/>
      <c r="B34" s="719" t="s">
        <v>908</v>
      </c>
      <c r="C34" s="260"/>
      <c r="D34" s="260">
        <v>1</v>
      </c>
      <c r="E34" s="247">
        <f t="shared" si="0"/>
        <v>2</v>
      </c>
      <c r="F34" s="247">
        <f t="shared" si="0"/>
        <v>0.65</v>
      </c>
      <c r="G34" s="247"/>
      <c r="H34" s="448">
        <f>+ROUND(PRODUCT(D34:G34),2)</f>
        <v>1.3</v>
      </c>
      <c r="I34" s="245"/>
    </row>
    <row r="35" spans="1:9" ht="15" customHeight="1">
      <c r="A35" s="782"/>
      <c r="B35" s="719" t="s">
        <v>975</v>
      </c>
      <c r="C35" s="260"/>
      <c r="D35" s="260">
        <v>1</v>
      </c>
      <c r="E35" s="247">
        <f t="shared" si="0"/>
        <v>2.6</v>
      </c>
      <c r="F35" s="247">
        <f t="shared" si="0"/>
        <v>0.6</v>
      </c>
      <c r="G35" s="247"/>
      <c r="H35" s="448">
        <f>+ROUND(PRODUCT(D35:G35),2)</f>
        <v>1.56</v>
      </c>
      <c r="I35" s="245"/>
    </row>
    <row r="36" spans="1:9" ht="15" customHeight="1">
      <c r="A36" s="782"/>
      <c r="B36" s="719" t="s">
        <v>974</v>
      </c>
      <c r="C36" s="260"/>
      <c r="D36" s="260">
        <v>2</v>
      </c>
      <c r="E36" s="247">
        <f t="shared" si="0"/>
        <v>0.3</v>
      </c>
      <c r="F36" s="247">
        <f t="shared" si="0"/>
        <v>0.65</v>
      </c>
      <c r="G36" s="247"/>
      <c r="H36" s="448">
        <f>+ROUND(PRODUCT(D36:G36),2)</f>
        <v>0.39</v>
      </c>
      <c r="I36" s="245"/>
    </row>
    <row r="37" spans="1:9" ht="15" customHeight="1">
      <c r="A37" s="793"/>
      <c r="B37" s="496"/>
      <c r="C37" s="288"/>
      <c r="D37" s="691"/>
      <c r="E37" s="740"/>
      <c r="F37" s="740"/>
      <c r="G37" s="740"/>
      <c r="H37" s="740"/>
      <c r="I37" s="739"/>
    </row>
    <row r="38" spans="1:9" ht="15" customHeight="1">
      <c r="A38" s="785" t="str">
        <f>$A$22 &amp; ".03"</f>
        <v>01.15.01.03</v>
      </c>
      <c r="B38" s="790" t="s">
        <v>639</v>
      </c>
      <c r="C38" s="20" t="s">
        <v>55</v>
      </c>
      <c r="D38" s="260"/>
      <c r="E38" s="247"/>
      <c r="F38" s="247"/>
      <c r="G38" s="247"/>
      <c r="H38" s="245"/>
      <c r="I38" s="245">
        <f>SUM(H39:H44)</f>
        <v>6.2499999999999991</v>
      </c>
    </row>
    <row r="39" spans="1:9" ht="15" customHeight="1">
      <c r="A39" s="785"/>
      <c r="B39" s="719" t="s">
        <v>905</v>
      </c>
      <c r="C39" s="260"/>
      <c r="D39" s="260">
        <v>1</v>
      </c>
      <c r="E39" s="247">
        <f t="shared" ref="E39:F43" si="1">E24</f>
        <v>3</v>
      </c>
      <c r="F39" s="247">
        <f t="shared" si="1"/>
        <v>0.5</v>
      </c>
      <c r="G39" s="247"/>
      <c r="H39" s="448">
        <f>+ROUND(PRODUCT(D39:G39),2)</f>
        <v>1.5</v>
      </c>
      <c r="I39" s="245"/>
    </row>
    <row r="40" spans="1:9" ht="15" customHeight="1">
      <c r="A40" s="785"/>
      <c r="B40" s="719" t="s">
        <v>904</v>
      </c>
      <c r="C40" s="260"/>
      <c r="D40" s="260">
        <v>1</v>
      </c>
      <c r="E40" s="247">
        <f t="shared" si="1"/>
        <v>3</v>
      </c>
      <c r="F40" s="247">
        <f t="shared" si="1"/>
        <v>0.5</v>
      </c>
      <c r="G40" s="247"/>
      <c r="H40" s="448">
        <f>+ROUND(PRODUCT(D40:G40),2)</f>
        <v>1.5</v>
      </c>
      <c r="I40" s="245"/>
    </row>
    <row r="41" spans="1:9" ht="15" customHeight="1">
      <c r="A41" s="782"/>
      <c r="B41" s="719" t="s">
        <v>908</v>
      </c>
      <c r="C41" s="260"/>
      <c r="D41" s="260">
        <v>1</v>
      </c>
      <c r="E41" s="247">
        <f t="shared" si="1"/>
        <v>2</v>
      </c>
      <c r="F41" s="247">
        <f t="shared" si="1"/>
        <v>0.65</v>
      </c>
      <c r="G41" s="247"/>
      <c r="H41" s="448">
        <f>+ROUND(PRODUCT(D41:G41),2)</f>
        <v>1.3</v>
      </c>
      <c r="I41" s="245"/>
    </row>
    <row r="42" spans="1:9" ht="15" customHeight="1">
      <c r="A42" s="782"/>
      <c r="B42" s="719" t="s">
        <v>975</v>
      </c>
      <c r="C42" s="260"/>
      <c r="D42" s="260">
        <v>1</v>
      </c>
      <c r="E42" s="247">
        <f t="shared" si="1"/>
        <v>2.6</v>
      </c>
      <c r="F42" s="247">
        <f t="shared" si="1"/>
        <v>0.6</v>
      </c>
      <c r="G42" s="247"/>
      <c r="H42" s="448">
        <f>+ROUND(PRODUCT(D42:G42),2)</f>
        <v>1.56</v>
      </c>
      <c r="I42" s="245"/>
    </row>
    <row r="43" spans="1:9" ht="15" customHeight="1">
      <c r="A43" s="782"/>
      <c r="B43" s="719" t="s">
        <v>974</v>
      </c>
      <c r="C43" s="260"/>
      <c r="D43" s="260">
        <v>2</v>
      </c>
      <c r="E43" s="247">
        <f t="shared" si="1"/>
        <v>0.3</v>
      </c>
      <c r="F43" s="247">
        <f t="shared" si="1"/>
        <v>0.65</v>
      </c>
      <c r="G43" s="247"/>
      <c r="H43" s="448">
        <f>+ROUND(PRODUCT(D43:G43),2)</f>
        <v>0.39</v>
      </c>
      <c r="I43" s="245"/>
    </row>
    <row r="44" spans="1:9" ht="15" customHeight="1">
      <c r="A44" s="793"/>
      <c r="B44" s="496"/>
      <c r="C44" s="288"/>
      <c r="D44" s="691"/>
      <c r="E44" s="740"/>
      <c r="F44" s="740"/>
      <c r="G44" s="740"/>
      <c r="H44" s="740"/>
      <c r="I44" s="739"/>
    </row>
    <row r="45" spans="1:9" ht="15" customHeight="1">
      <c r="A45" s="786" t="str">
        <f>A$20 &amp; ".02"</f>
        <v>01.15.02</v>
      </c>
      <c r="B45" s="720" t="s">
        <v>101</v>
      </c>
      <c r="C45" s="260"/>
      <c r="D45" s="717"/>
      <c r="E45" s="247"/>
      <c r="F45" s="247"/>
      <c r="G45" s="247"/>
      <c r="H45" s="247"/>
      <c r="I45" s="245"/>
    </row>
    <row r="46" spans="1:9" ht="15" customHeight="1">
      <c r="A46" s="785" t="str">
        <f>$A$45 &amp; ".01"</f>
        <v>01.15.02.01</v>
      </c>
      <c r="B46" s="790" t="s">
        <v>348</v>
      </c>
      <c r="C46" s="20" t="s">
        <v>93</v>
      </c>
      <c r="D46" s="260"/>
      <c r="E46" s="247"/>
      <c r="F46" s="247"/>
      <c r="G46" s="247"/>
      <c r="H46" s="245"/>
      <c r="I46" s="245">
        <f>SUM(H47:H49)</f>
        <v>0.33</v>
      </c>
    </row>
    <row r="47" spans="1:9" ht="15" customHeight="1">
      <c r="A47" s="782"/>
      <c r="B47" s="719" t="s">
        <v>972</v>
      </c>
      <c r="C47" s="260"/>
      <c r="D47" s="260">
        <v>1</v>
      </c>
      <c r="E47" s="247">
        <v>2</v>
      </c>
      <c r="F47" s="247">
        <v>0.65</v>
      </c>
      <c r="G47" s="247">
        <v>0.1</v>
      </c>
      <c r="H47" s="448">
        <f>+ROUND(PRODUCT(D47:G47),2)</f>
        <v>0.13</v>
      </c>
      <c r="I47" s="245"/>
    </row>
    <row r="48" spans="1:9" ht="15" customHeight="1">
      <c r="A48" s="782"/>
      <c r="B48" s="719" t="s">
        <v>971</v>
      </c>
      <c r="C48" s="260"/>
      <c r="D48" s="260">
        <v>1</v>
      </c>
      <c r="E48" s="260">
        <f>E35</f>
        <v>2.6</v>
      </c>
      <c r="F48" s="260">
        <f>F35</f>
        <v>0.6</v>
      </c>
      <c r="G48" s="248">
        <v>0.1</v>
      </c>
      <c r="H48" s="448">
        <f>+ROUND(PRODUCT(D48:G48),2)</f>
        <v>0.16</v>
      </c>
      <c r="I48" s="245"/>
    </row>
    <row r="49" spans="1:9" ht="15" customHeight="1">
      <c r="A49" s="782"/>
      <c r="B49" s="719" t="s">
        <v>973</v>
      </c>
      <c r="C49" s="260"/>
      <c r="D49" s="260">
        <f>D36</f>
        <v>2</v>
      </c>
      <c r="E49" s="260">
        <v>0.3</v>
      </c>
      <c r="F49" s="248">
        <f>F28</f>
        <v>0.65</v>
      </c>
      <c r="G49" s="248">
        <v>0.1</v>
      </c>
      <c r="H49" s="448">
        <f>+ROUND(PRODUCT(D49:G49),2)</f>
        <v>0.04</v>
      </c>
      <c r="I49" s="245"/>
    </row>
    <row r="50" spans="1:9" ht="15" customHeight="1">
      <c r="A50" s="782"/>
      <c r="B50" s="718" t="s">
        <v>108</v>
      </c>
      <c r="C50" s="260"/>
      <c r="D50" s="260"/>
      <c r="E50" s="247"/>
      <c r="F50" s="247"/>
      <c r="G50" s="247"/>
      <c r="H50" s="247"/>
      <c r="I50" s="245"/>
    </row>
    <row r="51" spans="1:9" ht="15" customHeight="1">
      <c r="A51" s="785" t="str">
        <f>$A$45 &amp; ".02"</f>
        <v>01.15.02.02</v>
      </c>
      <c r="B51" s="790" t="s">
        <v>672</v>
      </c>
      <c r="C51" s="20" t="s">
        <v>93</v>
      </c>
      <c r="D51" s="260"/>
      <c r="E51" s="247"/>
      <c r="F51" s="247"/>
      <c r="G51" s="247"/>
      <c r="H51" s="245"/>
      <c r="I51" s="245">
        <f>SUM(H52:H53)</f>
        <v>0.14000000000000001</v>
      </c>
    </row>
    <row r="52" spans="1:9" ht="15" customHeight="1">
      <c r="A52" s="782"/>
      <c r="B52" s="719" t="s">
        <v>972</v>
      </c>
      <c r="C52" s="260"/>
      <c r="D52" s="260">
        <v>1</v>
      </c>
      <c r="E52" s="247">
        <v>1.5</v>
      </c>
      <c r="F52" s="247">
        <f>F47</f>
        <v>0.65</v>
      </c>
      <c r="G52" s="247">
        <v>0.1</v>
      </c>
      <c r="H52" s="448">
        <f>+ROUND(PRODUCT(D52:G52),2)</f>
        <v>0.1</v>
      </c>
      <c r="I52" s="245"/>
    </row>
    <row r="53" spans="1:9" ht="15" customHeight="1">
      <c r="A53" s="782"/>
      <c r="B53" s="719" t="s">
        <v>971</v>
      </c>
      <c r="C53" s="260"/>
      <c r="D53" s="260">
        <v>1</v>
      </c>
      <c r="E53" s="247" t="s">
        <v>970</v>
      </c>
      <c r="F53" s="247">
        <v>1.4999999999999999E-2</v>
      </c>
      <c r="G53" s="247">
        <v>2.6</v>
      </c>
      <c r="H53" s="448">
        <f>+ROUND(PRODUCT(D53:G53),2)</f>
        <v>0.04</v>
      </c>
      <c r="I53" s="245"/>
    </row>
    <row r="54" spans="1:9" ht="15" customHeight="1">
      <c r="A54" s="782"/>
      <c r="B54" s="718" t="s">
        <v>108</v>
      </c>
      <c r="C54" s="260"/>
      <c r="D54" s="260"/>
      <c r="E54" s="247"/>
      <c r="F54" s="247"/>
      <c r="G54" s="247"/>
      <c r="H54" s="247"/>
      <c r="I54" s="245"/>
    </row>
    <row r="55" spans="1:9" ht="15" customHeight="1">
      <c r="A55" s="785" t="str">
        <f>$A$45 &amp; ".03"</f>
        <v>01.15.02.03</v>
      </c>
      <c r="B55" s="790" t="s">
        <v>902</v>
      </c>
      <c r="C55" s="20" t="s">
        <v>93</v>
      </c>
      <c r="D55" s="260"/>
      <c r="E55" s="247"/>
      <c r="F55" s="247"/>
      <c r="G55" s="247"/>
      <c r="H55" s="245"/>
      <c r="I55" s="245">
        <f>SUM(H56:H56)</f>
        <v>0.22799999999999998</v>
      </c>
    </row>
    <row r="56" spans="1:9" ht="15" customHeight="1">
      <c r="A56" s="782"/>
      <c r="B56" s="107" t="s">
        <v>238</v>
      </c>
      <c r="C56" s="20"/>
      <c r="D56" s="105">
        <v>1</v>
      </c>
      <c r="E56" s="103">
        <v>1.2</v>
      </c>
      <c r="F56" s="103" t="s">
        <v>236</v>
      </c>
      <c r="G56" s="247">
        <f>I46-I51</f>
        <v>0.19</v>
      </c>
      <c r="H56" s="448">
        <f>E56*G56</f>
        <v>0.22799999999999998</v>
      </c>
      <c r="I56" s="245"/>
    </row>
    <row r="57" spans="1:9" ht="15" customHeight="1">
      <c r="A57" s="782"/>
      <c r="B57" s="718"/>
      <c r="C57" s="260"/>
      <c r="D57" s="260"/>
      <c r="E57" s="247"/>
      <c r="F57" s="247"/>
      <c r="G57" s="247"/>
      <c r="H57" s="247"/>
      <c r="I57" s="245"/>
    </row>
    <row r="58" spans="1:9" ht="15" customHeight="1">
      <c r="A58" s="786" t="str">
        <f>A$20 &amp; ".03"</f>
        <v>01.15.03</v>
      </c>
      <c r="B58" s="720" t="s">
        <v>95</v>
      </c>
      <c r="C58" s="260"/>
      <c r="D58" s="717"/>
      <c r="E58" s="247"/>
      <c r="F58" s="247"/>
      <c r="G58" s="247"/>
      <c r="H58" s="247"/>
      <c r="I58" s="245"/>
    </row>
    <row r="59" spans="1:9" ht="15" customHeight="1">
      <c r="A59" s="785" t="str">
        <f>$A$58 &amp; ".01"</f>
        <v>01.15.03.01</v>
      </c>
      <c r="B59" s="790" t="s">
        <v>969</v>
      </c>
      <c r="C59" s="20" t="s">
        <v>93</v>
      </c>
      <c r="D59" s="260"/>
      <c r="E59" s="247"/>
      <c r="F59" s="247"/>
      <c r="G59" s="247"/>
      <c r="H59" s="245"/>
      <c r="I59" s="245">
        <f>SUM(H60)</f>
        <v>7.350000000000001E-2</v>
      </c>
    </row>
    <row r="60" spans="1:9" ht="15" customHeight="1">
      <c r="A60" s="782"/>
      <c r="B60" s="719" t="s">
        <v>900</v>
      </c>
      <c r="C60" s="260"/>
      <c r="D60" s="260">
        <v>2</v>
      </c>
      <c r="E60" s="247">
        <v>0.25</v>
      </c>
      <c r="F60" s="247">
        <f>+F47</f>
        <v>0.65</v>
      </c>
      <c r="G60" s="247">
        <v>0.2</v>
      </c>
      <c r="H60" s="448">
        <f>+ROUND(PRODUCT(D60:G60),2)*1.05</f>
        <v>7.350000000000001E-2</v>
      </c>
      <c r="I60" s="245"/>
    </row>
    <row r="61" spans="1:9" ht="15" customHeight="1">
      <c r="A61" s="782"/>
      <c r="B61" s="273"/>
      <c r="C61" s="260"/>
      <c r="D61" s="260"/>
      <c r="E61" s="247"/>
      <c r="F61" s="247"/>
      <c r="G61" s="247"/>
      <c r="H61" s="448"/>
      <c r="I61" s="245"/>
    </row>
    <row r="62" spans="1:9" ht="15" customHeight="1">
      <c r="A62" s="786" t="str">
        <f>A$20 &amp; ".04"</f>
        <v>01.15.04</v>
      </c>
      <c r="B62" s="720" t="s">
        <v>467</v>
      </c>
      <c r="C62" s="260"/>
      <c r="D62" s="717"/>
      <c r="E62" s="247"/>
      <c r="F62" s="247"/>
      <c r="G62" s="247"/>
      <c r="H62" s="247"/>
      <c r="I62" s="245"/>
    </row>
    <row r="63" spans="1:9" s="792" customFormat="1" ht="15" customHeight="1">
      <c r="A63" s="785" t="str">
        <f>$A$62 &amp; ".01"</f>
        <v>01.15.04.01</v>
      </c>
      <c r="B63" s="790" t="s">
        <v>968</v>
      </c>
      <c r="C63" s="20" t="s">
        <v>93</v>
      </c>
      <c r="D63" s="247"/>
      <c r="E63" s="247"/>
      <c r="F63" s="247"/>
      <c r="G63" s="247"/>
      <c r="H63" s="245"/>
      <c r="I63" s="245">
        <f>SUM(H64:H66)</f>
        <v>0.23099999999999998</v>
      </c>
    </row>
    <row r="64" spans="1:9" ht="15" customHeight="1">
      <c r="A64" s="785"/>
      <c r="B64" s="719" t="s">
        <v>967</v>
      </c>
      <c r="C64" s="20"/>
      <c r="D64" s="783">
        <v>1</v>
      </c>
      <c r="E64" s="247">
        <v>0.15</v>
      </c>
      <c r="F64" s="247" t="s">
        <v>952</v>
      </c>
      <c r="G64" s="247">
        <v>0.99</v>
      </c>
      <c r="H64" s="448">
        <f>+ROUND(PRODUCT(D64:G64),2)*1.05</f>
        <v>0.1575</v>
      </c>
      <c r="I64" s="245"/>
    </row>
    <row r="65" spans="1:9" ht="15" customHeight="1">
      <c r="A65" s="782"/>
      <c r="B65" s="791" t="s">
        <v>966</v>
      </c>
      <c r="C65" s="260"/>
      <c r="D65" s="783">
        <v>2</v>
      </c>
      <c r="E65" s="247">
        <v>0.1</v>
      </c>
      <c r="F65" s="247">
        <v>0.4</v>
      </c>
      <c r="G65" s="247">
        <v>0.25</v>
      </c>
      <c r="H65" s="448">
        <f>+ROUND(PRODUCT(D65:G65),2)*1.05</f>
        <v>2.1000000000000001E-2</v>
      </c>
      <c r="I65" s="245"/>
    </row>
    <row r="66" spans="1:9" ht="15" customHeight="1">
      <c r="A66" s="782"/>
      <c r="B66" s="791" t="s">
        <v>965</v>
      </c>
      <c r="C66" s="260"/>
      <c r="D66" s="783">
        <v>1</v>
      </c>
      <c r="E66" s="247">
        <v>2</v>
      </c>
      <c r="F66" s="247">
        <v>0.1</v>
      </c>
      <c r="G66" s="247">
        <v>0.25</v>
      </c>
      <c r="H66" s="448">
        <f>+ROUND(PRODUCT(D66:G66),2)*1.05</f>
        <v>5.2500000000000005E-2</v>
      </c>
      <c r="I66" s="245"/>
    </row>
    <row r="67" spans="1:9" ht="15" customHeight="1">
      <c r="A67" s="782"/>
      <c r="B67" s="791"/>
      <c r="C67" s="260"/>
      <c r="D67" s="783"/>
      <c r="E67" s="247"/>
      <c r="F67" s="247"/>
      <c r="G67" s="247"/>
      <c r="H67" s="448"/>
      <c r="I67" s="245"/>
    </row>
    <row r="68" spans="1:9" ht="15" customHeight="1">
      <c r="A68" s="785" t="str">
        <f>$A$62 &amp; ".02"</f>
        <v>01.15.04.02</v>
      </c>
      <c r="B68" s="790" t="s">
        <v>964</v>
      </c>
      <c r="C68" s="20" t="s">
        <v>93</v>
      </c>
      <c r="D68" s="247"/>
      <c r="E68" s="247"/>
      <c r="F68" s="247"/>
      <c r="G68" s="247"/>
      <c r="H68" s="245"/>
      <c r="I68" s="245">
        <f>SUM(H69:H69)</f>
        <v>0.13650000000000001</v>
      </c>
    </row>
    <row r="69" spans="1:9" ht="15" customHeight="1">
      <c r="A69" s="782"/>
      <c r="B69" s="791" t="s">
        <v>963</v>
      </c>
      <c r="C69" s="260"/>
      <c r="D69" s="783">
        <v>1</v>
      </c>
      <c r="E69" s="247">
        <v>2</v>
      </c>
      <c r="F69" s="247">
        <v>0.65</v>
      </c>
      <c r="G69" s="247">
        <v>0.1</v>
      </c>
      <c r="H69" s="448">
        <f>+ROUND(PRODUCT(D69:G69),2)*1.05</f>
        <v>0.13650000000000001</v>
      </c>
      <c r="I69" s="245"/>
    </row>
    <row r="70" spans="1:9" ht="15" customHeight="1">
      <c r="A70" s="782"/>
      <c r="B70" s="273"/>
      <c r="C70" s="260"/>
      <c r="D70" s="247"/>
      <c r="E70" s="247"/>
      <c r="F70" s="247"/>
      <c r="G70" s="247"/>
      <c r="H70" s="448"/>
      <c r="I70" s="245"/>
    </row>
    <row r="71" spans="1:9" ht="15" customHeight="1">
      <c r="A71" s="785" t="str">
        <f>$A$62 &amp; ".03"</f>
        <v>01.15.04.03</v>
      </c>
      <c r="B71" s="790" t="s">
        <v>962</v>
      </c>
      <c r="C71" s="20" t="s">
        <v>55</v>
      </c>
      <c r="D71" s="260"/>
      <c r="E71" s="247"/>
      <c r="F71" s="247"/>
      <c r="G71" s="247"/>
      <c r="H71" s="245"/>
      <c r="I71" s="245">
        <f>SUM(H72:H78)</f>
        <v>4.4935000000000009</v>
      </c>
    </row>
    <row r="72" spans="1:9" ht="15" customHeight="1">
      <c r="A72" s="782"/>
      <c r="B72" s="719" t="s">
        <v>958</v>
      </c>
      <c r="C72" s="260"/>
      <c r="D72" s="260">
        <v>1</v>
      </c>
      <c r="E72" s="247" t="s">
        <v>952</v>
      </c>
      <c r="F72" s="247">
        <v>0.94</v>
      </c>
      <c r="G72" s="247"/>
      <c r="H72" s="448">
        <f t="shared" ref="H72:H78" si="2">+ROUND(PRODUCT(D72:G72),3)*1.1</f>
        <v>1.034</v>
      </c>
      <c r="I72" s="245"/>
    </row>
    <row r="73" spans="1:9" ht="15" customHeight="1">
      <c r="A73" s="782"/>
      <c r="B73" s="719" t="s">
        <v>953</v>
      </c>
      <c r="C73" s="260"/>
      <c r="D73" s="260">
        <v>1</v>
      </c>
      <c r="E73" s="247" t="s">
        <v>952</v>
      </c>
      <c r="F73" s="247">
        <v>1.19</v>
      </c>
      <c r="G73" s="247"/>
      <c r="H73" s="448">
        <f t="shared" si="2"/>
        <v>1.3089999999999999</v>
      </c>
      <c r="I73" s="245"/>
    </row>
    <row r="74" spans="1:9" ht="15" customHeight="1">
      <c r="A74" s="782"/>
      <c r="B74" s="719" t="s">
        <v>872</v>
      </c>
      <c r="C74" s="260"/>
      <c r="D74" s="260">
        <v>2</v>
      </c>
      <c r="E74" s="247"/>
      <c r="F74" s="247">
        <v>0.15</v>
      </c>
      <c r="G74" s="247">
        <v>0.5</v>
      </c>
      <c r="H74" s="448">
        <f t="shared" si="2"/>
        <v>0.16500000000000001</v>
      </c>
      <c r="I74" s="245"/>
    </row>
    <row r="75" spans="1:9" ht="13.5" customHeight="1">
      <c r="A75" s="782"/>
      <c r="B75" s="719" t="s">
        <v>961</v>
      </c>
      <c r="C75" s="260"/>
      <c r="D75" s="260">
        <v>2</v>
      </c>
      <c r="E75" s="247"/>
      <c r="F75" s="247">
        <v>0.65</v>
      </c>
      <c r="G75" s="247">
        <v>0.35</v>
      </c>
      <c r="H75" s="448">
        <f t="shared" si="2"/>
        <v>0.50050000000000006</v>
      </c>
      <c r="I75" s="245"/>
    </row>
    <row r="76" spans="1:9" ht="15" customHeight="1">
      <c r="A76" s="782"/>
      <c r="B76" s="719" t="s">
        <v>956</v>
      </c>
      <c r="C76" s="260"/>
      <c r="D76" s="260">
        <v>2</v>
      </c>
      <c r="E76" s="247"/>
      <c r="F76" s="247">
        <v>0.4</v>
      </c>
      <c r="G76" s="247">
        <v>0.25</v>
      </c>
      <c r="H76" s="448">
        <f t="shared" si="2"/>
        <v>0.22000000000000003</v>
      </c>
      <c r="I76" s="245"/>
    </row>
    <row r="77" spans="1:9" ht="15" customHeight="1">
      <c r="A77" s="782"/>
      <c r="B77" s="719" t="s">
        <v>955</v>
      </c>
      <c r="C77" s="260"/>
      <c r="D77" s="260">
        <v>1</v>
      </c>
      <c r="E77" s="247">
        <v>1.8</v>
      </c>
      <c r="F77" s="247"/>
      <c r="G77" s="247">
        <v>0.25</v>
      </c>
      <c r="H77" s="448">
        <f t="shared" si="2"/>
        <v>0.49500000000000005</v>
      </c>
      <c r="I77" s="245"/>
    </row>
    <row r="78" spans="1:9" ht="15" customHeight="1">
      <c r="A78" s="782"/>
      <c r="B78" s="719" t="s">
        <v>960</v>
      </c>
      <c r="C78" s="260"/>
      <c r="D78" s="260">
        <v>1</v>
      </c>
      <c r="E78" s="247">
        <v>2</v>
      </c>
      <c r="F78" s="247"/>
      <c r="G78" s="247">
        <v>0.35</v>
      </c>
      <c r="H78" s="448">
        <f t="shared" si="2"/>
        <v>0.77</v>
      </c>
      <c r="I78" s="245"/>
    </row>
    <row r="79" spans="1:9" ht="15" customHeight="1">
      <c r="A79" s="782"/>
      <c r="B79" s="719"/>
      <c r="C79" s="260"/>
      <c r="D79" s="260"/>
      <c r="E79" s="247"/>
      <c r="F79" s="247"/>
      <c r="G79" s="247"/>
      <c r="H79" s="448"/>
      <c r="I79" s="245"/>
    </row>
    <row r="80" spans="1:9" ht="15" customHeight="1">
      <c r="A80" s="785" t="str">
        <f>$A$62 &amp; ".04"</f>
        <v>01.15.04.04</v>
      </c>
      <c r="B80" s="790" t="s">
        <v>188</v>
      </c>
      <c r="C80" s="20" t="s">
        <v>187</v>
      </c>
      <c r="D80" s="105"/>
      <c r="E80" s="103"/>
      <c r="F80" s="103"/>
      <c r="G80" s="103"/>
      <c r="H80" s="280"/>
      <c r="I80" s="245">
        <f>H81</f>
        <v>8.9265644999999996</v>
      </c>
    </row>
    <row r="81" spans="1:9" ht="15" customHeight="1">
      <c r="A81" s="785"/>
      <c r="B81" s="719" t="s">
        <v>663</v>
      </c>
      <c r="C81" s="20"/>
      <c r="D81" s="105"/>
      <c r="E81" s="103"/>
      <c r="F81" s="103"/>
      <c r="G81" s="103"/>
      <c r="H81" s="789">
        <f>'1.15 METR- ACERO'!O41*1.05</f>
        <v>8.9265644999999996</v>
      </c>
      <c r="I81" s="245"/>
    </row>
    <row r="82" spans="1:9" ht="15" customHeight="1">
      <c r="A82" s="782"/>
      <c r="B82" s="788"/>
      <c r="C82" s="20"/>
      <c r="D82" s="105"/>
      <c r="E82" s="103"/>
      <c r="F82" s="103"/>
      <c r="G82" s="103"/>
      <c r="H82" s="787"/>
      <c r="I82" s="245"/>
    </row>
    <row r="83" spans="1:9" ht="15" customHeight="1">
      <c r="A83" s="786" t="str">
        <f>A$20 &amp; ".05"</f>
        <v>01.15.05</v>
      </c>
      <c r="B83" s="720" t="s">
        <v>182</v>
      </c>
      <c r="C83" s="260"/>
      <c r="D83" s="717">
        <f>+$D$20</f>
        <v>1</v>
      </c>
      <c r="E83" s="247"/>
      <c r="F83" s="247"/>
      <c r="G83" s="247"/>
      <c r="H83" s="247"/>
      <c r="I83" s="245"/>
    </row>
    <row r="84" spans="1:9" ht="15" customHeight="1">
      <c r="A84" s="785" t="str">
        <f>$A$83 &amp; ".01"</f>
        <v>01.15.05.01</v>
      </c>
      <c r="B84" s="721" t="s">
        <v>959</v>
      </c>
      <c r="C84" s="20" t="s">
        <v>55</v>
      </c>
      <c r="D84" s="260"/>
      <c r="E84" s="247"/>
      <c r="F84" s="247"/>
      <c r="G84" s="247"/>
      <c r="H84" s="245"/>
      <c r="I84" s="245">
        <f>SUM(H85:H89)</f>
        <v>3.0300000000000002</v>
      </c>
    </row>
    <row r="85" spans="1:9" ht="15" customHeight="1">
      <c r="A85" s="782"/>
      <c r="B85" s="719" t="s">
        <v>958</v>
      </c>
      <c r="C85" s="260"/>
      <c r="D85" s="260">
        <v>1</v>
      </c>
      <c r="E85" s="247" t="s">
        <v>952</v>
      </c>
      <c r="F85" s="247"/>
      <c r="G85" s="247">
        <v>0.94</v>
      </c>
      <c r="H85" s="448">
        <f>+ROUND(PRODUCT(D85:G85),3)</f>
        <v>0.94</v>
      </c>
      <c r="I85" s="245"/>
    </row>
    <row r="86" spans="1:9" ht="15" customHeight="1">
      <c r="A86" s="782"/>
      <c r="B86" s="719" t="s">
        <v>957</v>
      </c>
      <c r="C86" s="260"/>
      <c r="D86" s="260">
        <v>1</v>
      </c>
      <c r="E86" s="247">
        <v>1.8</v>
      </c>
      <c r="F86" s="247">
        <v>0.4</v>
      </c>
      <c r="G86" s="247"/>
      <c r="H86" s="448">
        <f>+ROUND(PRODUCT(D86:G86),3)</f>
        <v>0.72</v>
      </c>
      <c r="I86" s="245"/>
    </row>
    <row r="87" spans="1:9" ht="15" customHeight="1">
      <c r="A87" s="782"/>
      <c r="B87" s="719" t="s">
        <v>956</v>
      </c>
      <c r="C87" s="260"/>
      <c r="D87" s="260">
        <v>2</v>
      </c>
      <c r="E87" s="247"/>
      <c r="F87" s="247">
        <v>0.4</v>
      </c>
      <c r="G87" s="247">
        <v>0.25</v>
      </c>
      <c r="H87" s="448">
        <f>+ROUND(PRODUCT(D87:G87),3)</f>
        <v>0.2</v>
      </c>
      <c r="I87" s="245"/>
    </row>
    <row r="88" spans="1:9" ht="15" customHeight="1">
      <c r="A88" s="782"/>
      <c r="B88" s="719" t="s">
        <v>955</v>
      </c>
      <c r="C88" s="260"/>
      <c r="D88" s="260">
        <v>1</v>
      </c>
      <c r="E88" s="247">
        <v>1.8</v>
      </c>
      <c r="F88" s="247"/>
      <c r="G88" s="247">
        <v>0.25</v>
      </c>
      <c r="H88" s="448">
        <f>+ROUND(PRODUCT(D88:G88),3)</f>
        <v>0.45</v>
      </c>
      <c r="I88" s="245"/>
    </row>
    <row r="89" spans="1:9" ht="15" customHeight="1">
      <c r="A89" s="782"/>
      <c r="B89" s="719" t="s">
        <v>954</v>
      </c>
      <c r="C89" s="260"/>
      <c r="D89" s="260">
        <v>1</v>
      </c>
      <c r="E89" s="247">
        <v>1.8</v>
      </c>
      <c r="F89" s="247">
        <v>0.4</v>
      </c>
      <c r="G89" s="247"/>
      <c r="H89" s="448">
        <f>+ROUND(PRODUCT(D89:G89),3)</f>
        <v>0.72</v>
      </c>
      <c r="I89" s="245"/>
    </row>
    <row r="90" spans="1:9" ht="14.25" customHeight="1">
      <c r="A90" s="782"/>
      <c r="B90" s="273"/>
      <c r="C90" s="260"/>
      <c r="D90" s="260"/>
      <c r="E90" s="247"/>
      <c r="F90" s="247"/>
      <c r="G90" s="247"/>
      <c r="H90" s="448"/>
      <c r="I90" s="245"/>
    </row>
    <row r="91" spans="1:9" ht="14.25" customHeight="1">
      <c r="A91" s="785" t="str">
        <f>$A$83 &amp; ".02"</f>
        <v>01.15.05.02</v>
      </c>
      <c r="B91" s="784" t="s">
        <v>866</v>
      </c>
      <c r="C91" s="20" t="s">
        <v>55</v>
      </c>
      <c r="D91" s="260"/>
      <c r="E91" s="247"/>
      <c r="F91" s="247"/>
      <c r="G91" s="247"/>
      <c r="H91" s="245"/>
      <c r="I91" s="245">
        <f>SUM(H92:H99)</f>
        <v>3.1399999999999997</v>
      </c>
    </row>
    <row r="92" spans="1:9" ht="15" customHeight="1">
      <c r="A92" s="782"/>
      <c r="B92" s="719" t="s">
        <v>953</v>
      </c>
      <c r="C92" s="260"/>
      <c r="D92" s="260">
        <v>1</v>
      </c>
      <c r="E92" s="247" t="s">
        <v>952</v>
      </c>
      <c r="F92" s="247"/>
      <c r="G92" s="247">
        <v>1.19</v>
      </c>
      <c r="H92" s="448">
        <f t="shared" ref="H92:H98" si="3">+ROUND(PRODUCT(D92:G92),3)</f>
        <v>1.19</v>
      </c>
      <c r="I92" s="245"/>
    </row>
    <row r="93" spans="1:9" ht="15" customHeight="1">
      <c r="A93" s="782"/>
      <c r="B93" s="719" t="s">
        <v>872</v>
      </c>
      <c r="C93" s="260"/>
      <c r="D93" s="260">
        <v>2</v>
      </c>
      <c r="E93" s="247"/>
      <c r="F93" s="247">
        <v>0.15</v>
      </c>
      <c r="G93" s="247">
        <v>0.5</v>
      </c>
      <c r="H93" s="448">
        <f t="shared" si="3"/>
        <v>0.15</v>
      </c>
      <c r="I93" s="245"/>
    </row>
    <row r="94" spans="1:9" ht="15" customHeight="1">
      <c r="A94" s="782"/>
      <c r="B94" s="719" t="s">
        <v>951</v>
      </c>
      <c r="C94" s="260"/>
      <c r="D94" s="260">
        <v>1</v>
      </c>
      <c r="E94" s="247">
        <v>2</v>
      </c>
      <c r="F94" s="247">
        <v>0.15</v>
      </c>
      <c r="G94" s="247"/>
      <c r="H94" s="448">
        <f t="shared" si="3"/>
        <v>0.3</v>
      </c>
      <c r="I94" s="245"/>
    </row>
    <row r="95" spans="1:9" ht="15" customHeight="1">
      <c r="A95" s="782"/>
      <c r="B95" s="719" t="s">
        <v>865</v>
      </c>
      <c r="C95" s="260"/>
      <c r="D95" s="260">
        <v>2</v>
      </c>
      <c r="E95" s="247"/>
      <c r="F95" s="247">
        <v>0.5</v>
      </c>
      <c r="G95" s="247">
        <v>0.35</v>
      </c>
      <c r="H95" s="448">
        <f t="shared" si="3"/>
        <v>0.35</v>
      </c>
      <c r="I95" s="245"/>
    </row>
    <row r="96" spans="1:9" ht="15" customHeight="1">
      <c r="A96" s="782"/>
      <c r="B96" s="719" t="s">
        <v>867</v>
      </c>
      <c r="C96" s="260"/>
      <c r="D96" s="260">
        <v>2</v>
      </c>
      <c r="E96" s="247">
        <v>0.15</v>
      </c>
      <c r="F96" s="247">
        <v>0.5</v>
      </c>
      <c r="G96" s="247"/>
      <c r="H96" s="448">
        <f t="shared" si="3"/>
        <v>0.15</v>
      </c>
      <c r="I96" s="245"/>
    </row>
    <row r="97" spans="1:12" ht="15" customHeight="1">
      <c r="A97" s="782"/>
      <c r="B97" s="719" t="s">
        <v>950</v>
      </c>
      <c r="C97" s="260"/>
      <c r="D97" s="260">
        <v>1</v>
      </c>
      <c r="E97" s="247">
        <v>2</v>
      </c>
      <c r="F97" s="247"/>
      <c r="G97" s="247">
        <v>0.35</v>
      </c>
      <c r="H97" s="448">
        <f t="shared" si="3"/>
        <v>0.7</v>
      </c>
      <c r="I97" s="245"/>
    </row>
    <row r="98" spans="1:12" ht="15" customHeight="1">
      <c r="A98" s="782"/>
      <c r="B98" s="719" t="s">
        <v>949</v>
      </c>
      <c r="C98" s="260"/>
      <c r="D98" s="260">
        <v>1</v>
      </c>
      <c r="E98" s="247">
        <v>2</v>
      </c>
      <c r="F98" s="247">
        <v>0.15</v>
      </c>
      <c r="G98" s="247"/>
      <c r="H98" s="448">
        <f t="shared" si="3"/>
        <v>0.3</v>
      </c>
      <c r="I98" s="245"/>
    </row>
    <row r="99" spans="1:12" ht="15" customHeight="1">
      <c r="A99" s="782"/>
      <c r="C99" s="260"/>
      <c r="D99" s="260"/>
      <c r="E99" s="247"/>
      <c r="F99" s="247"/>
      <c r="G99" s="247"/>
      <c r="H99" s="448"/>
      <c r="I99" s="245"/>
    </row>
    <row r="100" spans="1:12" ht="15" customHeight="1">
      <c r="A100" s="786" t="str">
        <f>A$20 &amp; ".06"</f>
        <v>01.15.06</v>
      </c>
      <c r="B100" s="454" t="s">
        <v>655</v>
      </c>
      <c r="C100" s="260"/>
      <c r="D100" s="717">
        <f>+$D$20</f>
        <v>1</v>
      </c>
      <c r="E100" s="247"/>
      <c r="F100" s="247"/>
      <c r="G100" s="247"/>
      <c r="H100" s="247"/>
      <c r="I100" s="245"/>
    </row>
    <row r="101" spans="1:12" ht="15" customHeight="1">
      <c r="A101" s="785" t="str">
        <f>$A$100 &amp; ".01"</f>
        <v>01.15.06.01</v>
      </c>
      <c r="B101" s="784" t="s">
        <v>948</v>
      </c>
      <c r="C101" s="260" t="s">
        <v>58</v>
      </c>
      <c r="D101" s="260">
        <v>1</v>
      </c>
      <c r="E101" s="247"/>
      <c r="F101" s="247"/>
      <c r="G101" s="247"/>
      <c r="H101" s="448">
        <f>+D101</f>
        <v>1</v>
      </c>
      <c r="I101" s="245">
        <f>H101*$D$100</f>
        <v>1</v>
      </c>
    </row>
    <row r="102" spans="1:12" ht="15" customHeight="1">
      <c r="A102" s="782"/>
      <c r="B102" s="715" t="s">
        <v>858</v>
      </c>
      <c r="C102" s="260"/>
      <c r="D102" s="260"/>
      <c r="E102" s="247"/>
      <c r="F102" s="247"/>
      <c r="G102" s="247"/>
      <c r="H102" s="448"/>
      <c r="I102" s="245"/>
    </row>
    <row r="103" spans="1:12" ht="15" customHeight="1">
      <c r="A103" s="782"/>
      <c r="B103" s="713" t="s">
        <v>947</v>
      </c>
      <c r="C103" s="260" t="s">
        <v>58</v>
      </c>
      <c r="D103" s="260">
        <v>3</v>
      </c>
      <c r="E103" s="247"/>
      <c r="F103" s="247"/>
      <c r="G103" s="247"/>
      <c r="H103" s="448"/>
      <c r="I103" s="245"/>
    </row>
    <row r="104" spans="1:12" ht="15" customHeight="1">
      <c r="A104" s="782"/>
      <c r="B104" s="713" t="s">
        <v>946</v>
      </c>
      <c r="C104" s="260" t="s">
        <v>58</v>
      </c>
      <c r="D104" s="260">
        <v>3</v>
      </c>
      <c r="E104" s="247"/>
      <c r="F104" s="247"/>
      <c r="G104" s="247"/>
      <c r="H104" s="448"/>
      <c r="I104" s="245"/>
    </row>
    <row r="105" spans="1:12" ht="15" customHeight="1">
      <c r="A105" s="782"/>
      <c r="B105" s="713" t="s">
        <v>945</v>
      </c>
      <c r="C105" s="260" t="s">
        <v>58</v>
      </c>
      <c r="D105" s="260">
        <v>3</v>
      </c>
      <c r="E105" s="247"/>
      <c r="F105" s="247"/>
      <c r="G105" s="247"/>
      <c r="H105" s="448"/>
      <c r="I105" s="245"/>
    </row>
    <row r="106" spans="1:12" ht="15" customHeight="1">
      <c r="A106" s="782"/>
      <c r="B106" s="713" t="s">
        <v>944</v>
      </c>
      <c r="C106" s="260" t="s">
        <v>58</v>
      </c>
      <c r="D106" s="260">
        <v>3</v>
      </c>
      <c r="E106" s="247"/>
      <c r="F106" s="247"/>
      <c r="G106" s="247"/>
      <c r="H106" s="448"/>
      <c r="I106" s="245"/>
      <c r="L106" s="702">
        <v>89</v>
      </c>
    </row>
    <row r="107" spans="1:12" ht="15" customHeight="1">
      <c r="A107" s="782"/>
      <c r="B107" s="713" t="s">
        <v>943</v>
      </c>
      <c r="C107" s="260" t="s">
        <v>58</v>
      </c>
      <c r="D107" s="260">
        <v>3</v>
      </c>
      <c r="E107" s="247"/>
      <c r="F107" s="247"/>
      <c r="G107" s="247"/>
      <c r="H107" s="448"/>
      <c r="I107" s="245"/>
      <c r="L107" s="702">
        <f>L106/1.18</f>
        <v>75.423728813559322</v>
      </c>
    </row>
    <row r="108" spans="1:12" ht="15" customHeight="1">
      <c r="A108" s="782"/>
      <c r="B108" s="713" t="s">
        <v>942</v>
      </c>
      <c r="C108" s="260" t="s">
        <v>58</v>
      </c>
      <c r="D108" s="260">
        <v>3</v>
      </c>
      <c r="E108" s="247"/>
      <c r="F108" s="247"/>
      <c r="G108" s="247"/>
      <c r="H108" s="448"/>
      <c r="I108" s="245"/>
    </row>
    <row r="109" spans="1:12" ht="15" customHeight="1">
      <c r="A109" s="782"/>
      <c r="B109" s="713" t="s">
        <v>941</v>
      </c>
      <c r="C109" s="260" t="s">
        <v>58</v>
      </c>
      <c r="D109" s="260">
        <v>3</v>
      </c>
      <c r="E109" s="247"/>
      <c r="F109" s="247"/>
      <c r="G109" s="247"/>
      <c r="H109" s="448"/>
      <c r="I109" s="245"/>
    </row>
    <row r="110" spans="1:12" ht="15" customHeight="1">
      <c r="A110" s="782"/>
      <c r="B110" s="713" t="s">
        <v>940</v>
      </c>
      <c r="C110" s="260" t="s">
        <v>58</v>
      </c>
      <c r="D110" s="260">
        <v>3</v>
      </c>
      <c r="E110" s="247"/>
      <c r="F110" s="247"/>
      <c r="G110" s="247"/>
      <c r="H110" s="448"/>
      <c r="I110" s="245"/>
    </row>
    <row r="111" spans="1:12" ht="15" customHeight="1">
      <c r="A111" s="782"/>
      <c r="B111" s="713" t="s">
        <v>939</v>
      </c>
      <c r="C111" s="260" t="s">
        <v>58</v>
      </c>
      <c r="D111" s="260">
        <v>1</v>
      </c>
      <c r="E111" s="247"/>
      <c r="F111" s="247"/>
      <c r="G111" s="247"/>
      <c r="H111" s="448"/>
      <c r="I111" s="245"/>
    </row>
    <row r="112" spans="1:12" ht="15" customHeight="1">
      <c r="A112" s="782"/>
      <c r="B112" s="713" t="s">
        <v>938</v>
      </c>
      <c r="C112" s="260" t="s">
        <v>0</v>
      </c>
      <c r="D112" s="248">
        <v>4</v>
      </c>
      <c r="E112" s="247"/>
      <c r="F112" s="247"/>
      <c r="G112" s="247"/>
      <c r="H112" s="448"/>
      <c r="I112" s="245"/>
    </row>
    <row r="113" spans="1:9" ht="15" customHeight="1">
      <c r="A113" s="782"/>
      <c r="B113" s="713" t="s">
        <v>937</v>
      </c>
      <c r="C113" s="260" t="s">
        <v>0</v>
      </c>
      <c r="D113" s="247">
        <v>1.5</v>
      </c>
      <c r="E113" s="247"/>
      <c r="F113" s="247"/>
      <c r="G113" s="247"/>
      <c r="H113" s="448"/>
      <c r="I113" s="245"/>
    </row>
    <row r="114" spans="1:9" ht="15" customHeight="1">
      <c r="A114" s="782"/>
      <c r="B114" s="713" t="s">
        <v>568</v>
      </c>
      <c r="C114" s="260" t="s">
        <v>58</v>
      </c>
      <c r="D114" s="260">
        <v>5</v>
      </c>
      <c r="E114" s="247"/>
      <c r="F114" s="247"/>
      <c r="G114" s="247"/>
      <c r="H114" s="448"/>
      <c r="I114" s="245"/>
    </row>
    <row r="115" spans="1:9" ht="15" customHeight="1">
      <c r="A115" s="782"/>
      <c r="B115" s="713" t="s">
        <v>567</v>
      </c>
      <c r="C115" s="260" t="s">
        <v>58</v>
      </c>
      <c r="D115" s="260">
        <v>1</v>
      </c>
      <c r="E115" s="247"/>
      <c r="F115" s="247"/>
      <c r="G115" s="247"/>
      <c r="H115" s="448"/>
      <c r="I115" s="245"/>
    </row>
    <row r="116" spans="1:9" ht="15" customHeight="1">
      <c r="A116" s="782"/>
      <c r="B116" s="715" t="s">
        <v>851</v>
      </c>
      <c r="C116" s="260"/>
      <c r="D116" s="260"/>
      <c r="E116" s="247"/>
      <c r="F116" s="247"/>
      <c r="G116" s="247"/>
      <c r="H116" s="448"/>
      <c r="I116" s="245"/>
    </row>
    <row r="117" spans="1:9" ht="15" customHeight="1">
      <c r="A117" s="782"/>
      <c r="B117" s="713" t="s">
        <v>936</v>
      </c>
      <c r="C117" s="260" t="s">
        <v>58</v>
      </c>
      <c r="D117" s="260">
        <v>1</v>
      </c>
      <c r="E117" s="247"/>
      <c r="F117" s="247"/>
      <c r="G117" s="247"/>
      <c r="H117" s="448"/>
      <c r="I117" s="245"/>
    </row>
    <row r="118" spans="1:9" ht="15" customHeight="1">
      <c r="A118" s="782"/>
      <c r="B118" s="713" t="s">
        <v>935</v>
      </c>
      <c r="C118" s="260" t="s">
        <v>58</v>
      </c>
      <c r="D118" s="783">
        <v>2</v>
      </c>
      <c r="E118" s="247"/>
      <c r="F118" s="247"/>
      <c r="G118" s="247"/>
      <c r="H118" s="448"/>
      <c r="I118" s="245"/>
    </row>
    <row r="119" spans="1:9" ht="15" customHeight="1">
      <c r="A119" s="782"/>
      <c r="B119" s="713" t="s">
        <v>934</v>
      </c>
      <c r="C119" s="260" t="s">
        <v>58</v>
      </c>
      <c r="D119" s="260">
        <v>3</v>
      </c>
      <c r="E119" s="247"/>
      <c r="F119" s="247"/>
      <c r="G119" s="247"/>
      <c r="H119" s="448"/>
      <c r="I119" s="245"/>
    </row>
    <row r="120" spans="1:9" ht="15" customHeight="1">
      <c r="A120" s="782"/>
      <c r="B120" s="713" t="s">
        <v>933</v>
      </c>
      <c r="C120" s="260" t="s">
        <v>58</v>
      </c>
      <c r="D120" s="783">
        <v>2</v>
      </c>
      <c r="E120" s="247"/>
      <c r="F120" s="247"/>
      <c r="G120" s="247"/>
      <c r="H120" s="448"/>
      <c r="I120" s="245"/>
    </row>
    <row r="121" spans="1:9" ht="15" customHeight="1">
      <c r="A121" s="782"/>
      <c r="B121" s="713" t="s">
        <v>932</v>
      </c>
      <c r="C121" s="260" t="s">
        <v>0</v>
      </c>
      <c r="D121" s="247">
        <v>1.5</v>
      </c>
      <c r="E121" s="247"/>
      <c r="F121" s="247"/>
      <c r="G121" s="247"/>
      <c r="H121" s="448"/>
      <c r="I121" s="245"/>
    </row>
    <row r="122" spans="1:9" ht="15" customHeight="1">
      <c r="A122" s="781"/>
      <c r="B122" s="711"/>
      <c r="C122" s="710"/>
      <c r="D122" s="710"/>
      <c r="E122" s="240"/>
      <c r="F122" s="240"/>
      <c r="G122" s="240"/>
      <c r="H122" s="240"/>
      <c r="I122" s="238"/>
    </row>
    <row r="123" spans="1:9" ht="15" customHeight="1">
      <c r="D123" s="709"/>
      <c r="E123" s="704"/>
      <c r="F123" s="704"/>
      <c r="G123" s="704"/>
    </row>
    <row r="124" spans="1:9" ht="15" customHeight="1">
      <c r="D124" s="709"/>
      <c r="E124" s="704"/>
      <c r="F124" s="704"/>
      <c r="G124" s="704"/>
    </row>
    <row r="125" spans="1:9" ht="15" customHeight="1">
      <c r="D125" s="709"/>
      <c r="E125" s="704"/>
      <c r="F125" s="704"/>
      <c r="G125" s="704"/>
    </row>
    <row r="126" spans="1:9" ht="15" customHeight="1">
      <c r="D126" s="709"/>
      <c r="E126" s="704"/>
      <c r="F126" s="704"/>
      <c r="G126" s="704"/>
    </row>
    <row r="127" spans="1:9" ht="15" customHeight="1">
      <c r="D127" s="1059" t="s">
        <v>566</v>
      </c>
      <c r="E127" s="1060"/>
      <c r="F127" s="1060"/>
      <c r="G127" s="1060"/>
      <c r="H127" s="1060"/>
      <c r="I127" s="1061"/>
    </row>
    <row r="128" spans="1:9" ht="15" customHeight="1">
      <c r="B128" s="780"/>
      <c r="D128" s="1062" t="s">
        <v>565</v>
      </c>
      <c r="E128" s="1063"/>
      <c r="F128" s="1064" t="s">
        <v>564</v>
      </c>
      <c r="G128" s="1064" t="s">
        <v>563</v>
      </c>
      <c r="H128" s="1064" t="s">
        <v>562</v>
      </c>
      <c r="I128" s="1064" t="s">
        <v>561</v>
      </c>
    </row>
    <row r="129" spans="4:9" ht="15" customHeight="1">
      <c r="D129" s="438" t="s">
        <v>560</v>
      </c>
      <c r="E129" s="438" t="s">
        <v>559</v>
      </c>
      <c r="F129" s="1065"/>
      <c r="G129" s="1065"/>
      <c r="H129" s="1065"/>
      <c r="I129" s="1065"/>
    </row>
    <row r="130" spans="4:9" ht="15" customHeight="1">
      <c r="D130" s="437">
        <v>0.25</v>
      </c>
      <c r="E130" s="436">
        <v>6</v>
      </c>
      <c r="F130" s="435">
        <f t="shared" ref="F130:F138" si="4">+PI()*G130*G130/4</f>
        <v>0.31669217443593611</v>
      </c>
      <c r="G130" s="435">
        <f>2.54*1/4</f>
        <v>0.63500000000000001</v>
      </c>
      <c r="H130" s="435">
        <f>+G130*PI()</f>
        <v>1.9949113350295187</v>
      </c>
      <c r="I130" s="435">
        <v>0.222</v>
      </c>
    </row>
    <row r="131" spans="4:9" ht="15" customHeight="1">
      <c r="D131" s="437"/>
      <c r="E131" s="436">
        <v>8</v>
      </c>
      <c r="F131" s="435">
        <f t="shared" si="4"/>
        <v>0.50265482457436694</v>
      </c>
      <c r="G131" s="435">
        <v>0.8</v>
      </c>
      <c r="H131" s="435"/>
      <c r="I131" s="435">
        <v>0.4</v>
      </c>
    </row>
    <row r="132" spans="4:9" ht="15" customHeight="1">
      <c r="D132" s="437">
        <v>0.375</v>
      </c>
      <c r="E132" s="436" t="s">
        <v>558</v>
      </c>
      <c r="F132" s="435">
        <f t="shared" si="4"/>
        <v>0.71255739248085614</v>
      </c>
      <c r="G132" s="435">
        <f>2.54*3/8</f>
        <v>0.95250000000000001</v>
      </c>
      <c r="H132" s="435">
        <f>+G132*PI()</f>
        <v>2.9923670025442779</v>
      </c>
      <c r="I132" s="435">
        <v>0.56000000000000005</v>
      </c>
    </row>
    <row r="133" spans="4:9" ht="15" customHeight="1">
      <c r="D133" s="437"/>
      <c r="E133" s="436">
        <v>12</v>
      </c>
      <c r="F133" s="435">
        <f t="shared" si="4"/>
        <v>1.1309733552923256</v>
      </c>
      <c r="G133" s="435">
        <v>1.2</v>
      </c>
      <c r="H133" s="435"/>
      <c r="I133" s="435">
        <v>0.89</v>
      </c>
    </row>
    <row r="134" spans="4:9" ht="15" customHeight="1">
      <c r="D134" s="437">
        <v>0.5</v>
      </c>
      <c r="E134" s="436" t="s">
        <v>558</v>
      </c>
      <c r="F134" s="435">
        <f t="shared" si="4"/>
        <v>1.2667686977437445</v>
      </c>
      <c r="G134" s="435">
        <f>1/2*2.54</f>
        <v>1.27</v>
      </c>
      <c r="H134" s="435">
        <f>+G134*PI()</f>
        <v>3.9898226700590373</v>
      </c>
      <c r="I134" s="435">
        <v>0.99399999999999999</v>
      </c>
    </row>
    <row r="135" spans="4:9" ht="15" customHeight="1">
      <c r="D135" s="437">
        <v>0.625</v>
      </c>
      <c r="E135" s="436" t="s">
        <v>558</v>
      </c>
      <c r="F135" s="435">
        <f t="shared" si="4"/>
        <v>1.9793260902246004</v>
      </c>
      <c r="G135" s="435">
        <f>5/8*2.54</f>
        <v>1.5874999999999999</v>
      </c>
      <c r="H135" s="435">
        <f>+G135*PI()</f>
        <v>4.9872783375737963</v>
      </c>
      <c r="I135" s="435">
        <v>1.552</v>
      </c>
    </row>
    <row r="136" spans="4:9" ht="15" customHeight="1">
      <c r="D136" s="437">
        <v>0.75</v>
      </c>
      <c r="E136" s="436" t="s">
        <v>558</v>
      </c>
      <c r="F136" s="435">
        <f t="shared" si="4"/>
        <v>2.8502295699234246</v>
      </c>
      <c r="G136" s="435">
        <f>3/4*2.54</f>
        <v>1.905</v>
      </c>
      <c r="H136" s="435">
        <f>+G136*PI()</f>
        <v>5.9847340050885558</v>
      </c>
      <c r="I136" s="435">
        <v>2.2349999999999999</v>
      </c>
    </row>
    <row r="137" spans="4:9" ht="15" customHeight="1">
      <c r="D137" s="437">
        <v>1</v>
      </c>
      <c r="E137" s="436" t="s">
        <v>558</v>
      </c>
      <c r="F137" s="435">
        <f t="shared" si="4"/>
        <v>5.0670747909749778</v>
      </c>
      <c r="G137" s="435">
        <v>2.54</v>
      </c>
      <c r="H137" s="435">
        <f>+G137*PI()</f>
        <v>7.9796453401180747</v>
      </c>
      <c r="I137" s="435">
        <v>3.9729999999999999</v>
      </c>
    </row>
    <row r="138" spans="4:9" ht="15" customHeight="1">
      <c r="D138" s="437">
        <v>1.375</v>
      </c>
      <c r="E138" s="436" t="s">
        <v>558</v>
      </c>
      <c r="F138" s="435">
        <f t="shared" si="4"/>
        <v>9.5799382766870682</v>
      </c>
      <c r="G138" s="435">
        <f>1.375*2.54</f>
        <v>3.4925000000000002</v>
      </c>
      <c r="H138" s="435">
        <f>+G138*PI()</f>
        <v>10.972012342662353</v>
      </c>
      <c r="I138" s="435">
        <v>7.907</v>
      </c>
    </row>
    <row r="139" spans="4:9" ht="15" customHeight="1">
      <c r="D139" s="709"/>
      <c r="E139" s="704"/>
      <c r="F139" s="704"/>
      <c r="G139" s="704"/>
    </row>
    <row r="140" spans="4:9" ht="15" customHeight="1">
      <c r="D140" s="709"/>
      <c r="E140" s="704"/>
      <c r="F140" s="704"/>
      <c r="G140" s="704"/>
    </row>
    <row r="141" spans="4:9" ht="15" customHeight="1">
      <c r="D141" s="709"/>
      <c r="E141" s="704"/>
      <c r="F141" s="704"/>
      <c r="G141" s="704"/>
    </row>
    <row r="142" spans="4:9" ht="15" customHeight="1">
      <c r="D142" s="709"/>
      <c r="E142" s="704"/>
      <c r="F142" s="704"/>
      <c r="G142" s="704"/>
    </row>
    <row r="143" spans="4:9" ht="15" customHeight="1">
      <c r="D143" s="709"/>
      <c r="E143" s="704"/>
      <c r="F143" s="704"/>
      <c r="G143" s="704"/>
    </row>
    <row r="144" spans="4:9" ht="15" customHeight="1">
      <c r="D144" s="709"/>
      <c r="E144" s="704"/>
      <c r="F144" s="704"/>
      <c r="G144" s="704"/>
    </row>
    <row r="145" spans="4:7" ht="15" customHeight="1">
      <c r="D145" s="709"/>
      <c r="E145" s="704"/>
      <c r="F145" s="704"/>
      <c r="G145" s="704"/>
    </row>
    <row r="146" spans="4:7" ht="15" customHeight="1">
      <c r="D146" s="709"/>
      <c r="E146" s="704"/>
      <c r="F146" s="704"/>
      <c r="G146" s="704"/>
    </row>
    <row r="147" spans="4:7" ht="15" customHeight="1">
      <c r="D147" s="709"/>
      <c r="E147" s="704"/>
      <c r="F147" s="704"/>
      <c r="G147" s="704"/>
    </row>
    <row r="148" spans="4:7" ht="15" customHeight="1">
      <c r="D148" s="709"/>
      <c r="E148" s="704"/>
      <c r="F148" s="704"/>
      <c r="G148" s="704"/>
    </row>
    <row r="149" spans="4:7" ht="15" customHeight="1">
      <c r="D149" s="709"/>
      <c r="E149" s="704"/>
      <c r="F149" s="704"/>
      <c r="G149" s="704"/>
    </row>
    <row r="150" spans="4:7" ht="15" customHeight="1">
      <c r="D150" s="709"/>
      <c r="E150" s="704"/>
      <c r="F150" s="704"/>
      <c r="G150" s="704"/>
    </row>
    <row r="151" spans="4:7" ht="15" customHeight="1">
      <c r="D151" s="709"/>
      <c r="E151" s="704"/>
      <c r="F151" s="704"/>
      <c r="G151" s="704"/>
    </row>
    <row r="152" spans="4:7" ht="15" customHeight="1">
      <c r="D152" s="709"/>
      <c r="E152" s="704"/>
      <c r="F152" s="704"/>
      <c r="G152" s="704"/>
    </row>
    <row r="153" spans="4:7" ht="15" customHeight="1">
      <c r="D153" s="709"/>
      <c r="E153" s="704"/>
      <c r="F153" s="704"/>
      <c r="G153" s="704"/>
    </row>
    <row r="154" spans="4:7" ht="15" customHeight="1">
      <c r="D154" s="709"/>
      <c r="E154" s="704"/>
      <c r="F154" s="704"/>
      <c r="G154" s="704"/>
    </row>
    <row r="155" spans="4:7" ht="15" customHeight="1">
      <c r="D155" s="709"/>
      <c r="E155" s="704"/>
      <c r="F155" s="704"/>
      <c r="G155" s="704"/>
    </row>
    <row r="156" spans="4:7" ht="15" customHeight="1">
      <c r="D156" s="709"/>
      <c r="E156" s="704"/>
      <c r="F156" s="704"/>
      <c r="G156" s="704"/>
    </row>
    <row r="157" spans="4:7" ht="15" customHeight="1">
      <c r="D157" s="709"/>
      <c r="E157" s="704"/>
      <c r="F157" s="704"/>
      <c r="G157" s="704"/>
    </row>
    <row r="158" spans="4:7" ht="15" customHeight="1">
      <c r="D158" s="709"/>
      <c r="E158" s="704"/>
      <c r="F158" s="704"/>
      <c r="G158" s="704"/>
    </row>
    <row r="159" spans="4:7" ht="15" customHeight="1">
      <c r="D159" s="709"/>
      <c r="E159" s="704"/>
      <c r="F159" s="704"/>
      <c r="G159" s="704"/>
    </row>
    <row r="160" spans="4:7" ht="15" customHeight="1">
      <c r="D160" s="709"/>
      <c r="E160" s="704"/>
      <c r="F160" s="704"/>
      <c r="G160" s="704"/>
    </row>
    <row r="161" spans="4:7" ht="15" customHeight="1">
      <c r="D161" s="709"/>
      <c r="E161" s="704"/>
      <c r="F161" s="704"/>
      <c r="G161" s="704"/>
    </row>
    <row r="162" spans="4:7" ht="15" customHeight="1">
      <c r="D162" s="709"/>
      <c r="E162" s="704"/>
      <c r="F162" s="704"/>
      <c r="G162" s="704"/>
    </row>
    <row r="163" spans="4:7" ht="15" customHeight="1">
      <c r="D163" s="709"/>
      <c r="E163" s="704"/>
      <c r="F163" s="704"/>
      <c r="G163" s="704"/>
    </row>
    <row r="164" spans="4:7" ht="15" customHeight="1">
      <c r="D164" s="709"/>
      <c r="E164" s="704"/>
      <c r="F164" s="704"/>
      <c r="G164" s="704"/>
    </row>
    <row r="165" spans="4:7" ht="15" customHeight="1">
      <c r="D165" s="709"/>
      <c r="E165" s="704"/>
      <c r="F165" s="704"/>
      <c r="G165" s="704"/>
    </row>
    <row r="166" spans="4:7" ht="15" customHeight="1">
      <c r="D166" s="709"/>
      <c r="E166" s="704"/>
      <c r="F166" s="704"/>
      <c r="G166" s="704"/>
    </row>
    <row r="167" spans="4:7" ht="15" customHeight="1">
      <c r="D167" s="709"/>
      <c r="E167" s="704"/>
      <c r="F167" s="704"/>
      <c r="G167" s="704"/>
    </row>
    <row r="168" spans="4:7" ht="15" customHeight="1">
      <c r="D168" s="709"/>
      <c r="E168" s="704"/>
      <c r="F168" s="704"/>
      <c r="G168" s="704"/>
    </row>
    <row r="169" spans="4:7" ht="15" customHeight="1">
      <c r="D169" s="709"/>
      <c r="E169" s="704"/>
      <c r="F169" s="704"/>
      <c r="G169" s="704"/>
    </row>
    <row r="170" spans="4:7" ht="15" customHeight="1">
      <c r="D170" s="709"/>
      <c r="E170" s="704"/>
      <c r="F170" s="704"/>
      <c r="G170" s="704"/>
    </row>
    <row r="171" spans="4:7" ht="15" customHeight="1">
      <c r="D171" s="709"/>
      <c r="E171" s="704"/>
      <c r="F171" s="704"/>
      <c r="G171" s="704"/>
    </row>
    <row r="172" spans="4:7" ht="15" customHeight="1">
      <c r="D172" s="709"/>
      <c r="E172" s="704"/>
      <c r="F172" s="704"/>
      <c r="G172" s="704"/>
    </row>
    <row r="173" spans="4:7" ht="15" customHeight="1">
      <c r="D173" s="709"/>
      <c r="E173" s="704"/>
      <c r="F173" s="704"/>
      <c r="G173" s="704"/>
    </row>
    <row r="174" spans="4:7" ht="15" customHeight="1">
      <c r="D174" s="709"/>
      <c r="E174" s="704"/>
      <c r="F174" s="704"/>
      <c r="G174" s="704"/>
    </row>
    <row r="175" spans="4:7" ht="15" customHeight="1">
      <c r="D175" s="709"/>
      <c r="E175" s="704"/>
      <c r="F175" s="704"/>
      <c r="G175" s="704"/>
    </row>
    <row r="176" spans="4:7" ht="15" customHeight="1">
      <c r="D176" s="709"/>
      <c r="E176" s="704"/>
      <c r="F176" s="704"/>
      <c r="G176" s="704"/>
    </row>
    <row r="177" spans="4:7" ht="15" customHeight="1">
      <c r="D177" s="709"/>
      <c r="E177" s="704"/>
      <c r="F177" s="704"/>
      <c r="G177" s="704"/>
    </row>
    <row r="178" spans="4:7" ht="15" customHeight="1">
      <c r="D178" s="709"/>
      <c r="E178" s="704"/>
      <c r="F178" s="704"/>
      <c r="G178" s="704"/>
    </row>
    <row r="179" spans="4:7" ht="15" customHeight="1">
      <c r="D179" s="709"/>
      <c r="E179" s="704"/>
      <c r="F179" s="704"/>
      <c r="G179" s="704"/>
    </row>
    <row r="180" spans="4:7" ht="15" customHeight="1">
      <c r="D180" s="709"/>
      <c r="E180" s="704"/>
      <c r="F180" s="704"/>
      <c r="G180" s="704"/>
    </row>
    <row r="181" spans="4:7" ht="15" customHeight="1">
      <c r="D181" s="709"/>
      <c r="E181" s="704"/>
      <c r="F181" s="704"/>
      <c r="G181" s="704"/>
    </row>
    <row r="182" spans="4:7" ht="15" customHeight="1">
      <c r="D182" s="709"/>
      <c r="E182" s="704"/>
      <c r="F182" s="704"/>
      <c r="G182" s="704"/>
    </row>
    <row r="183" spans="4:7" ht="15" customHeight="1">
      <c r="D183" s="709"/>
      <c r="E183" s="704"/>
      <c r="F183" s="704"/>
      <c r="G183" s="704"/>
    </row>
    <row r="184" spans="4:7" ht="15" customHeight="1">
      <c r="D184" s="709"/>
      <c r="E184" s="704"/>
      <c r="F184" s="704"/>
      <c r="G184" s="704"/>
    </row>
    <row r="185" spans="4:7" ht="15" customHeight="1">
      <c r="D185" s="709"/>
      <c r="E185" s="704"/>
      <c r="F185" s="704"/>
      <c r="G185" s="704"/>
    </row>
    <row r="186" spans="4:7" ht="15" customHeight="1">
      <c r="D186" s="709"/>
      <c r="E186" s="704"/>
      <c r="F186" s="704"/>
      <c r="G186" s="704"/>
    </row>
    <row r="187" spans="4:7" ht="15" customHeight="1">
      <c r="D187" s="709"/>
      <c r="E187" s="704"/>
      <c r="F187" s="704"/>
      <c r="G187" s="704"/>
    </row>
    <row r="188" spans="4:7" ht="15" customHeight="1">
      <c r="D188" s="709"/>
      <c r="E188" s="704"/>
      <c r="F188" s="704"/>
      <c r="G188" s="704"/>
    </row>
    <row r="189" spans="4:7" ht="15" customHeight="1">
      <c r="D189" s="709"/>
      <c r="E189" s="704"/>
      <c r="F189" s="704"/>
      <c r="G189" s="704"/>
    </row>
  </sheetData>
  <mergeCells count="11">
    <mergeCell ref="D127:I127"/>
    <mergeCell ref="D128:E128"/>
    <mergeCell ref="F128:F129"/>
    <mergeCell ref="G128:G129"/>
    <mergeCell ref="H128:H129"/>
    <mergeCell ref="I128:I129"/>
    <mergeCell ref="A1:I1"/>
    <mergeCell ref="A2:I2"/>
    <mergeCell ref="A3:I3"/>
    <mergeCell ref="A4:I4"/>
    <mergeCell ref="B6:H1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headerFooter>
    <oddFooter>Página &amp;P&amp;R&amp;A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7DCCB-921C-4A9D-9584-CD9E6ACABE15}">
  <sheetPr codeName="Hoja21">
    <pageSetUpPr fitToPage="1"/>
  </sheetPr>
  <dimension ref="A1:T42"/>
  <sheetViews>
    <sheetView showGridLines="0" view="pageBreakPreview" topLeftCell="A28" zoomScale="85" zoomScaleNormal="70" zoomScaleSheetLayoutView="85" zoomScalePageLayoutView="40" workbookViewId="0">
      <selection activeCell="B6" sqref="B6"/>
    </sheetView>
  </sheetViews>
  <sheetFormatPr baseColWidth="10" defaultColWidth="14.6640625" defaultRowHeight="15"/>
  <cols>
    <col min="1" max="1" width="3.5" style="405" customWidth="1"/>
    <col min="2" max="2" width="9.5" style="405" customWidth="1"/>
    <col min="3" max="3" width="8.83203125" style="405" customWidth="1"/>
    <col min="4" max="4" width="8.5" style="405" customWidth="1"/>
    <col min="5" max="10" width="6" style="405" customWidth="1"/>
    <col min="11" max="12" width="14.6640625" style="405"/>
    <col min="13" max="13" width="17.83203125" style="405" customWidth="1"/>
    <col min="14" max="14" width="20.5" style="405" customWidth="1"/>
    <col min="15" max="16384" width="14.6640625" style="405"/>
  </cols>
  <sheetData>
    <row r="1" spans="1:20">
      <c r="A1" s="756"/>
      <c r="B1" s="756"/>
      <c r="C1" s="756"/>
      <c r="D1" s="756"/>
      <c r="E1" s="756"/>
      <c r="F1" s="756"/>
      <c r="G1" s="756"/>
      <c r="H1" s="756"/>
      <c r="I1" s="756"/>
      <c r="J1" s="756"/>
      <c r="K1" s="756"/>
      <c r="L1" s="756"/>
      <c r="M1" s="756"/>
      <c r="N1" s="756"/>
      <c r="O1" s="756"/>
      <c r="P1" s="756"/>
      <c r="Q1" s="756"/>
      <c r="R1" s="756"/>
      <c r="S1" s="756"/>
      <c r="T1" s="756"/>
    </row>
    <row r="2" spans="1:20">
      <c r="A2" s="756"/>
      <c r="B2" s="946" t="s">
        <v>334</v>
      </c>
      <c r="C2" s="947"/>
      <c r="D2" s="947"/>
      <c r="E2" s="947"/>
      <c r="F2" s="947"/>
      <c r="G2" s="947"/>
      <c r="H2" s="947"/>
      <c r="I2" s="947"/>
      <c r="J2" s="947"/>
      <c r="K2" s="947"/>
      <c r="L2" s="947"/>
      <c r="M2" s="947"/>
      <c r="N2" s="947"/>
      <c r="O2" s="947"/>
      <c r="P2" s="947"/>
      <c r="Q2" s="947"/>
      <c r="R2" s="947"/>
      <c r="S2" s="947"/>
      <c r="T2" s="948"/>
    </row>
    <row r="3" spans="1:20" ht="19.5" customHeight="1" thickBot="1">
      <c r="A3" s="756"/>
      <c r="B3" s="1251"/>
      <c r="C3" s="1252"/>
      <c r="D3" s="1252"/>
      <c r="E3" s="1252"/>
      <c r="F3" s="1252"/>
      <c r="G3" s="1252"/>
      <c r="H3" s="1252"/>
      <c r="I3" s="1252"/>
      <c r="J3" s="1252"/>
      <c r="K3" s="1252"/>
      <c r="L3" s="1252"/>
      <c r="M3" s="1252"/>
      <c r="N3" s="1252"/>
      <c r="O3" s="1252"/>
      <c r="P3" s="1252"/>
      <c r="Q3" s="1252"/>
      <c r="R3" s="1252"/>
      <c r="S3" s="1252"/>
      <c r="T3" s="1253"/>
    </row>
    <row r="4" spans="1:20" ht="6.75" customHeight="1">
      <c r="A4" s="756"/>
      <c r="B4" s="817"/>
      <c r="C4" s="816"/>
      <c r="D4" s="816"/>
      <c r="E4" s="814"/>
      <c r="F4" s="814"/>
      <c r="G4" s="814"/>
      <c r="H4" s="814"/>
      <c r="I4" s="814"/>
      <c r="J4" s="814"/>
      <c r="K4" s="814"/>
      <c r="L4" s="815"/>
      <c r="M4" s="814"/>
      <c r="N4" s="814"/>
      <c r="O4" s="814"/>
      <c r="P4" s="813"/>
      <c r="Q4" s="812"/>
      <c r="R4" s="811"/>
      <c r="S4" s="805"/>
      <c r="T4" s="804"/>
    </row>
    <row r="5" spans="1:20" ht="33.75" customHeight="1" thickBot="1">
      <c r="A5" s="756"/>
      <c r="B5" s="1254" t="s">
        <v>1086</v>
      </c>
      <c r="C5" s="1255"/>
      <c r="D5" s="1255"/>
      <c r="E5" s="1255"/>
      <c r="F5" s="1255"/>
      <c r="G5" s="1255"/>
      <c r="H5" s="1255"/>
      <c r="I5" s="1255"/>
      <c r="J5" s="1255"/>
      <c r="K5" s="1255"/>
      <c r="L5" s="1255"/>
      <c r="M5" s="1255"/>
      <c r="N5" s="1255"/>
      <c r="O5" s="1255"/>
      <c r="P5" s="1255"/>
      <c r="Q5" s="1255"/>
      <c r="R5" s="1255"/>
      <c r="S5" s="1255"/>
      <c r="T5" s="1256"/>
    </row>
    <row r="6" spans="1:20" ht="6.75" customHeight="1">
      <c r="A6" s="756"/>
      <c r="B6" s="810"/>
      <c r="C6" s="809"/>
      <c r="D6" s="809"/>
      <c r="E6" s="808"/>
      <c r="F6" s="808"/>
      <c r="G6" s="808"/>
      <c r="H6" s="808"/>
      <c r="I6" s="808"/>
      <c r="J6" s="808"/>
      <c r="K6" s="808"/>
      <c r="L6" s="807"/>
      <c r="M6" s="807"/>
      <c r="N6" s="807"/>
      <c r="O6" s="807"/>
      <c r="P6" s="807"/>
      <c r="Q6" s="807"/>
      <c r="R6" s="806"/>
      <c r="S6" s="805"/>
      <c r="T6" s="804"/>
    </row>
    <row r="7" spans="1:20" ht="19.5" thickBot="1">
      <c r="A7" s="756"/>
      <c r="B7" s="1130" t="str">
        <f>+"METRADO DE ACERO DE LAVADERO INICIAL "&amp;'[26]Captación Dique'!B7:J7</f>
        <v>METRADO DE ACERO DE LAVADERO INICIAL 0</v>
      </c>
      <c r="C7" s="1020"/>
      <c r="D7" s="1020"/>
      <c r="E7" s="1020"/>
      <c r="F7" s="1020"/>
      <c r="G7" s="1020"/>
      <c r="H7" s="1020"/>
      <c r="I7" s="1020"/>
      <c r="J7" s="1020"/>
      <c r="K7" s="1020"/>
      <c r="L7" s="1020"/>
      <c r="M7" s="1020"/>
      <c r="N7" s="1020"/>
      <c r="O7" s="1020"/>
      <c r="P7" s="1020"/>
      <c r="Q7" s="1020"/>
      <c r="R7" s="1020"/>
      <c r="S7" s="1020"/>
      <c r="T7" s="1131"/>
    </row>
    <row r="8" spans="1:20">
      <c r="A8" s="756"/>
      <c r="B8" s="803"/>
      <c r="C8" s="802"/>
      <c r="D8" s="802"/>
      <c r="E8" s="802"/>
      <c r="F8" s="802"/>
      <c r="G8" s="802"/>
      <c r="H8" s="802"/>
      <c r="I8" s="802"/>
      <c r="J8" s="802"/>
      <c r="K8" s="802"/>
      <c r="L8" s="802"/>
      <c r="M8" s="802"/>
      <c r="N8" s="802"/>
      <c r="O8" s="802"/>
      <c r="P8" s="802"/>
      <c r="Q8" s="802"/>
      <c r="R8" s="802"/>
      <c r="S8" s="802"/>
      <c r="T8" s="801"/>
    </row>
    <row r="9" spans="1:20" hidden="1">
      <c r="A9" s="756"/>
      <c r="B9" s="770">
        <f>'1.15 LAV. INICIAL.'!D20</f>
        <v>1</v>
      </c>
      <c r="C9" s="586"/>
      <c r="D9" s="586"/>
      <c r="E9" s="585" t="str">
        <f>+'[26]Captación Dique'!C143</f>
        <v xml:space="preserve">REVOQUES Y ENLUCIDOS </v>
      </c>
      <c r="F9" s="584"/>
      <c r="G9" s="584"/>
      <c r="H9" s="584"/>
      <c r="I9" s="584"/>
      <c r="J9" s="584"/>
      <c r="K9" s="546"/>
      <c r="L9" s="546"/>
      <c r="M9" s="546"/>
      <c r="N9" s="546"/>
      <c r="O9" s="546"/>
      <c r="P9" s="546"/>
      <c r="Q9" s="546"/>
      <c r="R9" s="546"/>
      <c r="S9" s="546"/>
      <c r="T9" s="759"/>
    </row>
    <row r="10" spans="1:20" ht="7.5" customHeight="1" thickBot="1">
      <c r="A10" s="756"/>
      <c r="B10" s="800"/>
      <c r="C10" s="581"/>
      <c r="D10" s="581"/>
      <c r="E10" s="581"/>
      <c r="F10" s="581"/>
      <c r="G10" s="581"/>
      <c r="H10" s="581"/>
      <c r="I10" s="581"/>
      <c r="J10" s="581"/>
      <c r="K10" s="581"/>
      <c r="L10" s="581"/>
      <c r="M10" s="581"/>
      <c r="N10" s="581"/>
      <c r="O10" s="581"/>
      <c r="P10" s="581"/>
      <c r="Q10" s="581"/>
      <c r="R10" s="581"/>
      <c r="S10" s="581"/>
      <c r="T10" s="799"/>
    </row>
    <row r="11" spans="1:20" ht="15" customHeight="1">
      <c r="A11" s="756"/>
      <c r="B11" s="1257" t="s">
        <v>2</v>
      </c>
      <c r="C11" s="1258"/>
      <c r="D11" s="1259"/>
      <c r="E11" s="1235" t="s">
        <v>270</v>
      </c>
      <c r="F11" s="1236"/>
      <c r="G11" s="1236"/>
      <c r="H11" s="1236"/>
      <c r="I11" s="1236"/>
      <c r="J11" s="1236"/>
      <c r="K11" s="1249" t="s">
        <v>743</v>
      </c>
      <c r="L11" s="1249" t="s">
        <v>742</v>
      </c>
      <c r="M11" s="1249" t="s">
        <v>741</v>
      </c>
      <c r="N11" s="1249" t="s">
        <v>740</v>
      </c>
      <c r="O11" s="1260" t="s">
        <v>739</v>
      </c>
      <c r="P11" s="1260"/>
      <c r="Q11" s="1260"/>
      <c r="R11" s="1260"/>
      <c r="S11" s="1260"/>
      <c r="T11" s="1260"/>
    </row>
    <row r="12" spans="1:20" ht="15" customHeight="1" thickBot="1">
      <c r="A12" s="756"/>
      <c r="B12" s="1230"/>
      <c r="C12" s="1231"/>
      <c r="D12" s="1232"/>
      <c r="E12" s="1235"/>
      <c r="F12" s="1236"/>
      <c r="G12" s="1236"/>
      <c r="H12" s="1236"/>
      <c r="I12" s="1236"/>
      <c r="J12" s="1236"/>
      <c r="K12" s="1238"/>
      <c r="L12" s="1239"/>
      <c r="M12" s="1239"/>
      <c r="N12" s="1239"/>
      <c r="O12" s="769" t="s">
        <v>929</v>
      </c>
      <c r="P12" s="769" t="s">
        <v>928</v>
      </c>
      <c r="Q12" s="769" t="s">
        <v>710</v>
      </c>
      <c r="R12" s="769" t="s">
        <v>737</v>
      </c>
      <c r="S12" s="769" t="s">
        <v>736</v>
      </c>
      <c r="T12" s="769" t="s">
        <v>735</v>
      </c>
    </row>
    <row r="13" spans="1:20" ht="15" customHeight="1" thickTop="1">
      <c r="A13" s="756"/>
      <c r="B13" s="1245" t="s">
        <v>983</v>
      </c>
      <c r="C13" s="1247" t="s">
        <v>982</v>
      </c>
      <c r="D13" s="1095" t="s">
        <v>981</v>
      </c>
      <c r="E13" s="545"/>
      <c r="F13" s="544"/>
      <c r="G13" s="798"/>
      <c r="H13" s="544"/>
      <c r="I13" s="544"/>
      <c r="J13" s="767"/>
      <c r="K13" s="759"/>
      <c r="L13" s="537"/>
      <c r="M13" s="537"/>
      <c r="N13" s="537"/>
      <c r="O13" s="537"/>
      <c r="P13" s="537"/>
      <c r="Q13" s="537"/>
      <c r="R13" s="537"/>
      <c r="S13" s="537"/>
      <c r="T13" s="537"/>
    </row>
    <row r="14" spans="1:20" ht="15" customHeight="1">
      <c r="A14" s="756"/>
      <c r="B14" s="1245"/>
      <c r="C14" s="1247"/>
      <c r="D14" s="1096"/>
      <c r="E14" s="540"/>
      <c r="F14" s="539"/>
      <c r="G14" s="539"/>
      <c r="H14" s="539"/>
      <c r="I14" s="539"/>
      <c r="J14" s="757"/>
      <c r="K14" s="768"/>
      <c r="L14" s="537"/>
      <c r="M14" s="537"/>
      <c r="N14" s="537"/>
      <c r="O14" s="537"/>
      <c r="P14" s="537"/>
      <c r="Q14" s="537"/>
      <c r="R14" s="537"/>
      <c r="S14" s="537"/>
      <c r="T14" s="537"/>
    </row>
    <row r="15" spans="1:20" ht="15" customHeight="1">
      <c r="A15" s="756"/>
      <c r="B15" s="1245"/>
      <c r="C15" s="1247"/>
      <c r="D15" s="1096"/>
      <c r="F15" s="555">
        <v>0.54</v>
      </c>
      <c r="G15" s="756"/>
      <c r="I15" s="539">
        <v>0.3</v>
      </c>
      <c r="J15" s="757"/>
      <c r="K15" s="768" t="str">
        <f>O12</f>
        <v>1/4"</v>
      </c>
      <c r="L15" s="538">
        <v>1</v>
      </c>
      <c r="M15" s="538">
        <v>11</v>
      </c>
      <c r="N15" s="537">
        <f>+G16+F15+I15</f>
        <v>1.365</v>
      </c>
      <c r="O15" s="537">
        <f t="shared" ref="O15:T15" si="0">IF(+$K15=O$12,+$L15*$M15*$N15,0)</f>
        <v>15.015000000000001</v>
      </c>
      <c r="P15" s="537">
        <f t="shared" si="0"/>
        <v>0</v>
      </c>
      <c r="Q15" s="537">
        <f t="shared" si="0"/>
        <v>0</v>
      </c>
      <c r="R15" s="537">
        <f t="shared" si="0"/>
        <v>0</v>
      </c>
      <c r="S15" s="537">
        <f t="shared" si="0"/>
        <v>0</v>
      </c>
      <c r="T15" s="537">
        <f t="shared" si="0"/>
        <v>0</v>
      </c>
    </row>
    <row r="16" spans="1:20" ht="15" customHeight="1">
      <c r="A16" s="756"/>
      <c r="B16" s="1245"/>
      <c r="C16" s="1247"/>
      <c r="D16" s="1096"/>
      <c r="E16" s="540"/>
      <c r="F16" s="546"/>
      <c r="G16" s="539">
        <v>0.52500000000000002</v>
      </c>
      <c r="H16" s="539"/>
      <c r="I16" s="539"/>
      <c r="J16" s="757"/>
      <c r="K16" s="757"/>
      <c r="L16" s="538"/>
      <c r="M16" s="538"/>
      <c r="N16" s="537"/>
      <c r="O16" s="537"/>
      <c r="P16" s="537"/>
      <c r="Q16" s="537"/>
      <c r="R16" s="537"/>
      <c r="S16" s="537"/>
      <c r="T16" s="537"/>
    </row>
    <row r="17" spans="1:20" ht="15" customHeight="1">
      <c r="A17" s="756"/>
      <c r="B17" s="1245"/>
      <c r="C17" s="1247"/>
      <c r="D17" s="1096"/>
      <c r="E17" s="540"/>
      <c r="F17" s="539"/>
      <c r="H17" s="756"/>
      <c r="I17" s="539"/>
      <c r="J17" s="757"/>
      <c r="K17" s="759"/>
      <c r="L17" s="538"/>
      <c r="M17" s="538"/>
      <c r="N17" s="537"/>
      <c r="O17" s="537"/>
      <c r="P17" s="537"/>
      <c r="Q17" s="537"/>
      <c r="R17" s="537"/>
      <c r="S17" s="537"/>
      <c r="T17" s="537"/>
    </row>
    <row r="18" spans="1:20" ht="15" customHeight="1">
      <c r="A18" s="756"/>
      <c r="B18" s="1245"/>
      <c r="C18" s="1247"/>
      <c r="D18" s="1095" t="s">
        <v>980</v>
      </c>
      <c r="E18" s="545"/>
      <c r="F18" s="544"/>
      <c r="G18" s="544"/>
      <c r="H18" s="544"/>
      <c r="I18" s="544"/>
      <c r="J18" s="767"/>
      <c r="K18" s="542"/>
      <c r="L18" s="542"/>
      <c r="M18" s="542"/>
      <c r="N18" s="542"/>
      <c r="O18" s="542"/>
      <c r="P18" s="542"/>
      <c r="Q18" s="542"/>
      <c r="R18" s="542"/>
      <c r="S18" s="542"/>
      <c r="T18" s="542"/>
    </row>
    <row r="19" spans="1:20" ht="15" customHeight="1">
      <c r="A19" s="756"/>
      <c r="B19" s="1245"/>
      <c r="C19" s="1247"/>
      <c r="D19" s="1096"/>
      <c r="E19" s="540"/>
      <c r="F19" s="756"/>
      <c r="G19" s="539"/>
      <c r="H19" s="539"/>
      <c r="I19" s="539"/>
      <c r="J19" s="539"/>
      <c r="K19" s="541"/>
      <c r="L19" s="541"/>
      <c r="M19" s="541"/>
      <c r="N19" s="541"/>
      <c r="O19" s="541"/>
      <c r="P19" s="541"/>
      <c r="Q19" s="541"/>
      <c r="R19" s="541"/>
      <c r="S19" s="541"/>
      <c r="T19" s="541"/>
    </row>
    <row r="20" spans="1:20" ht="15" customHeight="1">
      <c r="A20" s="756"/>
      <c r="B20" s="1245"/>
      <c r="C20" s="1247"/>
      <c r="D20" s="1096"/>
      <c r="E20" s="540"/>
      <c r="F20" s="539"/>
      <c r="G20" s="539"/>
      <c r="J20" s="539"/>
      <c r="K20" s="761" t="str">
        <f>O12</f>
        <v>1/4"</v>
      </c>
      <c r="L20" s="538">
        <v>1</v>
      </c>
      <c r="M20" s="538">
        <v>3</v>
      </c>
      <c r="N20" s="537">
        <f>+G21+G18+G22</f>
        <v>1.9</v>
      </c>
      <c r="O20" s="537">
        <f t="shared" ref="O20:T20" si="1">IF(+$K20=O$12,+$L20*$M20*$N20,0)</f>
        <v>5.6999999999999993</v>
      </c>
      <c r="P20" s="537">
        <f t="shared" si="1"/>
        <v>0</v>
      </c>
      <c r="Q20" s="537">
        <f t="shared" si="1"/>
        <v>0</v>
      </c>
      <c r="R20" s="537">
        <f t="shared" si="1"/>
        <v>0</v>
      </c>
      <c r="S20" s="537">
        <f t="shared" si="1"/>
        <v>0</v>
      </c>
      <c r="T20" s="537">
        <f t="shared" si="1"/>
        <v>0</v>
      </c>
    </row>
    <row r="21" spans="1:20" ht="15" customHeight="1">
      <c r="A21" s="756"/>
      <c r="B21" s="1245"/>
      <c r="C21" s="1247"/>
      <c r="D21" s="1096"/>
      <c r="E21" s="540"/>
      <c r="F21" s="539"/>
      <c r="G21" s="1250">
        <v>1.9</v>
      </c>
      <c r="H21" s="1250"/>
      <c r="I21" s="539"/>
      <c r="J21" s="539"/>
      <c r="K21" s="537"/>
      <c r="L21" s="538"/>
      <c r="M21" s="538"/>
      <c r="N21" s="537"/>
      <c r="O21" s="537"/>
      <c r="P21" s="537"/>
      <c r="Q21" s="537"/>
      <c r="R21" s="537"/>
      <c r="S21" s="537"/>
      <c r="T21" s="537"/>
    </row>
    <row r="22" spans="1:20" ht="15" customHeight="1">
      <c r="A22" s="756"/>
      <c r="B22" s="1245"/>
      <c r="C22" s="1247"/>
      <c r="D22" s="1096"/>
      <c r="E22" s="540"/>
      <c r="F22" s="539"/>
      <c r="G22" s="539"/>
      <c r="H22" s="539"/>
      <c r="I22" s="539"/>
      <c r="J22" s="539"/>
      <c r="K22" s="549"/>
      <c r="L22" s="538"/>
      <c r="M22" s="538"/>
      <c r="N22" s="537"/>
      <c r="O22" s="537"/>
      <c r="P22" s="537"/>
      <c r="Q22" s="537"/>
      <c r="R22" s="537"/>
      <c r="S22" s="537"/>
      <c r="T22" s="537"/>
    </row>
    <row r="23" spans="1:20" ht="15" customHeight="1">
      <c r="A23" s="756"/>
      <c r="B23" s="1245"/>
      <c r="C23" s="1247"/>
      <c r="D23" s="1078" t="s">
        <v>979</v>
      </c>
      <c r="E23" s="545"/>
      <c r="F23" s="544"/>
      <c r="G23" s="544"/>
      <c r="H23" s="544"/>
      <c r="I23" s="544"/>
      <c r="J23" s="544"/>
      <c r="K23" s="542"/>
      <c r="L23" s="542"/>
      <c r="M23" s="542"/>
      <c r="N23" s="542"/>
      <c r="O23" s="542"/>
      <c r="P23" s="542"/>
      <c r="Q23" s="542"/>
      <c r="R23" s="542"/>
      <c r="S23" s="542"/>
      <c r="T23" s="542"/>
    </row>
    <row r="24" spans="1:20" ht="15" customHeight="1">
      <c r="A24" s="756"/>
      <c r="B24" s="1245"/>
      <c r="C24" s="1247"/>
      <c r="D24" s="1079"/>
      <c r="E24" s="540"/>
      <c r="F24" s="546"/>
      <c r="G24" s="539"/>
      <c r="H24" s="539"/>
      <c r="I24" s="546"/>
      <c r="J24" s="539"/>
      <c r="K24" s="541"/>
      <c r="L24" s="538"/>
      <c r="M24" s="538"/>
      <c r="N24" s="537"/>
      <c r="O24" s="537"/>
      <c r="P24" s="537"/>
      <c r="Q24" s="537"/>
      <c r="R24" s="537"/>
      <c r="S24" s="537"/>
      <c r="T24" s="537"/>
    </row>
    <row r="25" spans="1:20" ht="15" customHeight="1">
      <c r="A25" s="756"/>
      <c r="B25" s="1245"/>
      <c r="C25" s="1247"/>
      <c r="D25" s="1079"/>
      <c r="E25" s="540"/>
      <c r="F25" s="546">
        <v>0.28499999999999998</v>
      </c>
      <c r="G25" s="756"/>
      <c r="H25" s="566"/>
      <c r="I25" s="546">
        <v>0.28499999999999998</v>
      </c>
      <c r="J25" s="539"/>
      <c r="K25" s="761" t="str">
        <f>O12</f>
        <v>1/4"</v>
      </c>
      <c r="L25" s="538">
        <v>1</v>
      </c>
      <c r="M25" s="538">
        <v>4</v>
      </c>
      <c r="N25" s="537">
        <f>+G26+I25+F25</f>
        <v>2.4700000000000002</v>
      </c>
      <c r="O25" s="537">
        <f t="shared" ref="O25:T25" si="2">IF(+$K25=O$12,+$L25*$M25*$N25,0)</f>
        <v>9.8800000000000008</v>
      </c>
      <c r="P25" s="537">
        <f t="shared" si="2"/>
        <v>0</v>
      </c>
      <c r="Q25" s="537">
        <f t="shared" si="2"/>
        <v>0</v>
      </c>
      <c r="R25" s="537">
        <f t="shared" si="2"/>
        <v>0</v>
      </c>
      <c r="S25" s="537">
        <f t="shared" si="2"/>
        <v>0</v>
      </c>
      <c r="T25" s="537">
        <f t="shared" si="2"/>
        <v>0</v>
      </c>
    </row>
    <row r="26" spans="1:20" ht="15" customHeight="1">
      <c r="A26" s="756"/>
      <c r="B26" s="1245"/>
      <c r="C26" s="1247"/>
      <c r="D26" s="1079"/>
      <c r="E26" s="540"/>
      <c r="F26" s="539"/>
      <c r="G26" s="1093">
        <v>1.9</v>
      </c>
      <c r="H26" s="1093"/>
      <c r="I26" s="539"/>
      <c r="J26" s="539"/>
      <c r="K26" s="537"/>
      <c r="L26" s="538"/>
      <c r="M26" s="538"/>
      <c r="N26" s="537"/>
      <c r="O26" s="537"/>
      <c r="P26" s="537"/>
      <c r="Q26" s="537"/>
      <c r="R26" s="537"/>
      <c r="S26" s="537"/>
      <c r="T26" s="537"/>
    </row>
    <row r="27" spans="1:20" ht="15" customHeight="1">
      <c r="A27" s="756"/>
      <c r="B27" s="1245"/>
      <c r="C27" s="1247"/>
      <c r="D27" s="1080"/>
      <c r="E27" s="551"/>
      <c r="F27" s="550"/>
      <c r="G27" s="569"/>
      <c r="H27" s="569"/>
      <c r="I27" s="550"/>
      <c r="J27" s="550"/>
      <c r="K27" s="549"/>
      <c r="L27" s="548"/>
      <c r="M27" s="548"/>
      <c r="N27" s="547"/>
      <c r="O27" s="547"/>
      <c r="P27" s="537"/>
      <c r="Q27" s="537"/>
      <c r="R27" s="537"/>
      <c r="S27" s="537"/>
      <c r="T27" s="537"/>
    </row>
    <row r="28" spans="1:20" ht="15" customHeight="1">
      <c r="A28" s="756"/>
      <c r="B28" s="1245"/>
      <c r="C28" s="1247"/>
      <c r="D28" s="1078" t="s">
        <v>978</v>
      </c>
      <c r="E28" s="545"/>
      <c r="F28" s="544"/>
      <c r="G28" s="544">
        <v>0.15</v>
      </c>
      <c r="H28" s="544"/>
      <c r="I28" s="544"/>
      <c r="J28" s="544"/>
      <c r="K28" s="542"/>
      <c r="L28" s="542"/>
      <c r="M28" s="542"/>
      <c r="N28" s="542"/>
      <c r="O28" s="542"/>
      <c r="P28" s="542"/>
      <c r="Q28" s="542"/>
      <c r="R28" s="542"/>
      <c r="S28" s="542"/>
      <c r="T28" s="542"/>
    </row>
    <row r="29" spans="1:20" ht="15" customHeight="1">
      <c r="A29" s="756"/>
      <c r="B29" s="1245"/>
      <c r="C29" s="1247"/>
      <c r="D29" s="1079"/>
      <c r="E29" s="540"/>
      <c r="F29" s="546"/>
      <c r="G29" s="539"/>
      <c r="H29" s="539"/>
      <c r="I29" s="546"/>
      <c r="J29" s="539"/>
      <c r="K29" s="541"/>
      <c r="L29" s="538"/>
      <c r="M29" s="538"/>
      <c r="N29" s="537"/>
      <c r="O29" s="537"/>
      <c r="P29" s="537"/>
      <c r="Q29" s="537"/>
      <c r="R29" s="537"/>
      <c r="S29" s="537"/>
      <c r="T29" s="537"/>
    </row>
    <row r="30" spans="1:20" ht="15" customHeight="1">
      <c r="A30" s="756"/>
      <c r="B30" s="1245"/>
      <c r="C30" s="1247"/>
      <c r="D30" s="1079"/>
      <c r="E30" s="540"/>
      <c r="F30" s="756"/>
      <c r="H30" s="546">
        <v>0.52500000000000002</v>
      </c>
      <c r="I30" s="546"/>
      <c r="J30" s="539"/>
      <c r="K30" s="761" t="str">
        <f>O12</f>
        <v>1/4"</v>
      </c>
      <c r="L30" s="538">
        <v>2</v>
      </c>
      <c r="M30" s="538">
        <v>2</v>
      </c>
      <c r="N30" s="537">
        <f>G32+H30+G28</f>
        <v>0.82500000000000007</v>
      </c>
      <c r="O30" s="537">
        <f t="shared" ref="O30:T30" si="3">IF(+$K30=O$12,+$L30*$M30*$N30,0)</f>
        <v>3.3000000000000003</v>
      </c>
      <c r="P30" s="537">
        <f t="shared" si="3"/>
        <v>0</v>
      </c>
      <c r="Q30" s="537">
        <f t="shared" si="3"/>
        <v>0</v>
      </c>
      <c r="R30" s="537">
        <f t="shared" si="3"/>
        <v>0</v>
      </c>
      <c r="S30" s="537">
        <f t="shared" si="3"/>
        <v>0</v>
      </c>
      <c r="T30" s="537">
        <f t="shared" si="3"/>
        <v>0</v>
      </c>
    </row>
    <row r="31" spans="1:20" ht="15" customHeight="1">
      <c r="A31" s="756"/>
      <c r="B31" s="1245"/>
      <c r="C31" s="1247"/>
      <c r="D31" s="1079"/>
      <c r="E31" s="540"/>
      <c r="F31" s="539"/>
      <c r="G31" s="546"/>
      <c r="H31" s="546"/>
      <c r="I31" s="539"/>
      <c r="J31" s="539"/>
      <c r="K31" s="537"/>
      <c r="L31" s="538"/>
      <c r="M31" s="538"/>
      <c r="N31" s="537"/>
      <c r="O31" s="537"/>
      <c r="P31" s="537"/>
      <c r="Q31" s="537"/>
      <c r="R31" s="537"/>
      <c r="S31" s="537"/>
      <c r="T31" s="537"/>
    </row>
    <row r="32" spans="1:20" ht="15" customHeight="1">
      <c r="A32" s="756"/>
      <c r="B32" s="1245"/>
      <c r="C32" s="1247"/>
      <c r="D32" s="1080"/>
      <c r="E32" s="551"/>
      <c r="F32" s="550"/>
      <c r="G32" s="569">
        <v>0.15</v>
      </c>
      <c r="H32" s="569"/>
      <c r="I32" s="550"/>
      <c r="J32" s="550"/>
      <c r="K32" s="549"/>
      <c r="L32" s="548"/>
      <c r="M32" s="548"/>
      <c r="N32" s="547"/>
      <c r="O32" s="547"/>
      <c r="P32" s="537"/>
      <c r="Q32" s="537"/>
      <c r="R32" s="537"/>
      <c r="S32" s="537"/>
      <c r="T32" s="537"/>
    </row>
    <row r="33" spans="1:20" ht="15" customHeight="1">
      <c r="A33" s="756"/>
      <c r="B33" s="1245"/>
      <c r="C33" s="1247"/>
      <c r="D33" s="1078" t="s">
        <v>977</v>
      </c>
      <c r="E33" s="545"/>
      <c r="F33" s="544"/>
      <c r="G33" s="544"/>
      <c r="H33" s="544"/>
      <c r="I33" s="544"/>
      <c r="J33" s="544"/>
      <c r="K33" s="542"/>
      <c r="L33" s="542"/>
      <c r="M33" s="542"/>
      <c r="N33" s="542"/>
      <c r="O33" s="542"/>
      <c r="P33" s="542"/>
      <c r="Q33" s="542"/>
      <c r="R33" s="542"/>
      <c r="S33" s="542"/>
      <c r="T33" s="542"/>
    </row>
    <row r="34" spans="1:20" ht="15" customHeight="1">
      <c r="A34" s="756"/>
      <c r="B34" s="1245"/>
      <c r="C34" s="1247"/>
      <c r="D34" s="1079"/>
      <c r="E34" s="540"/>
      <c r="F34" s="546"/>
      <c r="G34" s="539"/>
      <c r="H34" s="539"/>
      <c r="I34" s="546"/>
      <c r="J34" s="539"/>
      <c r="K34" s="541"/>
      <c r="L34" s="538"/>
      <c r="M34" s="538"/>
      <c r="N34" s="537"/>
      <c r="O34" s="537"/>
      <c r="P34" s="537"/>
      <c r="Q34" s="537"/>
      <c r="R34" s="537"/>
      <c r="S34" s="537"/>
      <c r="T34" s="537"/>
    </row>
    <row r="35" spans="1:20" ht="15" customHeight="1">
      <c r="A35" s="756"/>
      <c r="B35" s="1245"/>
      <c r="C35" s="1247"/>
      <c r="D35" s="1079"/>
      <c r="E35" s="540"/>
      <c r="F35" s="546">
        <v>0.15</v>
      </c>
      <c r="G35" s="756"/>
      <c r="H35" s="566"/>
      <c r="I35" s="546">
        <v>0.15</v>
      </c>
      <c r="J35" s="539"/>
      <c r="K35" s="761" t="str">
        <f>O12</f>
        <v>1/4"</v>
      </c>
      <c r="L35" s="538">
        <v>1</v>
      </c>
      <c r="M35" s="538">
        <v>2</v>
      </c>
      <c r="N35" s="537">
        <f>+F35+I35+G36</f>
        <v>2.1999999999999997</v>
      </c>
      <c r="O35" s="537">
        <f t="shared" ref="O35:T35" si="4">IF(+$K35=O$12,+$L35*$M35*$N35,0)</f>
        <v>4.3999999999999995</v>
      </c>
      <c r="P35" s="537">
        <f t="shared" si="4"/>
        <v>0</v>
      </c>
      <c r="Q35" s="537">
        <f t="shared" si="4"/>
        <v>0</v>
      </c>
      <c r="R35" s="537">
        <f t="shared" si="4"/>
        <v>0</v>
      </c>
      <c r="S35" s="537">
        <f t="shared" si="4"/>
        <v>0</v>
      </c>
      <c r="T35" s="537">
        <f t="shared" si="4"/>
        <v>0</v>
      </c>
    </row>
    <row r="36" spans="1:20" ht="15" customHeight="1">
      <c r="A36" s="756"/>
      <c r="B36" s="1245"/>
      <c r="C36" s="1247"/>
      <c r="D36" s="1079"/>
      <c r="E36" s="540"/>
      <c r="F36" s="539"/>
      <c r="G36" s="1093">
        <v>1.9</v>
      </c>
      <c r="H36" s="1093"/>
      <c r="I36" s="539"/>
      <c r="J36" s="539"/>
      <c r="K36" s="537"/>
      <c r="L36" s="538"/>
      <c r="M36" s="538"/>
      <c r="N36" s="537"/>
      <c r="O36" s="537"/>
      <c r="P36" s="537"/>
      <c r="Q36" s="537"/>
      <c r="R36" s="537"/>
      <c r="S36" s="537"/>
      <c r="T36" s="537"/>
    </row>
    <row r="37" spans="1:20">
      <c r="A37" s="756"/>
      <c r="B37" s="1246"/>
      <c r="C37" s="1248"/>
      <c r="D37" s="1080"/>
      <c r="E37" s="551"/>
      <c r="F37" s="550"/>
      <c r="G37" s="569"/>
      <c r="H37" s="569"/>
      <c r="I37" s="550"/>
      <c r="J37" s="550"/>
      <c r="K37" s="549"/>
      <c r="L37" s="548"/>
      <c r="M37" s="548"/>
      <c r="N37" s="547"/>
      <c r="O37" s="547"/>
      <c r="P37" s="547"/>
      <c r="Q37" s="547"/>
      <c r="R37" s="547"/>
      <c r="S37" s="547"/>
      <c r="T37" s="547"/>
    </row>
    <row r="38" spans="1:20" ht="15" customHeight="1">
      <c r="B38" s="527"/>
      <c r="C38" s="527"/>
      <c r="D38" s="527"/>
      <c r="E38" s="526"/>
      <c r="F38" s="529"/>
      <c r="G38" s="529"/>
      <c r="H38" s="529"/>
      <c r="I38" s="529"/>
      <c r="J38" s="529"/>
      <c r="K38" s="1072" t="s">
        <v>691</v>
      </c>
      <c r="L38" s="1073"/>
      <c r="M38" s="1073"/>
      <c r="N38" s="1074"/>
      <c r="O38" s="531">
        <f t="shared" ref="O38:T38" si="5">SUM(O13:O37)</f>
        <v>38.294999999999995</v>
      </c>
      <c r="P38" s="531">
        <f t="shared" si="5"/>
        <v>0</v>
      </c>
      <c r="Q38" s="531">
        <f t="shared" si="5"/>
        <v>0</v>
      </c>
      <c r="R38" s="531">
        <f t="shared" si="5"/>
        <v>0</v>
      </c>
      <c r="S38" s="531">
        <f t="shared" si="5"/>
        <v>0</v>
      </c>
      <c r="T38" s="531">
        <f t="shared" si="5"/>
        <v>0</v>
      </c>
    </row>
    <row r="39" spans="1:20" ht="15" customHeight="1">
      <c r="B39" s="527"/>
      <c r="C39" s="527"/>
      <c r="D39" s="527"/>
      <c r="E39" s="526"/>
      <c r="F39" s="529"/>
      <c r="G39" s="529"/>
      <c r="H39" s="529"/>
      <c r="I39" s="529"/>
      <c r="J39" s="529"/>
      <c r="K39" s="1075" t="s">
        <v>690</v>
      </c>
      <c r="L39" s="1076"/>
      <c r="M39" s="1076"/>
      <c r="N39" s="1077"/>
      <c r="O39" s="530">
        <v>0.222</v>
      </c>
      <c r="P39" s="530">
        <v>0.56000000000000005</v>
      </c>
      <c r="Q39" s="530">
        <v>0.99399999999999999</v>
      </c>
      <c r="R39" s="530">
        <v>1.552</v>
      </c>
      <c r="S39" s="530">
        <v>2.2349999999999999</v>
      </c>
      <c r="T39" s="530">
        <v>3.9729999999999999</v>
      </c>
    </row>
    <row r="40" spans="1:20" ht="15" customHeight="1">
      <c r="B40" s="527"/>
      <c r="C40" s="527"/>
      <c r="D40" s="527"/>
      <c r="E40" s="526"/>
      <c r="F40" s="529"/>
      <c r="G40" s="529"/>
      <c r="H40" s="529"/>
      <c r="I40" s="529"/>
      <c r="J40" s="529"/>
      <c r="K40" s="1075" t="s">
        <v>689</v>
      </c>
      <c r="L40" s="1076"/>
      <c r="M40" s="1076"/>
      <c r="N40" s="1077"/>
      <c r="O40" s="528">
        <f>+O38*O39</f>
        <v>8.5014899999999987</v>
      </c>
      <c r="P40" s="528">
        <f>+P38*P39</f>
        <v>0</v>
      </c>
      <c r="Q40" s="528">
        <f>+Q38*Q39</f>
        <v>0</v>
      </c>
      <c r="R40" s="528">
        <f>+R38*R39</f>
        <v>0</v>
      </c>
      <c r="S40" s="528">
        <f>+S39*S38</f>
        <v>0</v>
      </c>
      <c r="T40" s="528">
        <f>+T39*T38</f>
        <v>0</v>
      </c>
    </row>
    <row r="41" spans="1:20" ht="15" customHeight="1">
      <c r="B41" s="527"/>
      <c r="C41" s="527"/>
      <c r="D41" s="527"/>
      <c r="E41" s="526"/>
      <c r="F41" s="526"/>
      <c r="G41" s="526"/>
      <c r="H41" s="526"/>
      <c r="I41" s="526"/>
      <c r="J41" s="526"/>
      <c r="K41" s="1223" t="s">
        <v>688</v>
      </c>
      <c r="L41" s="1223"/>
      <c r="M41" s="1223"/>
      <c r="N41" s="1223"/>
      <c r="O41" s="1221">
        <f>SUM(O40:T40)</f>
        <v>8.5014899999999987</v>
      </c>
      <c r="P41" s="1221"/>
      <c r="Q41" s="1221"/>
      <c r="R41" s="1221"/>
      <c r="S41" s="1221"/>
      <c r="T41" s="1221"/>
    </row>
    <row r="42" spans="1:20" ht="15" customHeight="1">
      <c r="B42" s="527"/>
      <c r="C42" s="527"/>
      <c r="D42" s="527"/>
      <c r="E42" s="527"/>
      <c r="F42" s="527"/>
      <c r="G42" s="527"/>
      <c r="H42" s="527"/>
      <c r="I42" s="527"/>
      <c r="J42" s="527"/>
      <c r="K42" s="527"/>
      <c r="L42" s="527"/>
      <c r="M42" s="527"/>
      <c r="N42" s="527"/>
      <c r="O42" s="527"/>
      <c r="P42" s="527"/>
      <c r="Q42" s="527"/>
      <c r="R42" s="527"/>
      <c r="S42" s="527"/>
      <c r="T42" s="527"/>
    </row>
  </sheetData>
  <mergeCells count="25">
    <mergeCell ref="K41:N41"/>
    <mergeCell ref="O41:T41"/>
    <mergeCell ref="G26:H26"/>
    <mergeCell ref="K38:N38"/>
    <mergeCell ref="D33:D37"/>
    <mergeCell ref="D28:D32"/>
    <mergeCell ref="G36:H36"/>
    <mergeCell ref="K39:N39"/>
    <mergeCell ref="K40:N40"/>
    <mergeCell ref="D23:D27"/>
    <mergeCell ref="B2:T3"/>
    <mergeCell ref="B5:T5"/>
    <mergeCell ref="B7:T7"/>
    <mergeCell ref="B11:D12"/>
    <mergeCell ref="E11:J12"/>
    <mergeCell ref="K11:K12"/>
    <mergeCell ref="M11:M12"/>
    <mergeCell ref="N11:N12"/>
    <mergeCell ref="O11:T11"/>
    <mergeCell ref="B13:B37"/>
    <mergeCell ref="C13:C37"/>
    <mergeCell ref="D13:D17"/>
    <mergeCell ref="D18:D22"/>
    <mergeCell ref="L11:L12"/>
    <mergeCell ref="G21:H21"/>
  </mergeCells>
  <pageMargins left="0.7" right="0.7" top="0.75" bottom="0.75" header="0.3" footer="0.3"/>
  <pageSetup paperSize="9" scale="75" fitToHeight="0" orientation="landscape" r:id="rId1"/>
  <headerFooter>
    <oddFooter>Página &amp;P&amp;R&amp;A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8D2E-06E1-4DAA-93D2-22E9AE43AE55}">
  <sheetPr codeName="Hoja22">
    <tabColor rgb="FFFF0000"/>
    <pageSetUpPr fitToPage="1"/>
  </sheetPr>
  <dimension ref="A1:J235"/>
  <sheetViews>
    <sheetView showGridLines="0" view="pageBreakPreview" zoomScale="70" zoomScaleNormal="85" zoomScaleSheetLayoutView="70" zoomScalePageLayoutView="70" workbookViewId="0">
      <selection activeCell="A4" sqref="A4:I4"/>
    </sheetView>
  </sheetViews>
  <sheetFormatPr baseColWidth="10" defaultColWidth="14.6640625" defaultRowHeight="15" customHeight="1"/>
  <cols>
    <col min="1" max="1" width="19.83203125" style="702" customWidth="1"/>
    <col min="2" max="2" width="93.1640625" style="702" customWidth="1"/>
    <col min="3" max="3" width="10.33203125" style="707" customWidth="1"/>
    <col min="4" max="4" width="10.33203125" style="706" customWidth="1"/>
    <col min="5" max="7" width="10.33203125" style="705" customWidth="1"/>
    <col min="8" max="8" width="11.5" style="704" customWidth="1"/>
    <col min="9" max="9" width="12.5" style="703" customWidth="1"/>
    <col min="10" max="16384" width="14.6640625" style="702"/>
  </cols>
  <sheetData>
    <row r="1" spans="1:9" s="725" customFormat="1" ht="15" customHeight="1">
      <c r="A1" s="1203"/>
      <c r="B1" s="1203"/>
      <c r="C1" s="1203"/>
      <c r="D1" s="1203"/>
      <c r="E1" s="1203"/>
      <c r="F1" s="1203"/>
      <c r="G1" s="1203"/>
      <c r="H1" s="1203"/>
      <c r="I1" s="1203"/>
    </row>
    <row r="2" spans="1:9" s="725" customFormat="1" ht="18" customHeight="1">
      <c r="A2" s="1204" t="s">
        <v>786</v>
      </c>
      <c r="B2" s="1205"/>
      <c r="C2" s="1205"/>
      <c r="D2" s="1205"/>
      <c r="E2" s="1205"/>
      <c r="F2" s="1205"/>
      <c r="G2" s="1205"/>
      <c r="H2" s="1205"/>
      <c r="I2" s="1206"/>
    </row>
    <row r="3" spans="1:9" s="725" customFormat="1" ht="48" customHeight="1">
      <c r="A3" s="1261" t="s">
        <v>1086</v>
      </c>
      <c r="B3" s="1023"/>
      <c r="C3" s="1023"/>
      <c r="D3" s="1023"/>
      <c r="E3" s="1023"/>
      <c r="F3" s="1023"/>
      <c r="G3" s="1023"/>
      <c r="H3" s="1023"/>
      <c r="I3" s="1262"/>
    </row>
    <row r="4" spans="1:9" s="725" customFormat="1" ht="19.5" customHeight="1" thickBot="1">
      <c r="A4" s="1207" t="s">
        <v>1031</v>
      </c>
      <c r="B4" s="1208"/>
      <c r="C4" s="1208"/>
      <c r="D4" s="1208"/>
      <c r="E4" s="1208"/>
      <c r="F4" s="1208"/>
      <c r="G4" s="1208"/>
      <c r="H4" s="1208"/>
      <c r="I4" s="1209"/>
    </row>
    <row r="5" spans="1:9" s="725" customFormat="1" ht="15" customHeight="1">
      <c r="A5" s="797"/>
      <c r="B5" s="43"/>
      <c r="C5" s="43"/>
      <c r="D5" s="45"/>
      <c r="E5" s="43"/>
      <c r="F5" s="43"/>
      <c r="G5" s="43"/>
      <c r="H5" s="755"/>
      <c r="I5" s="46"/>
    </row>
    <row r="6" spans="1:9" s="725" customFormat="1" ht="15" customHeight="1">
      <c r="A6" s="797"/>
      <c r="B6" s="1210"/>
      <c r="C6" s="1211"/>
      <c r="D6" s="1211"/>
      <c r="E6" s="1211"/>
      <c r="F6" s="1211"/>
      <c r="G6" s="1211"/>
      <c r="H6" s="1212"/>
      <c r="I6" s="46"/>
    </row>
    <row r="7" spans="1:9" s="725" customFormat="1" ht="15" customHeight="1">
      <c r="A7" s="797"/>
      <c r="B7" s="1213"/>
      <c r="C7" s="1214"/>
      <c r="D7" s="1214"/>
      <c r="E7" s="1214"/>
      <c r="F7" s="1214"/>
      <c r="G7" s="1214"/>
      <c r="H7" s="1215"/>
      <c r="I7" s="46"/>
    </row>
    <row r="8" spans="1:9" s="725" customFormat="1" ht="15" customHeight="1">
      <c r="A8" s="797"/>
      <c r="B8" s="1213"/>
      <c r="C8" s="1214"/>
      <c r="D8" s="1214"/>
      <c r="E8" s="1214"/>
      <c r="F8" s="1214"/>
      <c r="G8" s="1214"/>
      <c r="H8" s="1215"/>
      <c r="I8" s="46"/>
    </row>
    <row r="9" spans="1:9" s="725" customFormat="1" ht="15" customHeight="1">
      <c r="A9" s="797"/>
      <c r="B9" s="1213"/>
      <c r="C9" s="1214"/>
      <c r="D9" s="1214"/>
      <c r="E9" s="1214"/>
      <c r="F9" s="1214"/>
      <c r="G9" s="1214"/>
      <c r="H9" s="1215"/>
      <c r="I9" s="46"/>
    </row>
    <row r="10" spans="1:9" s="725" customFormat="1" ht="15" customHeight="1">
      <c r="A10" s="797"/>
      <c r="B10" s="1213"/>
      <c r="C10" s="1214"/>
      <c r="D10" s="1214"/>
      <c r="E10" s="1214"/>
      <c r="F10" s="1214"/>
      <c r="G10" s="1214"/>
      <c r="H10" s="1215"/>
      <c r="I10" s="46"/>
    </row>
    <row r="11" spans="1:9" s="725" customFormat="1" ht="15" customHeight="1">
      <c r="A11" s="797"/>
      <c r="B11" s="1213"/>
      <c r="C11" s="1214"/>
      <c r="D11" s="1214"/>
      <c r="E11" s="1214"/>
      <c r="F11" s="1214"/>
      <c r="G11" s="1214"/>
      <c r="H11" s="1215"/>
      <c r="I11" s="46"/>
    </row>
    <row r="12" spans="1:9" s="725" customFormat="1" ht="15" customHeight="1">
      <c r="A12" s="797"/>
      <c r="B12" s="1213"/>
      <c r="C12" s="1214"/>
      <c r="D12" s="1214"/>
      <c r="E12" s="1214"/>
      <c r="F12" s="1214"/>
      <c r="G12" s="1214"/>
      <c r="H12" s="1215"/>
      <c r="I12" s="46"/>
    </row>
    <row r="13" spans="1:9" s="725" customFormat="1" ht="15" customHeight="1">
      <c r="A13" s="797"/>
      <c r="B13" s="1213"/>
      <c r="C13" s="1214"/>
      <c r="D13" s="1214"/>
      <c r="E13" s="1214"/>
      <c r="F13" s="1214"/>
      <c r="G13" s="1214"/>
      <c r="H13" s="1215"/>
      <c r="I13" s="46"/>
    </row>
    <row r="14" spans="1:9" s="725" customFormat="1" ht="15" customHeight="1">
      <c r="A14" s="797"/>
      <c r="B14" s="1213"/>
      <c r="C14" s="1214"/>
      <c r="D14" s="1214"/>
      <c r="E14" s="1214"/>
      <c r="F14" s="1214"/>
      <c r="G14" s="1214"/>
      <c r="H14" s="1215"/>
      <c r="I14" s="46"/>
    </row>
    <row r="15" spans="1:9" s="725" customFormat="1" ht="15" customHeight="1">
      <c r="A15" s="797"/>
      <c r="B15" s="1213"/>
      <c r="C15" s="1214"/>
      <c r="D15" s="1214"/>
      <c r="E15" s="1214"/>
      <c r="F15" s="1214"/>
      <c r="G15" s="1214"/>
      <c r="H15" s="1215"/>
      <c r="I15" s="46"/>
    </row>
    <row r="16" spans="1:9" s="725" customFormat="1" ht="15" customHeight="1">
      <c r="A16" s="797"/>
      <c r="B16" s="1213"/>
      <c r="C16" s="1214"/>
      <c r="D16" s="1214"/>
      <c r="E16" s="1214"/>
      <c r="F16" s="1214"/>
      <c r="G16" s="1214"/>
      <c r="H16" s="1215"/>
      <c r="I16" s="46"/>
    </row>
    <row r="17" spans="1:10" s="725" customFormat="1" ht="15" customHeight="1">
      <c r="A17" s="797"/>
      <c r="B17" s="1216"/>
      <c r="C17" s="1217"/>
      <c r="D17" s="1217"/>
      <c r="E17" s="1217"/>
      <c r="F17" s="1217"/>
      <c r="G17" s="1217"/>
      <c r="H17" s="1218"/>
      <c r="I17" s="46"/>
    </row>
    <row r="18" spans="1:10" s="725" customFormat="1" ht="15" customHeight="1">
      <c r="A18" s="796"/>
      <c r="B18" s="751"/>
      <c r="C18" s="751"/>
      <c r="D18" s="752"/>
      <c r="E18" s="751"/>
      <c r="F18" s="751"/>
      <c r="G18" s="751"/>
      <c r="H18" s="750"/>
      <c r="I18" s="749"/>
    </row>
    <row r="19" spans="1:10" ht="15" customHeight="1" thickBot="1">
      <c r="A19" s="795" t="s">
        <v>1</v>
      </c>
      <c r="B19" s="218" t="s">
        <v>2</v>
      </c>
      <c r="C19" s="218" t="s">
        <v>325</v>
      </c>
      <c r="D19" s="218" t="s">
        <v>3</v>
      </c>
      <c r="E19" s="218" t="s">
        <v>324</v>
      </c>
      <c r="F19" s="218" t="s">
        <v>5</v>
      </c>
      <c r="G19" s="218" t="s">
        <v>6</v>
      </c>
      <c r="H19" s="218" t="s">
        <v>7</v>
      </c>
      <c r="I19" s="218" t="s">
        <v>8</v>
      </c>
      <c r="J19" s="747"/>
    </row>
    <row r="20" spans="1:10" ht="15" customHeight="1" thickTop="1">
      <c r="A20" s="793" t="str">
        <f>+"01.16"</f>
        <v>01.16</v>
      </c>
      <c r="B20" s="794" t="str">
        <f>+"LAVADERO MULTIUSO PARA I.E.PRIMARIA ("&amp;+D20&amp;" Und.)"</f>
        <v>LAVADERO MULTIUSO PARA I.E.PRIMARIA (1 Und.)</v>
      </c>
      <c r="C20" s="745"/>
      <c r="D20" s="744">
        <v>1</v>
      </c>
      <c r="E20" s="743"/>
      <c r="F20" s="743"/>
      <c r="G20" s="743"/>
      <c r="H20" s="743"/>
      <c r="I20" s="742"/>
    </row>
    <row r="21" spans="1:10" ht="15" hidden="1" customHeight="1">
      <c r="A21" s="793"/>
      <c r="B21" s="496" t="s">
        <v>107</v>
      </c>
      <c r="C21" s="288"/>
      <c r="D21" s="691"/>
      <c r="E21" s="740"/>
      <c r="F21" s="740"/>
      <c r="G21" s="740"/>
      <c r="H21" s="740"/>
      <c r="I21" s="739"/>
    </row>
    <row r="22" spans="1:10" ht="15" customHeight="1">
      <c r="A22" s="786" t="str">
        <f>A$20 &amp; ".01"</f>
        <v>01.16.01</v>
      </c>
      <c r="B22" s="720" t="s">
        <v>107</v>
      </c>
      <c r="C22" s="260"/>
      <c r="D22" s="717">
        <f>+$D$20</f>
        <v>1</v>
      </c>
      <c r="E22" s="247"/>
      <c r="F22" s="247"/>
      <c r="G22" s="247"/>
      <c r="H22" s="247"/>
      <c r="I22" s="245"/>
    </row>
    <row r="23" spans="1:10" ht="15" customHeight="1">
      <c r="A23" s="785" t="str">
        <f>$A$22 &amp; ".01"</f>
        <v>01.16.01.01</v>
      </c>
      <c r="B23" s="790" t="s">
        <v>322</v>
      </c>
      <c r="C23" s="20" t="s">
        <v>55</v>
      </c>
      <c r="D23" s="260"/>
      <c r="E23" s="247"/>
      <c r="F23" s="247"/>
      <c r="G23" s="247"/>
      <c r="H23" s="245">
        <f>SUM(H24:H28)</f>
        <v>8.2000000000000011</v>
      </c>
      <c r="I23" s="245">
        <f>H23*$D$22</f>
        <v>8.2000000000000011</v>
      </c>
    </row>
    <row r="24" spans="1:10" ht="15" customHeight="1">
      <c r="A24" s="785"/>
      <c r="B24" s="719" t="s">
        <v>1029</v>
      </c>
      <c r="C24" s="260"/>
      <c r="D24" s="260">
        <v>1</v>
      </c>
      <c r="E24" s="247">
        <v>3</v>
      </c>
      <c r="F24" s="247">
        <v>0.5</v>
      </c>
      <c r="G24" s="247"/>
      <c r="H24" s="448">
        <f>+ROUND(PRODUCT(D24:G24),2)</f>
        <v>1.5</v>
      </c>
      <c r="I24" s="245"/>
    </row>
    <row r="25" spans="1:10" ht="15" customHeight="1">
      <c r="A25" s="785"/>
      <c r="B25" s="719" t="s">
        <v>904</v>
      </c>
      <c r="C25" s="260"/>
      <c r="D25" s="260">
        <v>1</v>
      </c>
      <c r="E25" s="247">
        <f>E24</f>
        <v>3</v>
      </c>
      <c r="F25" s="247">
        <f>F24</f>
        <v>0.5</v>
      </c>
      <c r="G25" s="247"/>
      <c r="H25" s="448">
        <f>+ROUND(PRODUCT(D25:G25),2)</f>
        <v>1.5</v>
      </c>
      <c r="I25" s="245"/>
    </row>
    <row r="26" spans="1:10" ht="15" customHeight="1">
      <c r="A26" s="782"/>
      <c r="B26" s="719" t="s">
        <v>908</v>
      </c>
      <c r="C26" s="260"/>
      <c r="D26" s="260">
        <v>1</v>
      </c>
      <c r="E26" s="247">
        <v>2.6</v>
      </c>
      <c r="F26" s="247">
        <v>1.25</v>
      </c>
      <c r="G26" s="247"/>
      <c r="H26" s="448">
        <f>+ROUND(PRODUCT(D26:G26),2)</f>
        <v>3.25</v>
      </c>
      <c r="I26" s="245"/>
    </row>
    <row r="27" spans="1:10" ht="15" customHeight="1">
      <c r="A27" s="782"/>
      <c r="B27" s="719" t="s">
        <v>975</v>
      </c>
      <c r="C27" s="260"/>
      <c r="D27" s="260">
        <v>1</v>
      </c>
      <c r="E27" s="247">
        <v>2.6</v>
      </c>
      <c r="F27" s="247">
        <v>0.6</v>
      </c>
      <c r="G27" s="247"/>
      <c r="H27" s="448">
        <f>+ROUND(PRODUCT(D27:G27),2)</f>
        <v>1.56</v>
      </c>
      <c r="I27" s="245"/>
    </row>
    <row r="28" spans="1:10" ht="15" customHeight="1">
      <c r="A28" s="782"/>
      <c r="B28" s="719" t="s">
        <v>1030</v>
      </c>
      <c r="C28" s="260"/>
      <c r="D28" s="260">
        <v>2</v>
      </c>
      <c r="E28" s="247">
        <v>0.65</v>
      </c>
      <c r="F28" s="247">
        <v>0.3</v>
      </c>
      <c r="G28" s="247"/>
      <c r="H28" s="448">
        <f>+ROUND(PRODUCT(D28:G28),2)</f>
        <v>0.39</v>
      </c>
      <c r="I28" s="245"/>
    </row>
    <row r="29" spans="1:10" ht="15" customHeight="1">
      <c r="A29" s="782"/>
      <c r="B29" s="273"/>
      <c r="C29" s="260"/>
      <c r="D29" s="260"/>
      <c r="E29" s="247"/>
      <c r="F29" s="247"/>
      <c r="G29" s="247"/>
      <c r="H29" s="448"/>
      <c r="I29" s="245"/>
    </row>
    <row r="30" spans="1:10" ht="15" customHeight="1">
      <c r="A30" s="785" t="str">
        <f>$A$22 &amp; ".02"</f>
        <v>01.16.01.02</v>
      </c>
      <c r="B30" s="790" t="s">
        <v>642</v>
      </c>
      <c r="C30" s="20" t="s">
        <v>55</v>
      </c>
      <c r="D30" s="260"/>
      <c r="E30" s="247"/>
      <c r="F30" s="247"/>
      <c r="G30" s="247"/>
      <c r="H30" s="245">
        <f>SUM(H31:H35)</f>
        <v>8.2000000000000011</v>
      </c>
      <c r="I30" s="245">
        <f>H30*$D$22</f>
        <v>8.2000000000000011</v>
      </c>
    </row>
    <row r="31" spans="1:10" ht="15" customHeight="1">
      <c r="A31" s="785"/>
      <c r="B31" s="719" t="s">
        <v>1029</v>
      </c>
      <c r="C31" s="260"/>
      <c r="D31" s="260">
        <v>1</v>
      </c>
      <c r="E31" s="247">
        <f t="shared" ref="E31:F35" si="0">E24</f>
        <v>3</v>
      </c>
      <c r="F31" s="247">
        <f t="shared" si="0"/>
        <v>0.5</v>
      </c>
      <c r="G31" s="247"/>
      <c r="H31" s="448">
        <f>+ROUND(PRODUCT(D31:G31),2)</f>
        <v>1.5</v>
      </c>
      <c r="I31" s="245"/>
    </row>
    <row r="32" spans="1:10" ht="15" customHeight="1">
      <c r="A32" s="785"/>
      <c r="B32" s="719" t="s">
        <v>904</v>
      </c>
      <c r="C32" s="260"/>
      <c r="D32" s="260">
        <v>1</v>
      </c>
      <c r="E32" s="247">
        <f t="shared" si="0"/>
        <v>3</v>
      </c>
      <c r="F32" s="247">
        <f t="shared" si="0"/>
        <v>0.5</v>
      </c>
      <c r="G32" s="247"/>
      <c r="H32" s="448">
        <f>+ROUND(PRODUCT(D32:G32),2)</f>
        <v>1.5</v>
      </c>
      <c r="I32" s="245"/>
    </row>
    <row r="33" spans="1:9" ht="15" customHeight="1">
      <c r="A33" s="782"/>
      <c r="B33" s="719" t="s">
        <v>908</v>
      </c>
      <c r="C33" s="260"/>
      <c r="D33" s="260">
        <v>1</v>
      </c>
      <c r="E33" s="247">
        <f t="shared" si="0"/>
        <v>2.6</v>
      </c>
      <c r="F33" s="247">
        <f t="shared" si="0"/>
        <v>1.25</v>
      </c>
      <c r="G33" s="247"/>
      <c r="H33" s="448">
        <f>+ROUND(PRODUCT(D33:G33),2)</f>
        <v>3.25</v>
      </c>
      <c r="I33" s="245"/>
    </row>
    <row r="34" spans="1:9" ht="15" customHeight="1">
      <c r="A34" s="782"/>
      <c r="B34" s="719" t="s">
        <v>975</v>
      </c>
      <c r="C34" s="260"/>
      <c r="D34" s="260">
        <v>1</v>
      </c>
      <c r="E34" s="247">
        <f t="shared" si="0"/>
        <v>2.6</v>
      </c>
      <c r="F34" s="247">
        <f t="shared" si="0"/>
        <v>0.6</v>
      </c>
      <c r="G34" s="247"/>
      <c r="H34" s="448">
        <f>+ROUND(PRODUCT(D34:G34),2)</f>
        <v>1.56</v>
      </c>
      <c r="I34" s="245"/>
    </row>
    <row r="35" spans="1:9" ht="15" customHeight="1">
      <c r="A35" s="782"/>
      <c r="B35" s="719" t="s">
        <v>974</v>
      </c>
      <c r="C35" s="260"/>
      <c r="D35" s="260">
        <v>2</v>
      </c>
      <c r="E35" s="247">
        <f t="shared" si="0"/>
        <v>0.65</v>
      </c>
      <c r="F35" s="247">
        <f t="shared" si="0"/>
        <v>0.3</v>
      </c>
      <c r="G35" s="247"/>
      <c r="H35" s="448">
        <f>+ROUND(PRODUCT(D35:G35),2)</f>
        <v>0.39</v>
      </c>
      <c r="I35" s="245"/>
    </row>
    <row r="36" spans="1:9" ht="15" customHeight="1">
      <c r="A36" s="782"/>
      <c r="B36" s="273"/>
      <c r="C36" s="260"/>
      <c r="D36" s="260"/>
      <c r="E36" s="247"/>
      <c r="F36" s="247"/>
      <c r="G36" s="247"/>
      <c r="H36" s="448"/>
      <c r="I36" s="245"/>
    </row>
    <row r="37" spans="1:9" ht="15" customHeight="1">
      <c r="A37" s="785" t="str">
        <f>$A$22 &amp; ".03"</f>
        <v>01.16.01.03</v>
      </c>
      <c r="B37" s="790" t="s">
        <v>639</v>
      </c>
      <c r="C37" s="20" t="s">
        <v>55</v>
      </c>
      <c r="D37" s="260"/>
      <c r="E37" s="247"/>
      <c r="F37" s="247"/>
      <c r="G37" s="247"/>
      <c r="H37" s="245">
        <f>SUM(H38:H42)</f>
        <v>8.2000000000000011</v>
      </c>
      <c r="I37" s="245">
        <f>H37*$D$22</f>
        <v>8.2000000000000011</v>
      </c>
    </row>
    <row r="38" spans="1:9" ht="15" customHeight="1">
      <c r="A38" s="785"/>
      <c r="B38" s="719" t="s">
        <v>1029</v>
      </c>
      <c r="C38" s="260"/>
      <c r="D38" s="260">
        <v>1</v>
      </c>
      <c r="E38" s="247">
        <f t="shared" ref="E38:F42" si="1">E24</f>
        <v>3</v>
      </c>
      <c r="F38" s="247">
        <f t="shared" si="1"/>
        <v>0.5</v>
      </c>
      <c r="G38" s="247"/>
      <c r="H38" s="448">
        <f>+ROUND(PRODUCT(D38:G38),2)</f>
        <v>1.5</v>
      </c>
      <c r="I38" s="245"/>
    </row>
    <row r="39" spans="1:9" ht="15" customHeight="1">
      <c r="A39" s="785"/>
      <c r="B39" s="719" t="s">
        <v>904</v>
      </c>
      <c r="C39" s="260"/>
      <c r="D39" s="260">
        <v>1</v>
      </c>
      <c r="E39" s="247">
        <f t="shared" si="1"/>
        <v>3</v>
      </c>
      <c r="F39" s="247">
        <f t="shared" si="1"/>
        <v>0.5</v>
      </c>
      <c r="G39" s="247"/>
      <c r="H39" s="448">
        <f>+ROUND(PRODUCT(D39:G39),2)</f>
        <v>1.5</v>
      </c>
      <c r="I39" s="245"/>
    </row>
    <row r="40" spans="1:9" ht="15" customHeight="1">
      <c r="A40" s="782"/>
      <c r="B40" s="719" t="s">
        <v>908</v>
      </c>
      <c r="C40" s="260"/>
      <c r="D40" s="260">
        <v>1</v>
      </c>
      <c r="E40" s="247">
        <f t="shared" si="1"/>
        <v>2.6</v>
      </c>
      <c r="F40" s="247">
        <f t="shared" si="1"/>
        <v>1.25</v>
      </c>
      <c r="G40" s="247"/>
      <c r="H40" s="448">
        <f>+ROUND(PRODUCT(D40:G40),2)</f>
        <v>3.25</v>
      </c>
      <c r="I40" s="245"/>
    </row>
    <row r="41" spans="1:9" ht="15" customHeight="1">
      <c r="A41" s="782"/>
      <c r="B41" s="719" t="s">
        <v>975</v>
      </c>
      <c r="C41" s="260"/>
      <c r="D41" s="260">
        <v>1</v>
      </c>
      <c r="E41" s="247">
        <f t="shared" si="1"/>
        <v>2.6</v>
      </c>
      <c r="F41" s="247">
        <f t="shared" si="1"/>
        <v>0.6</v>
      </c>
      <c r="G41" s="247"/>
      <c r="H41" s="448">
        <f>+ROUND(PRODUCT(D41:G41),2)</f>
        <v>1.56</v>
      </c>
      <c r="I41" s="245"/>
    </row>
    <row r="42" spans="1:9" ht="15" customHeight="1">
      <c r="A42" s="782"/>
      <c r="B42" s="719" t="s">
        <v>974</v>
      </c>
      <c r="C42" s="260"/>
      <c r="D42" s="260">
        <v>2</v>
      </c>
      <c r="E42" s="247">
        <f t="shared" si="1"/>
        <v>0.65</v>
      </c>
      <c r="F42" s="247">
        <f t="shared" si="1"/>
        <v>0.3</v>
      </c>
      <c r="G42" s="247"/>
      <c r="H42" s="448">
        <f>+ROUND(PRODUCT(D42:G42),2)</f>
        <v>0.39</v>
      </c>
      <c r="I42" s="245"/>
    </row>
    <row r="43" spans="1:9" ht="15" customHeight="1">
      <c r="A43" s="793"/>
      <c r="B43" s="741"/>
      <c r="C43" s="288"/>
      <c r="D43" s="691"/>
      <c r="E43" s="740"/>
      <c r="F43" s="740"/>
      <c r="G43" s="740"/>
      <c r="H43" s="740"/>
      <c r="I43" s="739"/>
    </row>
    <row r="44" spans="1:9" ht="15" customHeight="1">
      <c r="A44" s="786" t="str">
        <f>A$20 &amp; ".02"</f>
        <v>01.16.02</v>
      </c>
      <c r="B44" s="720" t="s">
        <v>101</v>
      </c>
      <c r="C44" s="260"/>
      <c r="D44" s="717">
        <f>+$D$20</f>
        <v>1</v>
      </c>
      <c r="E44" s="247"/>
      <c r="F44" s="247"/>
      <c r="G44" s="247"/>
      <c r="H44" s="247"/>
      <c r="I44" s="245"/>
    </row>
    <row r="45" spans="1:9" ht="15" customHeight="1">
      <c r="A45" s="785" t="str">
        <f>$A$44 &amp; ".01"</f>
        <v>01.16.02.01</v>
      </c>
      <c r="B45" s="790" t="s">
        <v>348</v>
      </c>
      <c r="C45" s="20" t="s">
        <v>93</v>
      </c>
      <c r="D45" s="260"/>
      <c r="E45" s="247"/>
      <c r="F45" s="247"/>
      <c r="G45" s="247"/>
      <c r="H45" s="245">
        <f>SUM(H46:H48)</f>
        <v>0.39</v>
      </c>
      <c r="I45" s="245">
        <f>H45*$D$44</f>
        <v>0.39</v>
      </c>
    </row>
    <row r="46" spans="1:9" ht="15" customHeight="1">
      <c r="A46" s="782"/>
      <c r="B46" s="719" t="s">
        <v>907</v>
      </c>
      <c r="C46" s="260"/>
      <c r="D46" s="260">
        <v>2</v>
      </c>
      <c r="E46" s="247">
        <v>0.25</v>
      </c>
      <c r="F46" s="247">
        <v>0.65</v>
      </c>
      <c r="G46" s="247">
        <v>0.1</v>
      </c>
      <c r="H46" s="448">
        <f>+ROUND(PRODUCT(D46:G46),2)</f>
        <v>0.03</v>
      </c>
      <c r="I46" s="245"/>
    </row>
    <row r="47" spans="1:9" ht="15" customHeight="1">
      <c r="A47" s="782"/>
      <c r="B47" s="719" t="s">
        <v>359</v>
      </c>
      <c r="C47" s="260"/>
      <c r="D47" s="260">
        <f>D34</f>
        <v>1</v>
      </c>
      <c r="E47" s="248">
        <f>E34</f>
        <v>2.6</v>
      </c>
      <c r="F47" s="260">
        <v>1.25</v>
      </c>
      <c r="G47" s="247">
        <v>0.1</v>
      </c>
      <c r="H47" s="448">
        <f>+ROUND(PRODUCT(D47:G47),2)</f>
        <v>0.33</v>
      </c>
      <c r="I47" s="245"/>
    </row>
    <row r="48" spans="1:9" ht="15" customHeight="1">
      <c r="A48" s="782"/>
      <c r="B48" s="719" t="s">
        <v>1028</v>
      </c>
      <c r="C48" s="260"/>
      <c r="D48" s="260">
        <v>2</v>
      </c>
      <c r="E48" s="260">
        <v>0.25</v>
      </c>
      <c r="F48" s="248">
        <v>0.65</v>
      </c>
      <c r="G48" s="248">
        <v>0.1</v>
      </c>
      <c r="H48" s="448">
        <f>+ROUND(PRODUCT(D48:G48),2)</f>
        <v>0.03</v>
      </c>
      <c r="I48" s="245"/>
    </row>
    <row r="49" spans="1:9" ht="15" customHeight="1">
      <c r="A49" s="782"/>
      <c r="B49" s="718" t="s">
        <v>108</v>
      </c>
      <c r="C49" s="260"/>
      <c r="D49" s="260"/>
      <c r="E49" s="247"/>
      <c r="F49" s="247"/>
      <c r="G49" s="247"/>
      <c r="H49" s="247"/>
      <c r="I49" s="245"/>
    </row>
    <row r="50" spans="1:9" ht="15" customHeight="1">
      <c r="A50" s="785" t="str">
        <f>$A$44 &amp; ".02"</f>
        <v>01.16.02.02</v>
      </c>
      <c r="B50" s="790" t="s">
        <v>240</v>
      </c>
      <c r="C50" s="20" t="s">
        <v>93</v>
      </c>
      <c r="D50" s="260"/>
      <c r="E50" s="247"/>
      <c r="F50" s="247"/>
      <c r="G50" s="247"/>
      <c r="H50" s="245">
        <f>SUM(H51:H52)</f>
        <v>0.33</v>
      </c>
      <c r="I50" s="245">
        <f>H50*$D$44</f>
        <v>0.33</v>
      </c>
    </row>
    <row r="51" spans="1:9" ht="15" customHeight="1">
      <c r="A51" s="782"/>
      <c r="B51" s="719" t="s">
        <v>907</v>
      </c>
      <c r="C51" s="260"/>
      <c r="D51" s="260">
        <v>1</v>
      </c>
      <c r="E51" s="247">
        <v>0.25</v>
      </c>
      <c r="F51" s="247">
        <v>0.65</v>
      </c>
      <c r="G51" s="247">
        <v>0.1</v>
      </c>
      <c r="H51" s="448">
        <f>+ROUND(PRODUCT(D51:G51),2)</f>
        <v>0.02</v>
      </c>
      <c r="I51" s="245"/>
    </row>
    <row r="52" spans="1:9" ht="15" customHeight="1">
      <c r="A52" s="782"/>
      <c r="B52" s="719" t="s">
        <v>359</v>
      </c>
      <c r="C52" s="260"/>
      <c r="D52" s="260">
        <v>2</v>
      </c>
      <c r="E52" s="247">
        <v>0.85</v>
      </c>
      <c r="F52" s="247" t="s">
        <v>47</v>
      </c>
      <c r="G52" s="247">
        <v>0.18</v>
      </c>
      <c r="H52" s="448">
        <f>+ROUND(PRODUCT(D52:G52),2)</f>
        <v>0.31</v>
      </c>
      <c r="I52" s="245"/>
    </row>
    <row r="53" spans="1:9" ht="15" customHeight="1">
      <c r="A53" s="782"/>
      <c r="B53" s="719" t="s">
        <v>108</v>
      </c>
      <c r="C53" s="260"/>
      <c r="D53" s="260"/>
      <c r="E53" s="247"/>
      <c r="F53" s="247"/>
      <c r="G53" s="247"/>
      <c r="H53" s="247"/>
      <c r="I53" s="245"/>
    </row>
    <row r="54" spans="1:9" ht="15" customHeight="1">
      <c r="A54" s="785" t="str">
        <f>$A$44 &amp; ".03"</f>
        <v>01.16.02.03</v>
      </c>
      <c r="B54" s="842" t="s">
        <v>1076</v>
      </c>
      <c r="C54" s="20" t="s">
        <v>93</v>
      </c>
      <c r="D54" s="260"/>
      <c r="E54" s="247"/>
      <c r="F54" s="247"/>
      <c r="G54" s="247"/>
      <c r="H54" s="245">
        <f>SUM(H55:H55)</f>
        <v>7.0000000000000007E-2</v>
      </c>
      <c r="I54" s="245">
        <f>H54*$D$44</f>
        <v>7.0000000000000007E-2</v>
      </c>
    </row>
    <row r="55" spans="1:9" ht="15" customHeight="1">
      <c r="A55" s="785"/>
      <c r="B55" s="107" t="s">
        <v>238</v>
      </c>
      <c r="C55" s="20"/>
      <c r="D55" s="105">
        <v>1</v>
      </c>
      <c r="E55" s="103">
        <v>1.2</v>
      </c>
      <c r="F55" s="103" t="s">
        <v>236</v>
      </c>
      <c r="G55" s="247">
        <f>H45-H50</f>
        <v>0.06</v>
      </c>
      <c r="H55" s="448">
        <f>+ROUND(PRODUCT(D55:G55),2)</f>
        <v>7.0000000000000007E-2</v>
      </c>
      <c r="I55" s="245"/>
    </row>
    <row r="56" spans="1:9" ht="15" customHeight="1">
      <c r="A56" s="782"/>
      <c r="B56" s="718"/>
      <c r="C56" s="260"/>
      <c r="D56" s="260"/>
      <c r="E56" s="247"/>
      <c r="F56" s="247"/>
      <c r="G56" s="247"/>
      <c r="H56" s="247"/>
      <c r="I56" s="245"/>
    </row>
    <row r="57" spans="1:9" ht="15" customHeight="1">
      <c r="A57" s="786" t="str">
        <f>A$20 &amp; ".03"</f>
        <v>01.16.03</v>
      </c>
      <c r="B57" s="720" t="s">
        <v>95</v>
      </c>
      <c r="C57" s="260"/>
      <c r="D57" s="717">
        <f>+$D$20</f>
        <v>1</v>
      </c>
      <c r="E57" s="247"/>
      <c r="F57" s="247"/>
      <c r="G57" s="247"/>
      <c r="H57" s="247"/>
      <c r="I57" s="245"/>
    </row>
    <row r="58" spans="1:9" ht="15" customHeight="1">
      <c r="A58" s="785" t="str">
        <f>$A$57 &amp; ".01"</f>
        <v>01.16.03.01</v>
      </c>
      <c r="B58" s="790" t="s">
        <v>969</v>
      </c>
      <c r="C58" s="20" t="s">
        <v>93</v>
      </c>
      <c r="D58" s="260"/>
      <c r="E58" s="247"/>
      <c r="F58" s="247"/>
      <c r="G58" s="247"/>
      <c r="H58" s="245">
        <f>SUM(H59:H59)*1.05</f>
        <v>7.350000000000001E-2</v>
      </c>
      <c r="I58" s="245">
        <f>H58*$D$57</f>
        <v>7.350000000000001E-2</v>
      </c>
    </row>
    <row r="59" spans="1:9" ht="15" customHeight="1">
      <c r="A59" s="782"/>
      <c r="B59" s="719" t="s">
        <v>900</v>
      </c>
      <c r="C59" s="260"/>
      <c r="D59" s="260">
        <v>2</v>
      </c>
      <c r="E59" s="247">
        <f>+E46</f>
        <v>0.25</v>
      </c>
      <c r="F59" s="247">
        <f>+F46</f>
        <v>0.65</v>
      </c>
      <c r="G59" s="247">
        <v>0.2</v>
      </c>
      <c r="H59" s="448">
        <f>+ROUND(PRODUCT(D59:G59),2)</f>
        <v>7.0000000000000007E-2</v>
      </c>
      <c r="I59" s="245"/>
    </row>
    <row r="60" spans="1:9" ht="15" customHeight="1">
      <c r="A60" s="782"/>
      <c r="B60" s="273"/>
      <c r="C60" s="260"/>
      <c r="D60" s="260"/>
      <c r="E60" s="247"/>
      <c r="F60" s="247"/>
      <c r="G60" s="247"/>
      <c r="H60" s="448"/>
      <c r="I60" s="245"/>
    </row>
    <row r="61" spans="1:9" s="725" customFormat="1" ht="15" customHeight="1">
      <c r="A61" s="821" t="str">
        <f>$A$57 &amp; ".02"</f>
        <v>01.16.03.02</v>
      </c>
      <c r="B61" s="842" t="s">
        <v>1077</v>
      </c>
      <c r="C61" s="734" t="s">
        <v>93</v>
      </c>
      <c r="D61" s="728"/>
      <c r="E61" s="728"/>
      <c r="F61" s="728"/>
      <c r="G61" s="728"/>
      <c r="H61" s="726">
        <f>SUM(H62:H67)*1.05</f>
        <v>0.48299999999999998</v>
      </c>
      <c r="I61" s="726">
        <f>H61*$D$57</f>
        <v>0.48299999999999998</v>
      </c>
    </row>
    <row r="62" spans="1:9" ht="15" customHeight="1">
      <c r="A62" s="785"/>
      <c r="B62" s="719" t="s">
        <v>1027</v>
      </c>
      <c r="C62" s="20"/>
      <c r="D62" s="783">
        <v>1</v>
      </c>
      <c r="E62" s="247" t="s">
        <v>952</v>
      </c>
      <c r="F62" s="247">
        <v>1.38</v>
      </c>
      <c r="G62" s="247">
        <v>0.15</v>
      </c>
      <c r="H62" s="448">
        <f t="shared" ref="H62:H67" si="2">+ROUND(PRODUCT(D62:G62),2)</f>
        <v>0.21</v>
      </c>
      <c r="I62" s="245"/>
    </row>
    <row r="63" spans="1:9" ht="15" customHeight="1">
      <c r="A63" s="782"/>
      <c r="B63" s="719" t="s">
        <v>1026</v>
      </c>
      <c r="C63" s="260"/>
      <c r="D63" s="783">
        <v>2</v>
      </c>
      <c r="E63" s="247">
        <v>0.6</v>
      </c>
      <c r="F63" s="247">
        <v>0.1</v>
      </c>
      <c r="G63" s="247">
        <v>0.35</v>
      </c>
      <c r="H63" s="448">
        <f t="shared" si="2"/>
        <v>0.04</v>
      </c>
      <c r="I63" s="245"/>
    </row>
    <row r="64" spans="1:9" ht="15" customHeight="1">
      <c r="A64" s="782"/>
      <c r="B64" s="822" t="s">
        <v>1025</v>
      </c>
      <c r="C64" s="260"/>
      <c r="D64" s="783">
        <v>2</v>
      </c>
      <c r="E64" s="247">
        <v>0.6</v>
      </c>
      <c r="F64" s="247">
        <v>0.1</v>
      </c>
      <c r="G64" s="247">
        <v>0.35</v>
      </c>
      <c r="H64" s="448">
        <f t="shared" si="2"/>
        <v>0.04</v>
      </c>
      <c r="I64" s="245"/>
    </row>
    <row r="65" spans="1:9" ht="15" customHeight="1">
      <c r="A65" s="782"/>
      <c r="B65" s="719" t="s">
        <v>1024</v>
      </c>
      <c r="C65" s="260"/>
      <c r="D65" s="783">
        <v>2</v>
      </c>
      <c r="E65" s="247">
        <v>0.6</v>
      </c>
      <c r="F65" s="247">
        <v>0.4</v>
      </c>
      <c r="G65" s="247">
        <v>0.1</v>
      </c>
      <c r="H65" s="448">
        <f t="shared" si="2"/>
        <v>0.05</v>
      </c>
      <c r="I65" s="245"/>
    </row>
    <row r="66" spans="1:9" ht="15" customHeight="1">
      <c r="A66" s="782"/>
      <c r="B66" s="719" t="s">
        <v>1023</v>
      </c>
      <c r="C66" s="260"/>
      <c r="D66" s="783">
        <v>1</v>
      </c>
      <c r="E66" s="247">
        <v>0.15</v>
      </c>
      <c r="F66" s="247">
        <v>0.65</v>
      </c>
      <c r="G66" s="247">
        <v>0.45</v>
      </c>
      <c r="H66" s="448">
        <f t="shared" si="2"/>
        <v>0.04</v>
      </c>
      <c r="I66" s="245"/>
    </row>
    <row r="67" spans="1:9" ht="15" customHeight="1">
      <c r="A67" s="782"/>
      <c r="B67" s="719" t="s">
        <v>1022</v>
      </c>
      <c r="C67" s="260"/>
      <c r="D67" s="783">
        <v>1</v>
      </c>
      <c r="E67" s="247">
        <v>0.15</v>
      </c>
      <c r="F67" s="247">
        <v>1.2</v>
      </c>
      <c r="G67" s="247">
        <v>0.45</v>
      </c>
      <c r="H67" s="448">
        <f t="shared" si="2"/>
        <v>0.08</v>
      </c>
      <c r="I67" s="245"/>
    </row>
    <row r="68" spans="1:9" ht="15" customHeight="1">
      <c r="A68" s="782"/>
      <c r="B68" s="719"/>
      <c r="C68" s="260"/>
      <c r="D68" s="783"/>
      <c r="E68" s="247"/>
      <c r="F68" s="247"/>
      <c r="G68" s="247"/>
      <c r="H68" s="448"/>
      <c r="I68" s="245"/>
    </row>
    <row r="69" spans="1:9" ht="15" customHeight="1">
      <c r="A69" s="821" t="str">
        <f>$A$57 &amp; ".03"</f>
        <v>01.16.03.03</v>
      </c>
      <c r="B69" s="842" t="s">
        <v>1078</v>
      </c>
      <c r="C69" s="260" t="s">
        <v>93</v>
      </c>
      <c r="D69" s="783"/>
      <c r="E69" s="247"/>
      <c r="F69" s="247"/>
      <c r="G69" s="247"/>
      <c r="H69" s="245">
        <f>SUM(H70:H70)*1.1</f>
        <v>0.31900000000000001</v>
      </c>
      <c r="I69" s="726">
        <f>H69*$D$57</f>
        <v>0.31900000000000001</v>
      </c>
    </row>
    <row r="70" spans="1:9" ht="15" customHeight="1">
      <c r="A70" s="821"/>
      <c r="B70" s="731" t="s">
        <v>1021</v>
      </c>
      <c r="C70" s="260"/>
      <c r="D70" s="783">
        <v>4</v>
      </c>
      <c r="E70" s="247">
        <v>0.36</v>
      </c>
      <c r="F70" s="247"/>
      <c r="G70" s="247">
        <v>0.2</v>
      </c>
      <c r="H70" s="448">
        <f>+ROUND(PRODUCT(D70:G70),2)</f>
        <v>0.28999999999999998</v>
      </c>
      <c r="I70" s="245"/>
    </row>
    <row r="71" spans="1:9" ht="15" customHeight="1">
      <c r="A71" s="821"/>
      <c r="B71" s="731"/>
      <c r="C71" s="260" t="s">
        <v>55</v>
      </c>
      <c r="D71" s="783"/>
      <c r="E71" s="247"/>
      <c r="F71" s="247"/>
      <c r="G71" s="247"/>
      <c r="H71" s="448"/>
      <c r="I71" s="245"/>
    </row>
    <row r="72" spans="1:9" ht="15" customHeight="1">
      <c r="A72" s="821" t="str">
        <f>$A$57 &amp; ".04"</f>
        <v>01.16.03.04</v>
      </c>
      <c r="B72" s="842" t="s">
        <v>1079</v>
      </c>
      <c r="C72" s="260"/>
      <c r="D72" s="783"/>
      <c r="E72" s="247"/>
      <c r="F72" s="247"/>
      <c r="G72" s="247"/>
      <c r="H72" s="245">
        <f>SUM(H73:H77)*1.1</f>
        <v>1.9393</v>
      </c>
      <c r="I72" s="726">
        <f>H72*$D$57</f>
        <v>1.9393</v>
      </c>
    </row>
    <row r="73" spans="1:9" ht="15" customHeight="1">
      <c r="A73" s="821"/>
      <c r="B73" s="719" t="s">
        <v>886</v>
      </c>
      <c r="C73" s="260"/>
      <c r="D73" s="260">
        <v>2</v>
      </c>
      <c r="E73" s="247" t="s">
        <v>47</v>
      </c>
      <c r="F73" s="247">
        <v>0.5</v>
      </c>
      <c r="G73" s="247"/>
      <c r="H73" s="448">
        <f>+ROUND(PRODUCT(D73:G73),3)</f>
        <v>1</v>
      </c>
      <c r="I73" s="245"/>
    </row>
    <row r="74" spans="1:9" ht="15" customHeight="1">
      <c r="A74" s="821"/>
      <c r="B74" s="719" t="s">
        <v>1020</v>
      </c>
      <c r="C74" s="260"/>
      <c r="D74" s="260">
        <v>1</v>
      </c>
      <c r="E74" s="247">
        <v>0.6</v>
      </c>
      <c r="F74" s="247"/>
      <c r="G74" s="247">
        <v>0.35</v>
      </c>
      <c r="H74" s="448">
        <f>+ROUND(PRODUCT(D74:G74),3)</f>
        <v>0.21</v>
      </c>
      <c r="I74" s="245"/>
    </row>
    <row r="75" spans="1:9" ht="15" customHeight="1">
      <c r="A75" s="821"/>
      <c r="B75" s="719" t="s">
        <v>1019</v>
      </c>
      <c r="C75" s="260"/>
      <c r="D75" s="260">
        <v>1</v>
      </c>
      <c r="E75" s="247">
        <v>0.5</v>
      </c>
      <c r="F75" s="247"/>
      <c r="G75" s="247">
        <v>0.25</v>
      </c>
      <c r="H75" s="448">
        <f>+ROUND(PRODUCT(D75:G75),3)</f>
        <v>0.125</v>
      </c>
      <c r="I75" s="245"/>
    </row>
    <row r="76" spans="1:9" ht="15" customHeight="1">
      <c r="A76" s="821"/>
      <c r="B76" s="719" t="s">
        <v>1018</v>
      </c>
      <c r="C76" s="260"/>
      <c r="D76" s="260">
        <v>2</v>
      </c>
      <c r="E76" s="247"/>
      <c r="F76" s="247">
        <v>0.4</v>
      </c>
      <c r="G76" s="247">
        <v>0.25</v>
      </c>
      <c r="H76" s="448">
        <f>+ROUND(PRODUCT(D76:G76),3)</f>
        <v>0.2</v>
      </c>
      <c r="I76" s="245"/>
    </row>
    <row r="77" spans="1:9" ht="15" customHeight="1">
      <c r="A77" s="821"/>
      <c r="B77" s="719" t="s">
        <v>1001</v>
      </c>
      <c r="C77" s="260"/>
      <c r="D77" s="260">
        <v>1</v>
      </c>
      <c r="E77" s="247"/>
      <c r="F77" s="247">
        <v>0.65</v>
      </c>
      <c r="G77" s="247">
        <v>0.35</v>
      </c>
      <c r="H77" s="448">
        <f>+ROUND(PRODUCT(D77:G77),3)</f>
        <v>0.22800000000000001</v>
      </c>
      <c r="I77" s="245"/>
    </row>
    <row r="78" spans="1:9" ht="15" customHeight="1">
      <c r="A78" s="820"/>
      <c r="B78" s="273"/>
      <c r="C78" s="260"/>
      <c r="D78" s="260"/>
      <c r="E78" s="247"/>
      <c r="F78" s="247"/>
      <c r="G78" s="247"/>
      <c r="H78" s="448"/>
      <c r="I78" s="245"/>
    </row>
    <row r="79" spans="1:9" ht="15" customHeight="1">
      <c r="A79" s="786" t="str">
        <f>A$20 &amp; ".04"</f>
        <v>01.16.04</v>
      </c>
      <c r="B79" s="720" t="s">
        <v>467</v>
      </c>
      <c r="C79" s="260"/>
      <c r="D79" s="717">
        <f>+$D$20</f>
        <v>1</v>
      </c>
      <c r="E79" s="247"/>
      <c r="F79" s="247"/>
      <c r="G79" s="247"/>
      <c r="H79" s="247"/>
      <c r="I79" s="245"/>
    </row>
    <row r="80" spans="1:9" ht="15" customHeight="1">
      <c r="A80" s="785" t="str">
        <f>$A$79 &amp; ".01"</f>
        <v>01.16.04.01</v>
      </c>
      <c r="B80" s="790" t="s">
        <v>1017</v>
      </c>
      <c r="C80" s="20" t="s">
        <v>93</v>
      </c>
      <c r="D80" s="260"/>
      <c r="E80" s="247"/>
      <c r="F80" s="247"/>
      <c r="G80" s="247"/>
      <c r="H80" s="245">
        <f>SUM(H81:H83)*1.05</f>
        <v>0.14699999999999999</v>
      </c>
      <c r="I80" s="245">
        <f>H80*$D$79</f>
        <v>0.14699999999999999</v>
      </c>
    </row>
    <row r="81" spans="1:9" ht="15" customHeight="1">
      <c r="A81" s="782"/>
      <c r="B81" s="719" t="s">
        <v>1016</v>
      </c>
      <c r="C81" s="20"/>
      <c r="D81" s="783">
        <v>1</v>
      </c>
      <c r="E81" s="247">
        <v>1.4</v>
      </c>
      <c r="F81" s="247">
        <v>0.1</v>
      </c>
      <c r="G81" s="247">
        <v>0.3</v>
      </c>
      <c r="H81" s="448">
        <f>+ROUND(PRODUCT(D81:G81),2)</f>
        <v>0.04</v>
      </c>
      <c r="I81" s="245"/>
    </row>
    <row r="82" spans="1:9" ht="15" customHeight="1">
      <c r="A82" s="782"/>
      <c r="B82" s="719" t="s">
        <v>1015</v>
      </c>
      <c r="C82" s="20"/>
      <c r="D82" s="783">
        <v>1</v>
      </c>
      <c r="E82" s="247">
        <v>0.1</v>
      </c>
      <c r="F82" s="247" t="s">
        <v>47</v>
      </c>
      <c r="G82" s="247">
        <v>0.76</v>
      </c>
      <c r="H82" s="448">
        <f>+ROUND(PRODUCT(D82:G82),2)</f>
        <v>0.08</v>
      </c>
      <c r="I82" s="245"/>
    </row>
    <row r="83" spans="1:9" ht="15" customHeight="1">
      <c r="A83" s="782"/>
      <c r="B83" s="719" t="s">
        <v>1014</v>
      </c>
      <c r="C83" s="260"/>
      <c r="D83" s="783">
        <v>2</v>
      </c>
      <c r="E83" s="247">
        <v>0.1</v>
      </c>
      <c r="F83" s="247">
        <v>0.4</v>
      </c>
      <c r="G83" s="247">
        <v>0.3</v>
      </c>
      <c r="H83" s="448">
        <f>+ROUND(PRODUCT(D83:G83),2)</f>
        <v>0.02</v>
      </c>
      <c r="I83" s="245"/>
    </row>
    <row r="84" spans="1:9" ht="15" customHeight="1">
      <c r="A84" s="782"/>
      <c r="B84" s="719"/>
      <c r="C84" s="260"/>
      <c r="D84" s="783"/>
      <c r="E84" s="247"/>
      <c r="F84" s="247"/>
      <c r="G84" s="247"/>
      <c r="H84" s="448"/>
      <c r="I84" s="245"/>
    </row>
    <row r="85" spans="1:9" ht="15" customHeight="1">
      <c r="A85" s="785" t="str">
        <f>$A$79 &amp; ".02"</f>
        <v>01.16.04.02</v>
      </c>
      <c r="B85" s="790" t="s">
        <v>1013</v>
      </c>
      <c r="C85" s="20" t="s">
        <v>93</v>
      </c>
      <c r="D85" s="260"/>
      <c r="E85" s="247"/>
      <c r="F85" s="247"/>
      <c r="G85" s="247"/>
      <c r="H85" s="245">
        <f>SUM(H86:H86)*1.05</f>
        <v>9.4500000000000001E-2</v>
      </c>
      <c r="I85" s="245">
        <f>H85*$D$79</f>
        <v>9.4500000000000001E-2</v>
      </c>
    </row>
    <row r="86" spans="1:9" ht="15" customHeight="1">
      <c r="A86" s="782"/>
      <c r="B86" s="719" t="s">
        <v>890</v>
      </c>
      <c r="C86" s="260"/>
      <c r="D86" s="783">
        <v>1</v>
      </c>
      <c r="E86" s="247">
        <v>1.4</v>
      </c>
      <c r="F86" s="247">
        <v>0.65</v>
      </c>
      <c r="G86" s="247">
        <v>0.1</v>
      </c>
      <c r="H86" s="448">
        <f>+ROUND(PRODUCT(D86:G86),2)</f>
        <v>0.09</v>
      </c>
      <c r="I86" s="245"/>
    </row>
    <row r="87" spans="1:9" ht="15" customHeight="1">
      <c r="A87" s="782"/>
      <c r="B87" s="273"/>
      <c r="C87" s="260"/>
      <c r="D87" s="260"/>
      <c r="E87" s="247"/>
      <c r="F87" s="247"/>
      <c r="G87" s="247"/>
      <c r="H87" s="448"/>
      <c r="I87" s="245"/>
    </row>
    <row r="88" spans="1:9" ht="15" customHeight="1">
      <c r="A88" s="785" t="str">
        <f>$A$79 &amp; ".03"</f>
        <v>01.16.04.03</v>
      </c>
      <c r="B88" s="790" t="s">
        <v>1012</v>
      </c>
      <c r="C88" s="20" t="s">
        <v>55</v>
      </c>
      <c r="D88" s="260"/>
      <c r="E88" s="247"/>
      <c r="F88" s="247"/>
      <c r="G88" s="247"/>
      <c r="H88" s="245">
        <f>SUM(H90:H93)</f>
        <v>4.8550000000000004</v>
      </c>
      <c r="I88" s="245">
        <f>H88*$D$79</f>
        <v>4.8550000000000004</v>
      </c>
    </row>
    <row r="89" spans="1:9" ht="15" customHeight="1">
      <c r="A89" s="785"/>
      <c r="B89" s="719" t="s">
        <v>1002</v>
      </c>
      <c r="C89" s="20"/>
      <c r="D89" s="260"/>
      <c r="E89" s="247"/>
      <c r="F89" s="247"/>
      <c r="G89" s="247"/>
      <c r="H89" s="245"/>
      <c r="I89" s="245"/>
    </row>
    <row r="90" spans="1:9" ht="15" customHeight="1">
      <c r="A90" s="782"/>
      <c r="B90" s="719" t="s">
        <v>886</v>
      </c>
      <c r="C90" s="260"/>
      <c r="D90" s="260">
        <v>2</v>
      </c>
      <c r="E90" s="247" t="s">
        <v>47</v>
      </c>
      <c r="F90" s="247">
        <v>1.53</v>
      </c>
      <c r="G90" s="247"/>
      <c r="H90" s="448">
        <f>+ROUND(PRODUCT(D90:G90),3)</f>
        <v>3.06</v>
      </c>
      <c r="I90" s="245"/>
    </row>
    <row r="91" spans="1:9" ht="15" customHeight="1">
      <c r="A91" s="782"/>
      <c r="B91" s="719" t="s">
        <v>1011</v>
      </c>
      <c r="C91" s="260"/>
      <c r="D91" s="260">
        <v>2</v>
      </c>
      <c r="E91" s="247"/>
      <c r="F91" s="247">
        <v>0.65</v>
      </c>
      <c r="G91" s="247">
        <v>0.85</v>
      </c>
      <c r="H91" s="448">
        <f>+ROUND(PRODUCT(D91:G91),3)</f>
        <v>1.105</v>
      </c>
      <c r="I91" s="245"/>
    </row>
    <row r="92" spans="1:9" ht="15" customHeight="1">
      <c r="A92" s="782"/>
      <c r="B92" s="719" t="s">
        <v>1010</v>
      </c>
      <c r="C92" s="260"/>
      <c r="D92" s="260">
        <v>2</v>
      </c>
      <c r="E92" s="247"/>
      <c r="F92" s="247">
        <v>0.4</v>
      </c>
      <c r="G92" s="247">
        <v>0.3</v>
      </c>
      <c r="H92" s="448">
        <f>+ROUND(PRODUCT(D92:G92),3)</f>
        <v>0.24</v>
      </c>
      <c r="I92" s="245"/>
    </row>
    <row r="93" spans="1:9" ht="15" customHeight="1">
      <c r="A93" s="782"/>
      <c r="B93" s="719" t="s">
        <v>1005</v>
      </c>
      <c r="C93" s="260"/>
      <c r="D93" s="260">
        <v>2</v>
      </c>
      <c r="E93" s="247"/>
      <c r="F93" s="247">
        <v>0.5</v>
      </c>
      <c r="G93" s="247">
        <v>0.45</v>
      </c>
      <c r="H93" s="448">
        <f>+ROUND(PRODUCT(D93:G93),3)</f>
        <v>0.45</v>
      </c>
      <c r="I93" s="245"/>
    </row>
    <row r="94" spans="1:9" ht="15" customHeight="1">
      <c r="A94" s="782"/>
      <c r="B94" s="719"/>
      <c r="C94" s="260"/>
      <c r="D94" s="260"/>
      <c r="E94" s="247"/>
      <c r="F94" s="247"/>
      <c r="G94" s="247"/>
      <c r="H94" s="448"/>
      <c r="I94" s="245"/>
    </row>
    <row r="95" spans="1:9" ht="15" customHeight="1">
      <c r="A95" s="785" t="str">
        <f>$A$79 &amp; ".04"</f>
        <v>01.16.04.04</v>
      </c>
      <c r="B95" s="790" t="s">
        <v>1009</v>
      </c>
      <c r="C95" s="20" t="s">
        <v>55</v>
      </c>
      <c r="D95" s="260"/>
      <c r="E95" s="247"/>
      <c r="F95" s="247"/>
      <c r="G95" s="247"/>
      <c r="H95" s="245">
        <f>SUM(H97:H97)</f>
        <v>0.55000000000000004</v>
      </c>
      <c r="I95" s="245">
        <f>H95*$D$79</f>
        <v>0.55000000000000004</v>
      </c>
    </row>
    <row r="96" spans="1:9" ht="15" customHeight="1">
      <c r="A96" s="785"/>
      <c r="B96" s="719" t="s">
        <v>1002</v>
      </c>
      <c r="C96" s="20"/>
      <c r="D96" s="260"/>
      <c r="E96" s="247"/>
      <c r="F96" s="247"/>
      <c r="G96" s="247"/>
      <c r="H96" s="245"/>
      <c r="I96" s="245"/>
    </row>
    <row r="97" spans="1:9" ht="15" customHeight="1">
      <c r="A97" s="782"/>
      <c r="B97" s="719" t="s">
        <v>1008</v>
      </c>
      <c r="C97" s="260"/>
      <c r="D97" s="260">
        <v>1</v>
      </c>
      <c r="E97" s="247">
        <v>1.1000000000000001</v>
      </c>
      <c r="F97" s="247">
        <v>0.5</v>
      </c>
      <c r="G97" s="247"/>
      <c r="H97" s="448">
        <f>+ROUND(PRODUCT(D97:G97),3)</f>
        <v>0.55000000000000004</v>
      </c>
      <c r="I97" s="245"/>
    </row>
    <row r="98" spans="1:9" ht="15" customHeight="1">
      <c r="A98" s="782"/>
      <c r="B98" s="719"/>
      <c r="C98" s="260"/>
      <c r="D98" s="260"/>
      <c r="E98" s="247"/>
      <c r="F98" s="247"/>
      <c r="G98" s="247"/>
      <c r="H98" s="448"/>
      <c r="I98" s="245"/>
    </row>
    <row r="99" spans="1:9" ht="15" customHeight="1">
      <c r="A99" s="785" t="str">
        <f>$A$79 &amp; ".05"</f>
        <v>01.16.04.05</v>
      </c>
      <c r="B99" s="790" t="s">
        <v>188</v>
      </c>
      <c r="C99" s="20" t="s">
        <v>187</v>
      </c>
      <c r="D99" s="105"/>
      <c r="E99" s="103"/>
      <c r="F99" s="103"/>
      <c r="G99" s="103"/>
      <c r="H99" s="280">
        <f>H100*1.05</f>
        <v>11.101387500000001</v>
      </c>
      <c r="I99" s="245">
        <f>H99*$D$79</f>
        <v>11.101387500000001</v>
      </c>
    </row>
    <row r="100" spans="1:9" ht="15" customHeight="1">
      <c r="A100" s="782"/>
      <c r="B100" s="719" t="s">
        <v>663</v>
      </c>
      <c r="C100" s="20"/>
      <c r="D100" s="105">
        <v>1</v>
      </c>
      <c r="E100" s="103"/>
      <c r="F100" s="103"/>
      <c r="G100" s="103"/>
      <c r="H100" s="448">
        <f>'1.16 METR. ACERO'!O45</f>
        <v>10.572750000000001</v>
      </c>
      <c r="I100" s="245"/>
    </row>
    <row r="101" spans="1:9" ht="15" customHeight="1">
      <c r="A101" s="782"/>
      <c r="B101" s="723"/>
      <c r="C101" s="20"/>
      <c r="D101" s="105"/>
      <c r="E101" s="103"/>
      <c r="F101" s="103"/>
      <c r="G101" s="103"/>
      <c r="H101" s="705"/>
      <c r="I101" s="245"/>
    </row>
    <row r="102" spans="1:9" ht="15" customHeight="1">
      <c r="A102" s="786" t="str">
        <f>A$20 &amp; ".05"</f>
        <v>01.16.05</v>
      </c>
      <c r="B102" s="720" t="s">
        <v>182</v>
      </c>
      <c r="C102" s="260"/>
      <c r="D102" s="717">
        <f>+$D$20</f>
        <v>1</v>
      </c>
      <c r="E102" s="247"/>
      <c r="F102" s="247"/>
      <c r="G102" s="247"/>
      <c r="H102" s="247"/>
      <c r="I102" s="245"/>
    </row>
    <row r="103" spans="1:9" ht="15" customHeight="1">
      <c r="A103" s="785" t="str">
        <f>$A$102 &amp; ".01"</f>
        <v>01.16.05.01</v>
      </c>
      <c r="B103" s="819" t="s">
        <v>1007</v>
      </c>
      <c r="C103" s="260" t="s">
        <v>55</v>
      </c>
      <c r="D103" s="717"/>
      <c r="E103" s="247"/>
      <c r="F103" s="247"/>
      <c r="G103" s="247"/>
      <c r="H103" s="245">
        <f>SUM(H104:H116)</f>
        <v>3.06</v>
      </c>
      <c r="I103" s="245">
        <f>H103*$D$79</f>
        <v>3.06</v>
      </c>
    </row>
    <row r="104" spans="1:9" ht="15" customHeight="1">
      <c r="A104" s="785"/>
      <c r="B104" s="724" t="s">
        <v>1002</v>
      </c>
      <c r="C104" s="260"/>
      <c r="D104" s="717"/>
      <c r="E104" s="247"/>
      <c r="F104" s="247"/>
      <c r="G104" s="247"/>
      <c r="H104" s="247"/>
      <c r="I104" s="245"/>
    </row>
    <row r="105" spans="1:9" ht="15" customHeight="1">
      <c r="A105" s="785"/>
      <c r="B105" s="719" t="s">
        <v>1006</v>
      </c>
      <c r="C105" s="260"/>
      <c r="D105" s="717">
        <v>1</v>
      </c>
      <c r="E105" s="247">
        <v>1.2</v>
      </c>
      <c r="F105" s="247"/>
      <c r="G105" s="247">
        <v>0.3</v>
      </c>
      <c r="H105" s="448">
        <f>+ROUND(PRODUCT(D105:G105),2)</f>
        <v>0.36</v>
      </c>
      <c r="I105" s="245"/>
    </row>
    <row r="106" spans="1:9" ht="15" customHeight="1">
      <c r="A106" s="785"/>
      <c r="B106" s="719" t="s">
        <v>958</v>
      </c>
      <c r="C106" s="260"/>
      <c r="D106" s="717">
        <v>1</v>
      </c>
      <c r="E106" s="247" t="s">
        <v>47</v>
      </c>
      <c r="F106" s="247">
        <v>0.7</v>
      </c>
      <c r="G106" s="247"/>
      <c r="H106" s="448">
        <f>+ROUND(PRODUCT(D106:G106),2)</f>
        <v>0.7</v>
      </c>
      <c r="I106" s="245"/>
    </row>
    <row r="107" spans="1:9" ht="15" customHeight="1">
      <c r="A107" s="785"/>
      <c r="B107" s="719" t="s">
        <v>1005</v>
      </c>
      <c r="C107" s="260"/>
      <c r="D107" s="717">
        <v>2</v>
      </c>
      <c r="E107" s="247">
        <v>0.4</v>
      </c>
      <c r="F107" s="247"/>
      <c r="G107" s="247">
        <v>0.3</v>
      </c>
      <c r="H107" s="448">
        <f>+ROUND(PRODUCT(D107:G107),2)</f>
        <v>0.24</v>
      </c>
      <c r="I107" s="245"/>
    </row>
    <row r="108" spans="1:9" ht="15" customHeight="1">
      <c r="A108" s="785"/>
      <c r="B108" s="719" t="s">
        <v>1004</v>
      </c>
      <c r="C108" s="260"/>
      <c r="D108" s="717">
        <v>1</v>
      </c>
      <c r="E108" s="247">
        <v>1.2</v>
      </c>
      <c r="F108" s="247">
        <v>0.4</v>
      </c>
      <c r="G108" s="247"/>
      <c r="H108" s="448">
        <f>+ROUND(PRODUCT(D108:G108),2)</f>
        <v>0.48</v>
      </c>
      <c r="I108" s="245"/>
    </row>
    <row r="109" spans="1:9" ht="15" customHeight="1">
      <c r="A109" s="785"/>
      <c r="B109" s="719"/>
      <c r="C109" s="260"/>
      <c r="D109" s="717"/>
      <c r="E109" s="247"/>
      <c r="F109" s="247"/>
      <c r="G109" s="247"/>
      <c r="H109" s="247"/>
      <c r="I109" s="245"/>
    </row>
    <row r="110" spans="1:9" ht="15" customHeight="1">
      <c r="A110" s="785"/>
      <c r="B110" s="724" t="s">
        <v>995</v>
      </c>
      <c r="C110" s="260"/>
      <c r="D110" s="717"/>
      <c r="E110" s="247"/>
      <c r="F110" s="247"/>
      <c r="G110" s="247"/>
      <c r="H110" s="245"/>
      <c r="I110" s="245"/>
    </row>
    <row r="111" spans="1:9" ht="15" customHeight="1">
      <c r="A111" s="785"/>
      <c r="B111" s="719" t="s">
        <v>958</v>
      </c>
      <c r="C111" s="260"/>
      <c r="D111" s="717">
        <v>1</v>
      </c>
      <c r="E111" s="247" t="s">
        <v>47</v>
      </c>
      <c r="F111" s="247">
        <v>0.39</v>
      </c>
      <c r="G111" s="247"/>
      <c r="H111" s="448">
        <f t="shared" ref="H111:H116" si="3">+ROUND(PRODUCT(D111:G111),2)</f>
        <v>0.39</v>
      </c>
      <c r="I111" s="245"/>
    </row>
    <row r="112" spans="1:9" ht="15" customHeight="1">
      <c r="A112" s="785"/>
      <c r="B112" s="719" t="s">
        <v>1006</v>
      </c>
      <c r="C112" s="260"/>
      <c r="D112" s="717">
        <v>1</v>
      </c>
      <c r="E112" s="247">
        <v>0.5</v>
      </c>
      <c r="F112" s="247"/>
      <c r="G112" s="247">
        <v>0.25</v>
      </c>
      <c r="H112" s="448">
        <f t="shared" si="3"/>
        <v>0.13</v>
      </c>
      <c r="I112" s="245"/>
    </row>
    <row r="113" spans="1:9" ht="15" customHeight="1">
      <c r="A113" s="785"/>
      <c r="B113" s="719" t="s">
        <v>1005</v>
      </c>
      <c r="C113" s="260"/>
      <c r="D113" s="717">
        <v>1</v>
      </c>
      <c r="E113" s="247">
        <v>0.4</v>
      </c>
      <c r="F113" s="247"/>
      <c r="G113" s="247">
        <v>0.25</v>
      </c>
      <c r="H113" s="448">
        <f t="shared" si="3"/>
        <v>0.1</v>
      </c>
      <c r="I113" s="245"/>
    </row>
    <row r="114" spans="1:9" ht="15" customHeight="1">
      <c r="A114" s="785"/>
      <c r="B114" s="719" t="s">
        <v>1005</v>
      </c>
      <c r="C114" s="260"/>
      <c r="D114" s="717">
        <v>1</v>
      </c>
      <c r="E114" s="247">
        <v>0.5</v>
      </c>
      <c r="F114" s="247"/>
      <c r="G114" s="247">
        <v>0.75</v>
      </c>
      <c r="H114" s="448">
        <f t="shared" si="3"/>
        <v>0.38</v>
      </c>
      <c r="I114" s="245"/>
    </row>
    <row r="115" spans="1:9" ht="15" customHeight="1">
      <c r="A115" s="785"/>
      <c r="B115" s="719" t="s">
        <v>1004</v>
      </c>
      <c r="C115" s="260"/>
      <c r="D115" s="717">
        <v>1</v>
      </c>
      <c r="E115" s="247">
        <v>0.5</v>
      </c>
      <c r="F115" s="247">
        <v>0.4</v>
      </c>
      <c r="G115" s="247"/>
      <c r="H115" s="448">
        <f t="shared" si="3"/>
        <v>0.2</v>
      </c>
      <c r="I115" s="245"/>
    </row>
    <row r="116" spans="1:9" ht="15" customHeight="1">
      <c r="A116" s="785"/>
      <c r="B116" s="719" t="s">
        <v>1003</v>
      </c>
      <c r="C116" s="260"/>
      <c r="D116" s="717">
        <v>1</v>
      </c>
      <c r="E116" s="247">
        <v>0.8</v>
      </c>
      <c r="F116" s="247">
        <v>0.1</v>
      </c>
      <c r="G116" s="247"/>
      <c r="H116" s="448">
        <f t="shared" si="3"/>
        <v>0.08</v>
      </c>
      <c r="I116" s="245"/>
    </row>
    <row r="117" spans="1:9" ht="15" customHeight="1">
      <c r="A117" s="785"/>
      <c r="B117" s="784"/>
      <c r="C117" s="260"/>
      <c r="D117" s="717"/>
      <c r="E117" s="247"/>
      <c r="F117" s="247"/>
      <c r="G117" s="247"/>
      <c r="H117" s="247"/>
      <c r="I117" s="245"/>
    </row>
    <row r="118" spans="1:9" ht="15" customHeight="1">
      <c r="A118" s="785" t="str">
        <f>$A$102 &amp; ".02"</f>
        <v>01.16.05.02</v>
      </c>
      <c r="B118" s="790" t="s">
        <v>866</v>
      </c>
      <c r="C118" s="20" t="s">
        <v>55</v>
      </c>
      <c r="D118" s="260"/>
      <c r="E118" s="247"/>
      <c r="F118" s="247"/>
      <c r="G118" s="247"/>
      <c r="H118" s="245">
        <f>SUM(H120:H135)</f>
        <v>5.9099999999999984</v>
      </c>
      <c r="I118" s="245">
        <f>H118*$D$79</f>
        <v>5.9099999999999984</v>
      </c>
    </row>
    <row r="119" spans="1:9" ht="15" customHeight="1">
      <c r="A119" s="785"/>
      <c r="B119" s="724" t="s">
        <v>1002</v>
      </c>
      <c r="C119" s="20"/>
      <c r="D119" s="260"/>
      <c r="E119" s="247"/>
      <c r="F119" s="247"/>
      <c r="G119" s="247"/>
      <c r="H119" s="245"/>
      <c r="I119" s="245"/>
    </row>
    <row r="120" spans="1:9" ht="15" customHeight="1">
      <c r="A120" s="782"/>
      <c r="B120" s="719" t="s">
        <v>862</v>
      </c>
      <c r="C120" s="260"/>
      <c r="D120" s="260">
        <v>1</v>
      </c>
      <c r="E120" s="247">
        <v>1.4</v>
      </c>
      <c r="F120" s="247"/>
      <c r="G120" s="247">
        <v>0.4</v>
      </c>
      <c r="H120" s="448">
        <f t="shared" ref="H120:H129" si="4">+ROUND(PRODUCT(D120:G120),2)</f>
        <v>0.56000000000000005</v>
      </c>
      <c r="I120" s="245"/>
    </row>
    <row r="121" spans="1:9" ht="15" customHeight="1">
      <c r="A121" s="782"/>
      <c r="B121" s="719" t="s">
        <v>953</v>
      </c>
      <c r="C121" s="260"/>
      <c r="D121" s="260">
        <v>1</v>
      </c>
      <c r="E121" s="247" t="s">
        <v>896</v>
      </c>
      <c r="F121" s="247">
        <v>1.53</v>
      </c>
      <c r="G121" s="247"/>
      <c r="H121" s="448">
        <f t="shared" si="4"/>
        <v>1.53</v>
      </c>
      <c r="I121" s="245"/>
    </row>
    <row r="122" spans="1:9" ht="15" customHeight="1">
      <c r="A122" s="782"/>
      <c r="B122" s="719" t="s">
        <v>958</v>
      </c>
      <c r="C122" s="260"/>
      <c r="D122" s="260">
        <v>1</v>
      </c>
      <c r="E122" s="247">
        <v>1.1000000000000001</v>
      </c>
      <c r="F122" s="247"/>
      <c r="G122" s="247">
        <v>0.45</v>
      </c>
      <c r="H122" s="448">
        <f t="shared" si="4"/>
        <v>0.5</v>
      </c>
      <c r="I122" s="245"/>
    </row>
    <row r="123" spans="1:9" ht="15" customHeight="1">
      <c r="A123" s="782"/>
      <c r="B123" s="719" t="s">
        <v>1001</v>
      </c>
      <c r="C123" s="260"/>
      <c r="D123" s="260">
        <v>1</v>
      </c>
      <c r="E123" s="247">
        <v>0.65</v>
      </c>
      <c r="F123" s="247"/>
      <c r="G123" s="247">
        <v>0.4</v>
      </c>
      <c r="H123" s="448">
        <f t="shared" si="4"/>
        <v>0.26</v>
      </c>
      <c r="I123" s="245"/>
    </row>
    <row r="124" spans="1:9" ht="15" customHeight="1">
      <c r="A124" s="782"/>
      <c r="B124" s="719" t="s">
        <v>1000</v>
      </c>
      <c r="C124" s="260"/>
      <c r="D124" s="260">
        <v>1</v>
      </c>
      <c r="E124" s="247">
        <v>1.1000000000000001</v>
      </c>
      <c r="F124" s="247">
        <v>0.5</v>
      </c>
      <c r="G124" s="247"/>
      <c r="H124" s="448">
        <f t="shared" si="4"/>
        <v>0.55000000000000004</v>
      </c>
      <c r="I124" s="245"/>
    </row>
    <row r="125" spans="1:9" ht="12.75" customHeight="1">
      <c r="A125" s="782"/>
      <c r="B125" s="719" t="s">
        <v>999</v>
      </c>
      <c r="C125" s="260"/>
      <c r="D125" s="260">
        <v>2</v>
      </c>
      <c r="E125" s="247"/>
      <c r="F125" s="247">
        <v>0.5</v>
      </c>
      <c r="G125" s="247">
        <v>0.45</v>
      </c>
      <c r="H125" s="448">
        <f t="shared" si="4"/>
        <v>0.45</v>
      </c>
      <c r="I125" s="245"/>
    </row>
    <row r="126" spans="1:9" ht="15" customHeight="1">
      <c r="A126" s="782"/>
      <c r="B126" s="719" t="s">
        <v>998</v>
      </c>
      <c r="C126" s="260"/>
      <c r="D126" s="260">
        <v>1</v>
      </c>
      <c r="E126" s="247"/>
      <c r="F126" s="247">
        <v>0.65</v>
      </c>
      <c r="G126" s="247">
        <v>0.4</v>
      </c>
      <c r="H126" s="448">
        <f t="shared" si="4"/>
        <v>0.26</v>
      </c>
      <c r="I126" s="245"/>
    </row>
    <row r="127" spans="1:9" ht="15" customHeight="1">
      <c r="A127" s="782"/>
      <c r="B127" s="719" t="s">
        <v>997</v>
      </c>
      <c r="C127" s="260"/>
      <c r="D127" s="260">
        <v>2</v>
      </c>
      <c r="E127" s="247"/>
      <c r="F127" s="247">
        <v>0.15</v>
      </c>
      <c r="G127" s="247">
        <v>0.45</v>
      </c>
      <c r="H127" s="448">
        <f t="shared" si="4"/>
        <v>0.14000000000000001</v>
      </c>
      <c r="I127" s="245"/>
    </row>
    <row r="128" spans="1:9" ht="15" customHeight="1">
      <c r="A128" s="782"/>
      <c r="B128" s="719" t="s">
        <v>993</v>
      </c>
      <c r="C128" s="260"/>
      <c r="D128" s="260">
        <v>1</v>
      </c>
      <c r="E128" s="247">
        <v>1.95</v>
      </c>
      <c r="F128" s="247">
        <v>0.15</v>
      </c>
      <c r="G128" s="247"/>
      <c r="H128" s="448">
        <f t="shared" si="4"/>
        <v>0.28999999999999998</v>
      </c>
      <c r="I128" s="245"/>
    </row>
    <row r="129" spans="1:9" ht="15" customHeight="1">
      <c r="A129" s="782"/>
      <c r="B129" s="719" t="s">
        <v>996</v>
      </c>
      <c r="C129" s="260"/>
      <c r="D129" s="260">
        <v>1</v>
      </c>
      <c r="E129" s="247">
        <v>2.2000000000000002</v>
      </c>
      <c r="F129" s="247">
        <v>0.1</v>
      </c>
      <c r="G129" s="247"/>
      <c r="H129" s="448">
        <f t="shared" si="4"/>
        <v>0.22</v>
      </c>
      <c r="I129" s="245"/>
    </row>
    <row r="130" spans="1:9" ht="14.25" customHeight="1">
      <c r="A130" s="782"/>
      <c r="B130" s="724" t="s">
        <v>995</v>
      </c>
      <c r="C130" s="260"/>
      <c r="D130" s="260"/>
      <c r="E130" s="247"/>
      <c r="F130" s="247"/>
      <c r="G130" s="247"/>
      <c r="H130" s="448"/>
      <c r="I130" s="245"/>
    </row>
    <row r="131" spans="1:9" ht="15" customHeight="1">
      <c r="A131" s="782"/>
      <c r="B131" s="719" t="s">
        <v>953</v>
      </c>
      <c r="C131" s="260"/>
      <c r="D131" s="260">
        <v>1</v>
      </c>
      <c r="E131" s="247" t="s">
        <v>994</v>
      </c>
      <c r="F131" s="247">
        <v>0.47</v>
      </c>
      <c r="G131" s="247"/>
      <c r="H131" s="448">
        <f>+ROUND(PRODUCT(D131:G131),2)</f>
        <v>0.47</v>
      </c>
      <c r="I131" s="245"/>
    </row>
    <row r="132" spans="1:9" ht="15" customHeight="1">
      <c r="A132" s="782"/>
      <c r="B132" s="719" t="s">
        <v>862</v>
      </c>
      <c r="C132" s="260"/>
      <c r="D132" s="260">
        <v>1</v>
      </c>
      <c r="E132" s="247">
        <v>0.6</v>
      </c>
      <c r="F132" s="247"/>
      <c r="G132" s="247">
        <v>0.35</v>
      </c>
      <c r="H132" s="448">
        <f>+ROUND(PRODUCT(D132:G132),2)</f>
        <v>0.21</v>
      </c>
      <c r="I132" s="245"/>
    </row>
    <row r="133" spans="1:9" ht="15" customHeight="1">
      <c r="A133" s="782"/>
      <c r="B133" s="719" t="s">
        <v>865</v>
      </c>
      <c r="C133" s="260"/>
      <c r="D133" s="260">
        <v>1</v>
      </c>
      <c r="E133" s="247"/>
      <c r="F133" s="247">
        <v>0.65</v>
      </c>
      <c r="G133" s="247">
        <v>0.35</v>
      </c>
      <c r="H133" s="448">
        <f>+ROUND(PRODUCT(D133:G133),2)</f>
        <v>0.23</v>
      </c>
      <c r="I133" s="245"/>
    </row>
    <row r="134" spans="1:9" ht="15" customHeight="1">
      <c r="A134" s="782"/>
      <c r="B134" s="719" t="s">
        <v>993</v>
      </c>
      <c r="C134" s="260"/>
      <c r="D134" s="260">
        <v>1</v>
      </c>
      <c r="E134" s="247">
        <v>0.92</v>
      </c>
      <c r="F134" s="247">
        <v>0.15</v>
      </c>
      <c r="G134" s="247"/>
      <c r="H134" s="448">
        <f>+ROUND(PRODUCT(D134:G134),2)</f>
        <v>0.14000000000000001</v>
      </c>
      <c r="I134" s="245"/>
    </row>
    <row r="135" spans="1:9" ht="15" customHeight="1">
      <c r="A135" s="782"/>
      <c r="B135" s="719" t="s">
        <v>992</v>
      </c>
      <c r="C135" s="260"/>
      <c r="D135" s="260">
        <v>1</v>
      </c>
      <c r="E135" s="247">
        <v>1</v>
      </c>
      <c r="F135" s="247">
        <v>0.1</v>
      </c>
      <c r="G135" s="247"/>
      <c r="H135" s="448">
        <f>+ROUND(PRODUCT(D135:G135),2)</f>
        <v>0.1</v>
      </c>
      <c r="I135" s="245"/>
    </row>
    <row r="136" spans="1:9" ht="14.25" customHeight="1">
      <c r="A136" s="782"/>
      <c r="B136" s="273"/>
      <c r="C136" s="260"/>
      <c r="D136" s="260"/>
      <c r="E136" s="247"/>
      <c r="F136" s="247"/>
      <c r="G136" s="247"/>
      <c r="H136" s="448"/>
      <c r="I136" s="245"/>
    </row>
    <row r="137" spans="1:9" ht="15" customHeight="1">
      <c r="A137" s="786" t="str">
        <f>A$20 &amp; ".06"</f>
        <v>01.16.06</v>
      </c>
      <c r="B137" s="454" t="s">
        <v>655</v>
      </c>
      <c r="C137" s="260"/>
      <c r="D137" s="717">
        <f>+$D$20</f>
        <v>1</v>
      </c>
      <c r="E137" s="247"/>
      <c r="F137" s="247"/>
      <c r="G137" s="247"/>
      <c r="H137" s="247"/>
      <c r="I137" s="245"/>
    </row>
    <row r="138" spans="1:9" ht="15" customHeight="1">
      <c r="A138" s="785" t="str">
        <f>$A$137 &amp; ".01"</f>
        <v>01.16.06.01</v>
      </c>
      <c r="B138" s="819" t="str">
        <f>+"SUMINISTRO Y COLOC. DE ACCESORIOS EN "&amp;A4</f>
        <v>SUMINISTRO Y COLOC. DE ACCESORIOS EN LAVADERO MULTIUSO PARA I. E. PRIMARIA</v>
      </c>
      <c r="C138" s="260" t="s">
        <v>58</v>
      </c>
      <c r="D138" s="260">
        <v>1</v>
      </c>
      <c r="E138" s="247"/>
      <c r="F138" s="247"/>
      <c r="G138" s="247"/>
      <c r="H138" s="448">
        <f>+D138</f>
        <v>1</v>
      </c>
      <c r="I138" s="245">
        <f>H138*$D$137</f>
        <v>1</v>
      </c>
    </row>
    <row r="139" spans="1:9" ht="15" customHeight="1">
      <c r="A139" s="782"/>
      <c r="B139" s="715" t="s">
        <v>858</v>
      </c>
      <c r="C139" s="260"/>
      <c r="D139" s="260"/>
      <c r="E139" s="247"/>
      <c r="F139" s="247"/>
      <c r="G139" s="247"/>
      <c r="H139" s="247"/>
      <c r="I139" s="245"/>
    </row>
    <row r="140" spans="1:9" ht="15" customHeight="1">
      <c r="A140" s="782"/>
      <c r="B140" s="818" t="s">
        <v>947</v>
      </c>
      <c r="C140" s="260" t="s">
        <v>58</v>
      </c>
      <c r="D140" s="260">
        <v>3</v>
      </c>
      <c r="E140" s="247"/>
      <c r="F140" s="247"/>
      <c r="G140" s="247"/>
      <c r="H140" s="247"/>
      <c r="I140" s="245"/>
    </row>
    <row r="141" spans="1:9" ht="15" customHeight="1">
      <c r="A141" s="782"/>
      <c r="B141" s="818" t="s">
        <v>946</v>
      </c>
      <c r="C141" s="260" t="s">
        <v>58</v>
      </c>
      <c r="D141" s="260">
        <v>2</v>
      </c>
      <c r="E141" s="247"/>
      <c r="F141" s="247"/>
      <c r="G141" s="247"/>
      <c r="H141" s="247"/>
      <c r="I141" s="245"/>
    </row>
    <row r="142" spans="1:9" ht="15" customHeight="1">
      <c r="A142" s="782"/>
      <c r="B142" s="818" t="s">
        <v>945</v>
      </c>
      <c r="C142" s="260" t="s">
        <v>58</v>
      </c>
      <c r="D142" s="260">
        <v>3</v>
      </c>
      <c r="E142" s="247"/>
      <c r="F142" s="247"/>
      <c r="G142" s="247"/>
      <c r="H142" s="247"/>
      <c r="I142" s="245"/>
    </row>
    <row r="143" spans="1:9" ht="15" customHeight="1">
      <c r="A143" s="782"/>
      <c r="B143" s="818" t="s">
        <v>944</v>
      </c>
      <c r="C143" s="260" t="s">
        <v>58</v>
      </c>
      <c r="D143" s="260">
        <v>3</v>
      </c>
      <c r="E143" s="247"/>
      <c r="F143" s="247"/>
      <c r="G143" s="247"/>
      <c r="H143" s="247"/>
      <c r="I143" s="245"/>
    </row>
    <row r="144" spans="1:9" ht="15" customHeight="1">
      <c r="A144" s="782"/>
      <c r="B144" s="818" t="s">
        <v>991</v>
      </c>
      <c r="C144" s="260" t="s">
        <v>58</v>
      </c>
      <c r="D144" s="260">
        <v>3</v>
      </c>
      <c r="E144" s="247"/>
      <c r="F144" s="247"/>
      <c r="G144" s="247"/>
      <c r="H144" s="247"/>
      <c r="I144" s="245"/>
    </row>
    <row r="145" spans="1:9" ht="15" customHeight="1">
      <c r="A145" s="782"/>
      <c r="B145" s="818" t="s">
        <v>990</v>
      </c>
      <c r="C145" s="260" t="s">
        <v>58</v>
      </c>
      <c r="D145" s="260">
        <v>3</v>
      </c>
      <c r="E145" s="247"/>
      <c r="F145" s="247"/>
      <c r="G145" s="247"/>
      <c r="H145" s="247"/>
      <c r="I145" s="245"/>
    </row>
    <row r="146" spans="1:9" ht="15" customHeight="1">
      <c r="A146" s="782"/>
      <c r="B146" s="818" t="s">
        <v>941</v>
      </c>
      <c r="C146" s="260" t="s">
        <v>58</v>
      </c>
      <c r="D146" s="260">
        <v>3</v>
      </c>
      <c r="E146" s="247"/>
      <c r="F146" s="247"/>
      <c r="G146" s="247"/>
      <c r="H146" s="247"/>
      <c r="I146" s="245"/>
    </row>
    <row r="147" spans="1:9" ht="15" customHeight="1">
      <c r="A147" s="782"/>
      <c r="B147" s="818" t="s">
        <v>940</v>
      </c>
      <c r="C147" s="260" t="s">
        <v>58</v>
      </c>
      <c r="D147" s="260">
        <v>3</v>
      </c>
      <c r="E147" s="247"/>
      <c r="F147" s="247"/>
      <c r="G147" s="247"/>
      <c r="H147" s="247"/>
      <c r="I147" s="245"/>
    </row>
    <row r="148" spans="1:9" ht="15" customHeight="1">
      <c r="A148" s="782"/>
      <c r="B148" s="818" t="s">
        <v>939</v>
      </c>
      <c r="C148" s="260" t="s">
        <v>58</v>
      </c>
      <c r="D148" s="260">
        <v>1</v>
      </c>
      <c r="E148" s="247"/>
      <c r="F148" s="247"/>
      <c r="G148" s="247"/>
      <c r="H148" s="247"/>
      <c r="I148" s="245"/>
    </row>
    <row r="149" spans="1:9" ht="15" customHeight="1">
      <c r="A149" s="782"/>
      <c r="B149" s="818" t="s">
        <v>989</v>
      </c>
      <c r="C149" s="260" t="s">
        <v>0</v>
      </c>
      <c r="D149" s="248">
        <v>4.4000000000000004</v>
      </c>
      <c r="E149" s="247"/>
      <c r="F149" s="247"/>
      <c r="G149" s="247"/>
      <c r="H149" s="247"/>
      <c r="I149" s="245"/>
    </row>
    <row r="150" spans="1:9" ht="15" customHeight="1">
      <c r="A150" s="782"/>
      <c r="B150" s="818" t="s">
        <v>988</v>
      </c>
      <c r="C150" s="260" t="s">
        <v>0</v>
      </c>
      <c r="D150" s="247">
        <v>2</v>
      </c>
      <c r="E150" s="247"/>
      <c r="F150" s="247"/>
      <c r="G150" s="247"/>
      <c r="H150" s="247"/>
      <c r="I150" s="245"/>
    </row>
    <row r="151" spans="1:9" ht="15" customHeight="1">
      <c r="A151" s="782"/>
      <c r="B151" s="713" t="s">
        <v>568</v>
      </c>
      <c r="C151" s="260" t="s">
        <v>58</v>
      </c>
      <c r="D151" s="260">
        <v>5</v>
      </c>
      <c r="E151" s="247"/>
      <c r="F151" s="247"/>
      <c r="G151" s="247"/>
      <c r="H151" s="247"/>
      <c r="I151" s="245"/>
    </row>
    <row r="152" spans="1:9" ht="15" customHeight="1">
      <c r="A152" s="782"/>
      <c r="B152" s="713" t="s">
        <v>567</v>
      </c>
      <c r="C152" s="260" t="s">
        <v>58</v>
      </c>
      <c r="D152" s="260">
        <v>1</v>
      </c>
      <c r="E152" s="247"/>
      <c r="F152" s="247"/>
      <c r="G152" s="247"/>
      <c r="H152" s="247"/>
      <c r="I152" s="245"/>
    </row>
    <row r="153" spans="1:9" ht="15" customHeight="1">
      <c r="A153" s="782"/>
      <c r="B153" s="715" t="s">
        <v>851</v>
      </c>
      <c r="C153" s="260"/>
      <c r="D153" s="260"/>
      <c r="E153" s="247"/>
      <c r="F153" s="247"/>
      <c r="G153" s="247"/>
      <c r="H153" s="247"/>
      <c r="I153" s="245"/>
    </row>
    <row r="154" spans="1:9" ht="15" customHeight="1">
      <c r="A154" s="782"/>
      <c r="B154" s="818" t="s">
        <v>936</v>
      </c>
      <c r="C154" s="260" t="s">
        <v>58</v>
      </c>
      <c r="D154" s="260">
        <v>2</v>
      </c>
      <c r="E154" s="247"/>
      <c r="F154" s="247"/>
      <c r="G154" s="247"/>
      <c r="H154" s="247"/>
      <c r="I154" s="245"/>
    </row>
    <row r="155" spans="1:9" ht="15" customHeight="1">
      <c r="A155" s="782"/>
      <c r="B155" s="818" t="s">
        <v>987</v>
      </c>
      <c r="C155" s="260" t="s">
        <v>58</v>
      </c>
      <c r="D155" s="260">
        <v>1</v>
      </c>
      <c r="E155" s="247"/>
      <c r="F155" s="247"/>
      <c r="G155" s="247"/>
      <c r="H155" s="247"/>
      <c r="I155" s="245"/>
    </row>
    <row r="156" spans="1:9" ht="15" customHeight="1">
      <c r="A156" s="782"/>
      <c r="B156" s="818" t="s">
        <v>986</v>
      </c>
      <c r="C156" s="260" t="s">
        <v>58</v>
      </c>
      <c r="D156" s="260">
        <v>3</v>
      </c>
      <c r="E156" s="247"/>
      <c r="F156" s="247"/>
      <c r="G156" s="247"/>
      <c r="H156" s="247"/>
      <c r="I156" s="245"/>
    </row>
    <row r="157" spans="1:9" ht="15" customHeight="1">
      <c r="A157" s="782"/>
      <c r="B157" s="818" t="s">
        <v>935</v>
      </c>
      <c r="C157" s="260" t="s">
        <v>58</v>
      </c>
      <c r="D157" s="783">
        <v>2</v>
      </c>
      <c r="E157" s="247"/>
      <c r="F157" s="247"/>
      <c r="G157" s="247"/>
      <c r="H157" s="247"/>
      <c r="I157" s="245"/>
    </row>
    <row r="158" spans="1:9" ht="15" customHeight="1">
      <c r="A158" s="782"/>
      <c r="B158" s="818" t="s">
        <v>985</v>
      </c>
      <c r="C158" s="260" t="s">
        <v>58</v>
      </c>
      <c r="D158" s="783">
        <v>1</v>
      </c>
      <c r="E158" s="247"/>
      <c r="F158" s="247"/>
      <c r="G158" s="247"/>
      <c r="H158" s="247"/>
      <c r="I158" s="245"/>
    </row>
    <row r="159" spans="1:9" ht="15" customHeight="1">
      <c r="A159" s="782"/>
      <c r="B159" s="818" t="s">
        <v>984</v>
      </c>
      <c r="C159" s="260" t="s">
        <v>0</v>
      </c>
      <c r="D159" s="247">
        <v>3</v>
      </c>
      <c r="E159" s="247"/>
      <c r="F159" s="247"/>
      <c r="G159" s="247"/>
      <c r="H159" s="247"/>
      <c r="I159" s="245"/>
    </row>
    <row r="160" spans="1:9" ht="15" customHeight="1">
      <c r="A160" s="931" t="s">
        <v>1080</v>
      </c>
      <c r="B160" s="931" t="s">
        <v>1081</v>
      </c>
      <c r="C160" s="931"/>
      <c r="D160" s="939"/>
      <c r="E160" s="1267"/>
      <c r="F160" s="1267"/>
      <c r="G160" s="1267"/>
      <c r="H160" s="1269"/>
      <c r="I160" s="932"/>
    </row>
    <row r="161" spans="1:9" ht="15" customHeight="1">
      <c r="A161" s="933" t="s">
        <v>1082</v>
      </c>
      <c r="B161" s="933" t="s">
        <v>1083</v>
      </c>
      <c r="C161" s="933" t="s">
        <v>41</v>
      </c>
      <c r="D161" s="940"/>
      <c r="E161" s="1268"/>
      <c r="F161" s="1268"/>
      <c r="G161" s="1268"/>
      <c r="H161" s="1270"/>
      <c r="I161" s="932">
        <f>+H162</f>
        <v>1</v>
      </c>
    </row>
    <row r="162" spans="1:9" ht="15" customHeight="1">
      <c r="A162" s="933"/>
      <c r="B162" s="933"/>
      <c r="C162" s="933"/>
      <c r="D162" s="941">
        <v>1</v>
      </c>
      <c r="E162" s="1268"/>
      <c r="F162" s="1268"/>
      <c r="G162" s="1268"/>
      <c r="H162" s="942">
        <f>PRODUCT(D162:G162)</f>
        <v>1</v>
      </c>
      <c r="I162" s="932"/>
    </row>
    <row r="163" spans="1:9" ht="15" customHeight="1">
      <c r="A163" s="936"/>
      <c r="B163" s="937"/>
      <c r="C163" s="937"/>
      <c r="D163" s="937"/>
      <c r="E163" s="943"/>
      <c r="F163" s="943"/>
      <c r="G163" s="943"/>
      <c r="H163" s="937"/>
      <c r="I163" s="938"/>
    </row>
    <row r="164" spans="1:9" ht="15" customHeight="1">
      <c r="A164" s="933" t="s">
        <v>1084</v>
      </c>
      <c r="B164" s="933" t="s">
        <v>1085</v>
      </c>
      <c r="C164" s="933" t="s">
        <v>41</v>
      </c>
      <c r="D164" s="940"/>
      <c r="E164" s="1268"/>
      <c r="F164" s="1268"/>
      <c r="G164" s="1268"/>
      <c r="H164" s="942"/>
      <c r="I164" s="932">
        <f>+H165</f>
        <v>1</v>
      </c>
    </row>
    <row r="165" spans="1:9" ht="15" customHeight="1">
      <c r="A165" s="934"/>
      <c r="B165" s="934"/>
      <c r="C165" s="935"/>
      <c r="D165" s="941">
        <v>1</v>
      </c>
      <c r="E165" s="1271"/>
      <c r="F165" s="1271"/>
      <c r="G165" s="1271"/>
      <c r="H165" s="942">
        <f t="shared" ref="H165" si="5">PRODUCT(D165:G165)</f>
        <v>1</v>
      </c>
      <c r="I165" s="932"/>
    </row>
    <row r="166" spans="1:9" ht="15" customHeight="1">
      <c r="A166" s="1263"/>
      <c r="B166" s="1264"/>
      <c r="C166" s="1264"/>
      <c r="D166" s="1264"/>
      <c r="E166" s="1265"/>
      <c r="F166" s="1265"/>
      <c r="G166" s="1265"/>
      <c r="H166" s="1264"/>
      <c r="I166" s="1266"/>
    </row>
    <row r="167" spans="1:9" ht="15" customHeight="1">
      <c r="D167" s="709"/>
      <c r="E167" s="704"/>
      <c r="F167" s="704"/>
      <c r="G167" s="704"/>
    </row>
    <row r="168" spans="1:9" ht="15" customHeight="1">
      <c r="D168" s="709"/>
      <c r="E168" s="704"/>
      <c r="F168" s="704"/>
      <c r="G168" s="704"/>
    </row>
    <row r="169" spans="1:9" ht="15" customHeight="1">
      <c r="D169" s="709"/>
      <c r="E169" s="704"/>
      <c r="F169" s="704"/>
      <c r="G169" s="704"/>
    </row>
    <row r="170" spans="1:9" ht="15" customHeight="1">
      <c r="D170" s="709"/>
      <c r="E170" s="704"/>
      <c r="F170" s="704"/>
      <c r="G170" s="704"/>
    </row>
    <row r="171" spans="1:9" ht="15" customHeight="1">
      <c r="D171" s="709"/>
      <c r="E171" s="704"/>
      <c r="F171" s="704"/>
      <c r="G171" s="704"/>
    </row>
    <row r="172" spans="1:9" ht="15" customHeight="1">
      <c r="D172" s="709"/>
      <c r="E172" s="704"/>
      <c r="F172" s="704"/>
      <c r="G172" s="704"/>
    </row>
    <row r="173" spans="1:9" ht="15" customHeight="1">
      <c r="D173" s="1059" t="s">
        <v>566</v>
      </c>
      <c r="E173" s="1060"/>
      <c r="F173" s="1060"/>
      <c r="G173" s="1060"/>
      <c r="H173" s="1060"/>
      <c r="I173" s="1061"/>
    </row>
    <row r="174" spans="1:9" ht="15" customHeight="1">
      <c r="D174" s="1062" t="s">
        <v>565</v>
      </c>
      <c r="E174" s="1063"/>
      <c r="F174" s="1064" t="s">
        <v>564</v>
      </c>
      <c r="G174" s="1064" t="s">
        <v>563</v>
      </c>
      <c r="H174" s="1064" t="s">
        <v>562</v>
      </c>
      <c r="I174" s="1064" t="s">
        <v>561</v>
      </c>
    </row>
    <row r="175" spans="1:9" ht="15" customHeight="1">
      <c r="D175" s="438" t="s">
        <v>560</v>
      </c>
      <c r="E175" s="438" t="s">
        <v>559</v>
      </c>
      <c r="F175" s="1065"/>
      <c r="G175" s="1065"/>
      <c r="H175" s="1065"/>
      <c r="I175" s="1065"/>
    </row>
    <row r="176" spans="1:9" ht="15" customHeight="1">
      <c r="D176" s="437">
        <v>0.25</v>
      </c>
      <c r="E176" s="436">
        <v>6</v>
      </c>
      <c r="F176" s="435">
        <f t="shared" ref="F176:F184" si="6">+PI()*G176*G176/4</f>
        <v>0.31669217443593611</v>
      </c>
      <c r="G176" s="435">
        <f>2.54*1/4</f>
        <v>0.63500000000000001</v>
      </c>
      <c r="H176" s="435">
        <f>+G176*PI()</f>
        <v>1.9949113350295187</v>
      </c>
      <c r="I176" s="435">
        <v>0.222</v>
      </c>
    </row>
    <row r="177" spans="4:9" ht="15" customHeight="1">
      <c r="D177" s="437"/>
      <c r="E177" s="436">
        <v>8</v>
      </c>
      <c r="F177" s="435">
        <f t="shared" si="6"/>
        <v>0.50265482457436694</v>
      </c>
      <c r="G177" s="435">
        <v>0.8</v>
      </c>
      <c r="H177" s="435"/>
      <c r="I177" s="435">
        <v>0.4</v>
      </c>
    </row>
    <row r="178" spans="4:9" ht="15" customHeight="1">
      <c r="D178" s="437">
        <v>0.375</v>
      </c>
      <c r="E178" s="436" t="s">
        <v>558</v>
      </c>
      <c r="F178" s="435">
        <f t="shared" si="6"/>
        <v>0.71255739248085614</v>
      </c>
      <c r="G178" s="435">
        <f>2.54*3/8</f>
        <v>0.95250000000000001</v>
      </c>
      <c r="H178" s="435">
        <f>+G178*PI()</f>
        <v>2.9923670025442779</v>
      </c>
      <c r="I178" s="435">
        <v>0.56000000000000005</v>
      </c>
    </row>
    <row r="179" spans="4:9" ht="15" customHeight="1">
      <c r="D179" s="437"/>
      <c r="E179" s="436">
        <v>12</v>
      </c>
      <c r="F179" s="435">
        <f t="shared" si="6"/>
        <v>1.1309733552923256</v>
      </c>
      <c r="G179" s="435">
        <v>1.2</v>
      </c>
      <c r="H179" s="435"/>
      <c r="I179" s="435">
        <v>0.89</v>
      </c>
    </row>
    <row r="180" spans="4:9" ht="15" customHeight="1">
      <c r="D180" s="437">
        <v>0.5</v>
      </c>
      <c r="E180" s="436" t="s">
        <v>558</v>
      </c>
      <c r="F180" s="435">
        <f t="shared" si="6"/>
        <v>1.2667686977437445</v>
      </c>
      <c r="G180" s="435">
        <f>1/2*2.54</f>
        <v>1.27</v>
      </c>
      <c r="H180" s="435">
        <f>+G180*PI()</f>
        <v>3.9898226700590373</v>
      </c>
      <c r="I180" s="435">
        <v>0.99399999999999999</v>
      </c>
    </row>
    <row r="181" spans="4:9" ht="15" customHeight="1">
      <c r="D181" s="437">
        <v>0.625</v>
      </c>
      <c r="E181" s="436" t="s">
        <v>558</v>
      </c>
      <c r="F181" s="435">
        <f t="shared" si="6"/>
        <v>1.9793260902246004</v>
      </c>
      <c r="G181" s="435">
        <f>5/8*2.54</f>
        <v>1.5874999999999999</v>
      </c>
      <c r="H181" s="435">
        <f>+G181*PI()</f>
        <v>4.9872783375737963</v>
      </c>
      <c r="I181" s="435">
        <v>1.552</v>
      </c>
    </row>
    <row r="182" spans="4:9" ht="15" customHeight="1">
      <c r="D182" s="437">
        <v>0.75</v>
      </c>
      <c r="E182" s="436" t="s">
        <v>558</v>
      </c>
      <c r="F182" s="435">
        <f t="shared" si="6"/>
        <v>2.8502295699234246</v>
      </c>
      <c r="G182" s="435">
        <f>3/4*2.54</f>
        <v>1.905</v>
      </c>
      <c r="H182" s="435">
        <f>+G182*PI()</f>
        <v>5.9847340050885558</v>
      </c>
      <c r="I182" s="435">
        <v>2.2349999999999999</v>
      </c>
    </row>
    <row r="183" spans="4:9" ht="15" customHeight="1">
      <c r="D183" s="437">
        <v>1</v>
      </c>
      <c r="E183" s="436" t="s">
        <v>558</v>
      </c>
      <c r="F183" s="435">
        <f t="shared" si="6"/>
        <v>5.0670747909749778</v>
      </c>
      <c r="G183" s="435">
        <v>2.54</v>
      </c>
      <c r="H183" s="435">
        <f>+G183*PI()</f>
        <v>7.9796453401180747</v>
      </c>
      <c r="I183" s="435">
        <v>3.9729999999999999</v>
      </c>
    </row>
    <row r="184" spans="4:9" ht="15" customHeight="1">
      <c r="D184" s="437">
        <v>1.375</v>
      </c>
      <c r="E184" s="436" t="s">
        <v>558</v>
      </c>
      <c r="F184" s="435">
        <f t="shared" si="6"/>
        <v>9.5799382766870682</v>
      </c>
      <c r="G184" s="435">
        <f>1.375*2.54</f>
        <v>3.4925000000000002</v>
      </c>
      <c r="H184" s="435">
        <f>+G184*PI()</f>
        <v>10.972012342662353</v>
      </c>
      <c r="I184" s="435">
        <v>7.907</v>
      </c>
    </row>
    <row r="185" spans="4:9" ht="15" customHeight="1">
      <c r="D185" s="709"/>
      <c r="E185" s="704"/>
      <c r="F185" s="704"/>
      <c r="G185" s="704"/>
    </row>
    <row r="186" spans="4:9" ht="15" customHeight="1">
      <c r="D186" s="709"/>
      <c r="E186" s="704"/>
      <c r="F186" s="704"/>
      <c r="G186" s="704"/>
    </row>
    <row r="187" spans="4:9" ht="15" customHeight="1">
      <c r="D187" s="709"/>
      <c r="E187" s="704"/>
      <c r="F187" s="704"/>
      <c r="G187" s="704"/>
    </row>
    <row r="188" spans="4:9" ht="15" customHeight="1">
      <c r="D188" s="709"/>
      <c r="E188" s="704"/>
      <c r="F188" s="704"/>
      <c r="G188" s="704"/>
    </row>
    <row r="189" spans="4:9" ht="15" customHeight="1">
      <c r="D189" s="709"/>
      <c r="E189" s="704"/>
      <c r="F189" s="704"/>
      <c r="G189" s="704"/>
    </row>
    <row r="190" spans="4:9" ht="15" customHeight="1">
      <c r="D190" s="709"/>
      <c r="E190" s="704"/>
      <c r="F190" s="704"/>
      <c r="G190" s="704"/>
    </row>
    <row r="191" spans="4:9" ht="15" customHeight="1">
      <c r="D191" s="709"/>
      <c r="E191" s="704"/>
      <c r="F191" s="704"/>
      <c r="G191" s="704"/>
    </row>
    <row r="192" spans="4:9" ht="15" customHeight="1">
      <c r="D192" s="709"/>
      <c r="E192" s="704"/>
      <c r="F192" s="704"/>
      <c r="G192" s="704"/>
    </row>
    <row r="193" spans="4:7" ht="15" customHeight="1">
      <c r="D193" s="709"/>
      <c r="E193" s="704"/>
      <c r="F193" s="704"/>
      <c r="G193" s="704"/>
    </row>
    <row r="194" spans="4:7" ht="15" customHeight="1">
      <c r="D194" s="709"/>
      <c r="E194" s="704"/>
      <c r="F194" s="704"/>
      <c r="G194" s="704"/>
    </row>
    <row r="195" spans="4:7" ht="15" customHeight="1">
      <c r="D195" s="709"/>
      <c r="E195" s="704"/>
      <c r="F195" s="704"/>
      <c r="G195" s="704"/>
    </row>
    <row r="196" spans="4:7" ht="15" customHeight="1">
      <c r="D196" s="709"/>
      <c r="E196" s="704"/>
      <c r="F196" s="704"/>
      <c r="G196" s="704"/>
    </row>
    <row r="197" spans="4:7" ht="15" customHeight="1">
      <c r="D197" s="709"/>
      <c r="E197" s="704"/>
      <c r="F197" s="704"/>
      <c r="G197" s="704"/>
    </row>
    <row r="198" spans="4:7" ht="15" customHeight="1">
      <c r="D198" s="709"/>
      <c r="E198" s="704"/>
      <c r="F198" s="704"/>
      <c r="G198" s="704"/>
    </row>
    <row r="199" spans="4:7" ht="15" customHeight="1">
      <c r="D199" s="709"/>
      <c r="E199" s="704"/>
      <c r="F199" s="704"/>
      <c r="G199" s="704"/>
    </row>
    <row r="200" spans="4:7" ht="15" customHeight="1">
      <c r="D200" s="709"/>
      <c r="E200" s="704"/>
      <c r="F200" s="704"/>
      <c r="G200" s="704"/>
    </row>
    <row r="201" spans="4:7" ht="15" customHeight="1">
      <c r="D201" s="709"/>
      <c r="E201" s="704"/>
      <c r="F201" s="704"/>
      <c r="G201" s="704"/>
    </row>
    <row r="202" spans="4:7" ht="15" customHeight="1">
      <c r="D202" s="709"/>
      <c r="E202" s="704"/>
      <c r="F202" s="704"/>
      <c r="G202" s="704"/>
    </row>
    <row r="203" spans="4:7" ht="15" customHeight="1">
      <c r="D203" s="709"/>
      <c r="E203" s="704"/>
      <c r="F203" s="704"/>
      <c r="G203" s="704"/>
    </row>
    <row r="204" spans="4:7" ht="15" customHeight="1">
      <c r="D204" s="709"/>
      <c r="E204" s="704"/>
      <c r="F204" s="704"/>
      <c r="G204" s="704"/>
    </row>
    <row r="205" spans="4:7" ht="15" customHeight="1">
      <c r="D205" s="709"/>
      <c r="E205" s="704"/>
      <c r="F205" s="704"/>
      <c r="G205" s="704"/>
    </row>
    <row r="206" spans="4:7" ht="15" customHeight="1">
      <c r="D206" s="709"/>
      <c r="E206" s="704"/>
      <c r="F206" s="704"/>
      <c r="G206" s="704"/>
    </row>
    <row r="207" spans="4:7" ht="15" customHeight="1">
      <c r="D207" s="709"/>
      <c r="E207" s="704"/>
      <c r="F207" s="704"/>
      <c r="G207" s="704"/>
    </row>
    <row r="208" spans="4:7" ht="15" customHeight="1">
      <c r="D208" s="709"/>
      <c r="E208" s="704"/>
      <c r="F208" s="704"/>
      <c r="G208" s="704"/>
    </row>
    <row r="209" spans="4:7" ht="15" customHeight="1">
      <c r="D209" s="709"/>
      <c r="E209" s="704"/>
      <c r="F209" s="704"/>
      <c r="G209" s="704"/>
    </row>
    <row r="210" spans="4:7" ht="15" customHeight="1">
      <c r="D210" s="709"/>
      <c r="E210" s="704"/>
      <c r="F210" s="704"/>
      <c r="G210" s="704"/>
    </row>
    <row r="211" spans="4:7" ht="15" customHeight="1">
      <c r="D211" s="709"/>
      <c r="E211" s="704"/>
      <c r="F211" s="704"/>
      <c r="G211" s="704"/>
    </row>
    <row r="212" spans="4:7" ht="15" customHeight="1">
      <c r="D212" s="709"/>
      <c r="E212" s="704"/>
      <c r="F212" s="704"/>
      <c r="G212" s="704"/>
    </row>
    <row r="213" spans="4:7" ht="15" customHeight="1">
      <c r="D213" s="709"/>
      <c r="E213" s="704"/>
      <c r="F213" s="704"/>
      <c r="G213" s="704"/>
    </row>
    <row r="214" spans="4:7" ht="15" customHeight="1">
      <c r="D214" s="709"/>
      <c r="E214" s="704"/>
      <c r="F214" s="704"/>
      <c r="G214" s="704"/>
    </row>
    <row r="215" spans="4:7" ht="15" customHeight="1">
      <c r="D215" s="709"/>
      <c r="E215" s="704"/>
      <c r="F215" s="704"/>
      <c r="G215" s="704"/>
    </row>
    <row r="216" spans="4:7" ht="15" customHeight="1">
      <c r="D216" s="709"/>
      <c r="E216" s="704"/>
      <c r="F216" s="704"/>
      <c r="G216" s="704"/>
    </row>
    <row r="217" spans="4:7" ht="15" customHeight="1">
      <c r="D217" s="709"/>
      <c r="E217" s="704"/>
      <c r="F217" s="704"/>
      <c r="G217" s="704"/>
    </row>
    <row r="218" spans="4:7" ht="15" customHeight="1">
      <c r="D218" s="709"/>
      <c r="E218" s="704"/>
      <c r="F218" s="704"/>
      <c r="G218" s="704"/>
    </row>
    <row r="219" spans="4:7" ht="15" customHeight="1">
      <c r="D219" s="709"/>
      <c r="E219" s="704"/>
      <c r="F219" s="704"/>
      <c r="G219" s="704"/>
    </row>
    <row r="220" spans="4:7" ht="15" customHeight="1">
      <c r="D220" s="709"/>
      <c r="E220" s="704"/>
      <c r="F220" s="704"/>
      <c r="G220" s="704"/>
    </row>
    <row r="221" spans="4:7" ht="15" customHeight="1">
      <c r="D221" s="709"/>
      <c r="E221" s="704"/>
      <c r="F221" s="704"/>
      <c r="G221" s="704"/>
    </row>
    <row r="222" spans="4:7" ht="15" customHeight="1">
      <c r="D222" s="709"/>
      <c r="E222" s="704"/>
      <c r="F222" s="704"/>
      <c r="G222" s="704"/>
    </row>
    <row r="223" spans="4:7" ht="15" customHeight="1">
      <c r="D223" s="709"/>
      <c r="E223" s="704"/>
      <c r="F223" s="704"/>
      <c r="G223" s="704"/>
    </row>
    <row r="224" spans="4:7" ht="15" customHeight="1">
      <c r="D224" s="709"/>
      <c r="E224" s="704"/>
      <c r="F224" s="704"/>
      <c r="G224" s="704"/>
    </row>
    <row r="225" spans="4:7" ht="15" customHeight="1">
      <c r="D225" s="709"/>
      <c r="E225" s="704"/>
      <c r="F225" s="704"/>
      <c r="G225" s="704"/>
    </row>
    <row r="226" spans="4:7" ht="15" customHeight="1">
      <c r="D226" s="709"/>
      <c r="E226" s="704"/>
      <c r="F226" s="704"/>
      <c r="G226" s="704"/>
    </row>
    <row r="227" spans="4:7" ht="15" customHeight="1">
      <c r="D227" s="709"/>
      <c r="E227" s="704"/>
      <c r="F227" s="704"/>
      <c r="G227" s="704"/>
    </row>
    <row r="228" spans="4:7" ht="15" customHeight="1">
      <c r="D228" s="709"/>
      <c r="E228" s="704"/>
      <c r="F228" s="704"/>
      <c r="G228" s="704"/>
    </row>
    <row r="229" spans="4:7" ht="15" customHeight="1">
      <c r="D229" s="709"/>
      <c r="E229" s="704"/>
      <c r="F229" s="704"/>
      <c r="G229" s="704"/>
    </row>
    <row r="230" spans="4:7" ht="15" customHeight="1">
      <c r="D230" s="709"/>
      <c r="E230" s="704"/>
      <c r="F230" s="704"/>
      <c r="G230" s="704"/>
    </row>
    <row r="231" spans="4:7" ht="15" customHeight="1">
      <c r="D231" s="709"/>
      <c r="E231" s="704"/>
      <c r="F231" s="704"/>
      <c r="G231" s="704"/>
    </row>
    <row r="232" spans="4:7" ht="15" customHeight="1">
      <c r="D232" s="709"/>
      <c r="E232" s="704"/>
      <c r="F232" s="704"/>
      <c r="G232" s="704"/>
    </row>
    <row r="233" spans="4:7" ht="15" customHeight="1">
      <c r="D233" s="709"/>
      <c r="E233" s="704"/>
      <c r="F233" s="704"/>
      <c r="G233" s="704"/>
    </row>
    <row r="234" spans="4:7" ht="15" customHeight="1">
      <c r="D234" s="709"/>
      <c r="E234" s="704"/>
      <c r="F234" s="704"/>
      <c r="G234" s="704"/>
    </row>
    <row r="235" spans="4:7" ht="15" customHeight="1">
      <c r="D235" s="709"/>
      <c r="E235" s="704"/>
      <c r="F235" s="704"/>
      <c r="G235" s="704"/>
    </row>
  </sheetData>
  <mergeCells count="19">
    <mergeCell ref="A166:I166"/>
    <mergeCell ref="E160:E162"/>
    <mergeCell ref="F160:F162"/>
    <mergeCell ref="G160:G162"/>
    <mergeCell ref="H160:H161"/>
    <mergeCell ref="E164:E165"/>
    <mergeCell ref="F164:F165"/>
    <mergeCell ref="G164:G165"/>
    <mergeCell ref="D173:I173"/>
    <mergeCell ref="D174:E174"/>
    <mergeCell ref="F174:F175"/>
    <mergeCell ref="G174:G175"/>
    <mergeCell ref="H174:H175"/>
    <mergeCell ref="I174:I175"/>
    <mergeCell ref="A1:I1"/>
    <mergeCell ref="A2:I2"/>
    <mergeCell ref="A3:I3"/>
    <mergeCell ref="A4:I4"/>
    <mergeCell ref="B6:H17"/>
  </mergeCells>
  <conditionalFormatting sqref="B54 A160:D160 A161:C161 A162:D162 A163 A164:C164 D165">
    <cfRule type="expression" priority="5" stopIfTrue="1">
      <formula>ROW()=CELL("fila")</formula>
    </cfRule>
  </conditionalFormatting>
  <conditionalFormatting sqref="B61">
    <cfRule type="expression" priority="4" stopIfTrue="1">
      <formula>ROW()=CELL("fila")</formula>
    </cfRule>
  </conditionalFormatting>
  <conditionalFormatting sqref="B69">
    <cfRule type="expression" priority="3" stopIfTrue="1">
      <formula>ROW()=CELL("fila")</formula>
    </cfRule>
  </conditionalFormatting>
  <conditionalFormatting sqref="B72">
    <cfRule type="expression" priority="2" stopIfTrue="1">
      <formula>ROW()=CELL("fila")</formula>
    </cfRule>
  </conditionalFormatting>
  <printOptions horizontalCentered="1"/>
  <pageMargins left="0.70866141732283472" right="0.70866141732283472" top="0.74803149606299213" bottom="0.94488188976377963" header="0.31496062992125984" footer="0.31496062992125984"/>
  <pageSetup paperSize="9" scale="58" fitToHeight="0" orientation="portrait" r:id="rId1"/>
  <headerFooter>
    <oddFooter>Página &amp;P&amp;R&amp;A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95930-0FEA-472B-BC8C-989671534D03}">
  <sheetPr codeName="Hoja23">
    <pageSetUpPr fitToPage="1"/>
  </sheetPr>
  <dimension ref="A1:T46"/>
  <sheetViews>
    <sheetView view="pageBreakPreview" zoomScale="85" zoomScaleNormal="100" zoomScaleSheetLayoutView="85" zoomScalePageLayoutView="55" workbookViewId="0">
      <selection activeCell="P9" sqref="P9"/>
    </sheetView>
  </sheetViews>
  <sheetFormatPr baseColWidth="10" defaultColWidth="14.6640625" defaultRowHeight="15"/>
  <cols>
    <col min="1" max="1" width="3.5" style="405" customWidth="1"/>
    <col min="2" max="2" width="9.5" style="405" customWidth="1"/>
    <col min="3" max="3" width="8.83203125" style="405" customWidth="1"/>
    <col min="4" max="4" width="8.5" style="405" customWidth="1"/>
    <col min="5" max="10" width="6" style="405" customWidth="1"/>
    <col min="11" max="12" width="14.6640625" style="405"/>
    <col min="13" max="13" width="17.83203125" style="405" customWidth="1"/>
    <col min="14" max="14" width="20.5" style="405" customWidth="1"/>
    <col min="15" max="16384" width="14.6640625" style="405"/>
  </cols>
  <sheetData>
    <row r="1" spans="1:20">
      <c r="A1" s="756"/>
      <c r="B1" s="756"/>
      <c r="C1" s="756"/>
      <c r="D1" s="756"/>
      <c r="E1" s="756"/>
      <c r="F1" s="756"/>
      <c r="G1" s="756"/>
      <c r="H1" s="756"/>
      <c r="I1" s="756"/>
      <c r="J1" s="756"/>
      <c r="K1" s="756"/>
      <c r="L1" s="756"/>
      <c r="M1" s="756"/>
      <c r="N1" s="756"/>
      <c r="O1" s="756"/>
      <c r="P1" s="756"/>
      <c r="Q1" s="756"/>
      <c r="R1" s="756"/>
      <c r="S1" s="756"/>
      <c r="T1" s="756"/>
    </row>
    <row r="2" spans="1:20">
      <c r="A2" s="756"/>
      <c r="B2" s="946" t="s">
        <v>334</v>
      </c>
      <c r="C2" s="947"/>
      <c r="D2" s="947"/>
      <c r="E2" s="947"/>
      <c r="F2" s="947"/>
      <c r="G2" s="947"/>
      <c r="H2" s="947"/>
      <c r="I2" s="947"/>
      <c r="J2" s="947"/>
      <c r="K2" s="947"/>
      <c r="L2" s="947"/>
      <c r="M2" s="947"/>
      <c r="N2" s="947"/>
      <c r="O2" s="947"/>
      <c r="P2" s="947"/>
      <c r="Q2" s="947"/>
      <c r="R2" s="947"/>
      <c r="S2" s="947"/>
      <c r="T2" s="948"/>
    </row>
    <row r="3" spans="1:20" ht="19.5" customHeight="1" thickBot="1">
      <c r="A3" s="756"/>
      <c r="B3" s="1251"/>
      <c r="C3" s="1252"/>
      <c r="D3" s="1252"/>
      <c r="E3" s="1252"/>
      <c r="F3" s="1252"/>
      <c r="G3" s="1252"/>
      <c r="H3" s="1252"/>
      <c r="I3" s="1252"/>
      <c r="J3" s="1252"/>
      <c r="K3" s="1252"/>
      <c r="L3" s="1252"/>
      <c r="M3" s="1252"/>
      <c r="N3" s="1252"/>
      <c r="O3" s="1252"/>
      <c r="P3" s="1252"/>
      <c r="Q3" s="1252"/>
      <c r="R3" s="1252"/>
      <c r="S3" s="1252"/>
      <c r="T3" s="1253"/>
    </row>
    <row r="4" spans="1:20" ht="32.25" customHeight="1" thickBot="1">
      <c r="A4" s="756"/>
      <c r="B4" s="1254" t="s">
        <v>1086</v>
      </c>
      <c r="C4" s="1255"/>
      <c r="D4" s="1255"/>
      <c r="E4" s="1255"/>
      <c r="F4" s="1255"/>
      <c r="G4" s="1255"/>
      <c r="H4" s="1255"/>
      <c r="I4" s="1255"/>
      <c r="J4" s="1255"/>
      <c r="K4" s="1255"/>
      <c r="L4" s="1255"/>
      <c r="M4" s="1255"/>
      <c r="N4" s="1255"/>
      <c r="O4" s="1255"/>
      <c r="P4" s="1255"/>
      <c r="Q4" s="1255"/>
      <c r="R4" s="1255"/>
      <c r="S4" s="1255"/>
      <c r="T4" s="1256"/>
    </row>
    <row r="5" spans="1:20" ht="19.5" customHeight="1">
      <c r="A5" s="756"/>
      <c r="B5" s="1272" t="str">
        <f>+"METRADO DE ACERO DE LAVADERO DE I. E. PRIMARIA"</f>
        <v>METRADO DE ACERO DE LAVADERO DE I. E. PRIMARIA</v>
      </c>
      <c r="C5" s="1273"/>
      <c r="D5" s="1273"/>
      <c r="E5" s="1273"/>
      <c r="F5" s="1273"/>
      <c r="G5" s="1273"/>
      <c r="H5" s="1273"/>
      <c r="I5" s="1273"/>
      <c r="J5" s="1273"/>
      <c r="K5" s="1273"/>
      <c r="L5" s="1273"/>
      <c r="M5" s="1273"/>
      <c r="N5" s="1273"/>
      <c r="O5" s="1273"/>
      <c r="P5" s="1273"/>
      <c r="Q5" s="1273"/>
      <c r="R5" s="1273"/>
      <c r="S5" s="1273"/>
      <c r="T5" s="1274"/>
    </row>
    <row r="6" spans="1:20" ht="15.75" thickBot="1">
      <c r="A6" s="756"/>
      <c r="B6" s="1130"/>
      <c r="C6" s="1020"/>
      <c r="D6" s="1020"/>
      <c r="E6" s="1020"/>
      <c r="F6" s="1020"/>
      <c r="G6" s="1020"/>
      <c r="H6" s="1020"/>
      <c r="I6" s="1020"/>
      <c r="J6" s="1020"/>
      <c r="K6" s="1020"/>
      <c r="L6" s="1020"/>
      <c r="M6" s="1020"/>
      <c r="N6" s="1020"/>
      <c r="O6" s="1020"/>
      <c r="P6" s="1020"/>
      <c r="Q6" s="1020"/>
      <c r="R6" s="1020"/>
      <c r="S6" s="1020"/>
      <c r="T6" s="1131"/>
    </row>
    <row r="7" spans="1:20">
      <c r="A7" s="756"/>
      <c r="B7" s="803"/>
      <c r="C7" s="802"/>
      <c r="D7" s="802"/>
      <c r="E7" s="802"/>
      <c r="F7" s="802"/>
      <c r="G7" s="802"/>
      <c r="H7" s="802"/>
      <c r="I7" s="802"/>
      <c r="J7" s="802"/>
      <c r="K7" s="802"/>
      <c r="L7" s="802"/>
      <c r="M7" s="802"/>
      <c r="N7" s="802"/>
      <c r="O7" s="802"/>
      <c r="P7" s="802"/>
      <c r="Q7" s="802"/>
      <c r="R7" s="802"/>
      <c r="S7" s="802"/>
      <c r="T7" s="801"/>
    </row>
    <row r="8" spans="1:20">
      <c r="A8" s="756"/>
      <c r="B8" s="770" t="str">
        <f>'1.16 LAVAD. PRIMAR.'!A99</f>
        <v>01.16.04.05</v>
      </c>
      <c r="C8" s="586"/>
      <c r="D8" s="586"/>
      <c r="E8" s="585" t="str">
        <f>'1.16 LAVAD. PRIMAR.'!B99</f>
        <v>ACERO CORRUGADO f'y=4200 kg/cm2 G-60</v>
      </c>
      <c r="F8" s="584"/>
      <c r="G8" s="584"/>
      <c r="H8" s="584"/>
      <c r="I8" s="584"/>
      <c r="J8" s="584"/>
      <c r="K8" s="546"/>
      <c r="L8" s="546"/>
      <c r="M8" s="546"/>
      <c r="N8" s="546"/>
      <c r="O8" s="546"/>
      <c r="P8" s="546"/>
      <c r="Q8" s="546"/>
      <c r="R8" s="546"/>
      <c r="S8" s="546"/>
      <c r="T8" s="759"/>
    </row>
    <row r="9" spans="1:20" ht="15.75" thickBot="1">
      <c r="A9" s="756"/>
      <c r="B9" s="800"/>
      <c r="C9" s="581"/>
      <c r="D9" s="581"/>
      <c r="E9" s="581"/>
      <c r="F9" s="581"/>
      <c r="G9" s="581"/>
      <c r="H9" s="581"/>
      <c r="I9" s="581"/>
      <c r="J9" s="581"/>
      <c r="K9" s="581"/>
      <c r="L9" s="581"/>
      <c r="M9" s="581"/>
      <c r="N9" s="581"/>
      <c r="O9" s="581"/>
      <c r="P9" s="581"/>
      <c r="Q9" s="581"/>
      <c r="R9" s="581"/>
      <c r="S9" s="581"/>
      <c r="T9" s="799"/>
    </row>
    <row r="10" spans="1:20" ht="15" customHeight="1">
      <c r="A10" s="756"/>
      <c r="B10" s="1257" t="s">
        <v>2</v>
      </c>
      <c r="C10" s="1258"/>
      <c r="D10" s="1259"/>
      <c r="E10" s="1235" t="s">
        <v>270</v>
      </c>
      <c r="F10" s="1236"/>
      <c r="G10" s="1236"/>
      <c r="H10" s="1236"/>
      <c r="I10" s="1236"/>
      <c r="J10" s="1236"/>
      <c r="K10" s="1249" t="s">
        <v>743</v>
      </c>
      <c r="L10" s="1249" t="s">
        <v>742</v>
      </c>
      <c r="M10" s="1249" t="s">
        <v>741</v>
      </c>
      <c r="N10" s="1249" t="s">
        <v>740</v>
      </c>
      <c r="O10" s="1260" t="s">
        <v>739</v>
      </c>
      <c r="P10" s="1260"/>
      <c r="Q10" s="1260"/>
      <c r="R10" s="1260"/>
      <c r="S10" s="1260"/>
      <c r="T10" s="1260"/>
    </row>
    <row r="11" spans="1:20" ht="15" customHeight="1" thickBot="1">
      <c r="A11" s="756"/>
      <c r="B11" s="1230"/>
      <c r="C11" s="1231"/>
      <c r="D11" s="1232"/>
      <c r="E11" s="1235"/>
      <c r="F11" s="1236"/>
      <c r="G11" s="1236"/>
      <c r="H11" s="1236"/>
      <c r="I11" s="1236"/>
      <c r="J11" s="1236"/>
      <c r="K11" s="1238"/>
      <c r="L11" s="1239"/>
      <c r="M11" s="1239"/>
      <c r="N11" s="1239"/>
      <c r="O11" s="769" t="s">
        <v>929</v>
      </c>
      <c r="P11" s="769" t="s">
        <v>928</v>
      </c>
      <c r="Q11" s="769" t="s">
        <v>710</v>
      </c>
      <c r="R11" s="769" t="s">
        <v>737</v>
      </c>
      <c r="S11" s="769" t="s">
        <v>736</v>
      </c>
      <c r="T11" s="769" t="s">
        <v>735</v>
      </c>
    </row>
    <row r="12" spans="1:20" ht="15" customHeight="1" thickTop="1">
      <c r="A12" s="756"/>
      <c r="B12" s="1245" t="s">
        <v>1037</v>
      </c>
      <c r="C12" s="1247" t="s">
        <v>1002</v>
      </c>
      <c r="D12" s="1078" t="s">
        <v>1036</v>
      </c>
      <c r="E12" s="545"/>
      <c r="F12" s="544"/>
      <c r="G12" s="798"/>
      <c r="H12" s="544"/>
      <c r="I12" s="544"/>
      <c r="J12" s="767"/>
      <c r="K12" s="759"/>
      <c r="L12" s="537"/>
      <c r="M12" s="537"/>
      <c r="N12" s="537"/>
      <c r="O12" s="537"/>
      <c r="P12" s="537"/>
      <c r="Q12" s="537"/>
      <c r="R12" s="537"/>
      <c r="S12" s="537"/>
      <c r="T12" s="537"/>
    </row>
    <row r="13" spans="1:20" ht="15" customHeight="1">
      <c r="A13" s="756"/>
      <c r="B13" s="1245"/>
      <c r="C13" s="1247"/>
      <c r="D13" s="1079"/>
      <c r="E13" s="540"/>
      <c r="F13" s="539"/>
      <c r="G13" s="539"/>
      <c r="H13" s="539"/>
      <c r="I13" s="539"/>
      <c r="J13" s="757"/>
      <c r="K13" s="768"/>
      <c r="L13" s="537"/>
      <c r="M13" s="537"/>
      <c r="N13" s="537"/>
      <c r="O13" s="537"/>
      <c r="P13" s="537"/>
      <c r="Q13" s="537"/>
      <c r="R13" s="537"/>
      <c r="S13" s="537"/>
      <c r="T13" s="537"/>
    </row>
    <row r="14" spans="1:20" ht="15" customHeight="1">
      <c r="A14" s="756"/>
      <c r="B14" s="1245"/>
      <c r="C14" s="1247"/>
      <c r="D14" s="1079"/>
      <c r="F14" s="555">
        <v>0.32700000000000001</v>
      </c>
      <c r="G14" s="756"/>
      <c r="I14" s="539">
        <v>0.32700000000000001</v>
      </c>
      <c r="J14" s="757"/>
      <c r="K14" s="768" t="s">
        <v>738</v>
      </c>
      <c r="L14" s="538">
        <v>5</v>
      </c>
      <c r="M14" s="538">
        <v>1</v>
      </c>
      <c r="N14" s="537">
        <f>+G15+F14+I14</f>
        <v>1.9709999999999999</v>
      </c>
      <c r="O14" s="537">
        <f t="shared" ref="O14:T14" si="0">IF(+$K14=O$11,+$L14*$M14*$N14,0)</f>
        <v>9.8549999999999986</v>
      </c>
      <c r="P14" s="537">
        <f t="shared" si="0"/>
        <v>0</v>
      </c>
      <c r="Q14" s="537">
        <f t="shared" si="0"/>
        <v>0</v>
      </c>
      <c r="R14" s="537">
        <f t="shared" si="0"/>
        <v>0</v>
      </c>
      <c r="S14" s="537">
        <f t="shared" si="0"/>
        <v>0</v>
      </c>
      <c r="T14" s="537">
        <f t="shared" si="0"/>
        <v>0</v>
      </c>
    </row>
    <row r="15" spans="1:20" ht="15" customHeight="1">
      <c r="A15" s="756"/>
      <c r="B15" s="1245"/>
      <c r="C15" s="1247"/>
      <c r="D15" s="1079"/>
      <c r="E15" s="540"/>
      <c r="F15" s="546"/>
      <c r="G15" s="539">
        <v>1.3169999999999999</v>
      </c>
      <c r="H15" s="539"/>
      <c r="I15" s="539"/>
      <c r="J15" s="757"/>
      <c r="K15" s="757"/>
      <c r="L15" s="538"/>
      <c r="M15" s="538"/>
      <c r="N15" s="537"/>
      <c r="O15" s="537"/>
      <c r="P15" s="537"/>
      <c r="Q15" s="537"/>
      <c r="R15" s="537"/>
      <c r="S15" s="537"/>
      <c r="T15" s="537"/>
    </row>
    <row r="16" spans="1:20" ht="15" customHeight="1">
      <c r="A16" s="756"/>
      <c r="B16" s="1245"/>
      <c r="C16" s="1247"/>
      <c r="D16" s="1079"/>
      <c r="E16" s="540"/>
      <c r="F16" s="539"/>
      <c r="H16" s="756"/>
      <c r="I16" s="539"/>
      <c r="J16" s="757"/>
      <c r="K16" s="759"/>
      <c r="L16" s="538"/>
      <c r="M16" s="538"/>
      <c r="N16" s="537"/>
      <c r="O16" s="537"/>
      <c r="P16" s="537"/>
      <c r="Q16" s="537"/>
      <c r="R16" s="537"/>
      <c r="S16" s="537"/>
      <c r="T16" s="537"/>
    </row>
    <row r="17" spans="1:20" ht="15" customHeight="1">
      <c r="A17" s="756"/>
      <c r="B17" s="1245"/>
      <c r="C17" s="1247"/>
      <c r="D17" s="1078" t="s">
        <v>1035</v>
      </c>
      <c r="E17" s="545"/>
      <c r="F17" s="544"/>
      <c r="G17" s="544"/>
      <c r="H17" s="544"/>
      <c r="I17" s="544"/>
      <c r="J17" s="767"/>
      <c r="K17" s="542"/>
      <c r="L17" s="542"/>
      <c r="M17" s="542"/>
      <c r="N17" s="542"/>
      <c r="O17" s="542"/>
      <c r="P17" s="542"/>
      <c r="Q17" s="542"/>
      <c r="R17" s="542"/>
      <c r="S17" s="542"/>
      <c r="T17" s="542"/>
    </row>
    <row r="18" spans="1:20" ht="15" customHeight="1">
      <c r="A18" s="756"/>
      <c r="B18" s="1245"/>
      <c r="C18" s="1247"/>
      <c r="D18" s="1079"/>
      <c r="F18" s="555"/>
      <c r="G18" s="756"/>
      <c r="I18" s="539"/>
      <c r="J18" s="539"/>
      <c r="K18" s="541"/>
      <c r="L18" s="541"/>
      <c r="M18" s="541"/>
      <c r="N18" s="541"/>
      <c r="O18" s="541"/>
      <c r="P18" s="541"/>
      <c r="Q18" s="541"/>
      <c r="R18" s="541"/>
      <c r="S18" s="541"/>
      <c r="T18" s="541"/>
    </row>
    <row r="19" spans="1:20" ht="15" customHeight="1">
      <c r="A19" s="756"/>
      <c r="B19" s="1245"/>
      <c r="C19" s="1247"/>
      <c r="D19" s="1079"/>
      <c r="E19" s="540"/>
      <c r="F19" s="546">
        <v>0.76</v>
      </c>
      <c r="G19" s="539"/>
      <c r="H19" s="539"/>
      <c r="I19" s="539"/>
      <c r="J19" s="539"/>
      <c r="K19" s="761" t="s">
        <v>738</v>
      </c>
      <c r="L19" s="538">
        <v>9</v>
      </c>
      <c r="M19" s="538">
        <v>1</v>
      </c>
      <c r="N19" s="537">
        <f>F19+G21+I20</f>
        <v>1.65</v>
      </c>
      <c r="O19" s="537">
        <f t="shared" ref="O19:T19" si="1">IF(+$K19=O$11,+$L19*$M19*$N19,0)</f>
        <v>14.85</v>
      </c>
      <c r="P19" s="537">
        <f t="shared" si="1"/>
        <v>0</v>
      </c>
      <c r="Q19" s="537">
        <f t="shared" si="1"/>
        <v>0</v>
      </c>
      <c r="R19" s="537">
        <f t="shared" si="1"/>
        <v>0</v>
      </c>
      <c r="S19" s="537">
        <f t="shared" si="1"/>
        <v>0</v>
      </c>
      <c r="T19" s="537">
        <f t="shared" si="1"/>
        <v>0</v>
      </c>
    </row>
    <row r="20" spans="1:20" ht="15" customHeight="1">
      <c r="A20" s="756"/>
      <c r="B20" s="1245"/>
      <c r="C20" s="1247"/>
      <c r="D20" s="1079"/>
      <c r="E20" s="540"/>
      <c r="F20" s="539"/>
      <c r="G20" s="539"/>
      <c r="H20" s="756"/>
      <c r="I20" s="539">
        <v>0.36</v>
      </c>
      <c r="J20" s="539"/>
      <c r="K20" s="537"/>
      <c r="L20" s="538"/>
      <c r="M20" s="538"/>
      <c r="N20" s="537"/>
      <c r="O20" s="537"/>
      <c r="P20" s="537"/>
      <c r="Q20" s="537"/>
      <c r="R20" s="537"/>
      <c r="S20" s="537"/>
      <c r="T20" s="537"/>
    </row>
    <row r="21" spans="1:20" ht="15" customHeight="1">
      <c r="A21" s="756"/>
      <c r="B21" s="1245"/>
      <c r="C21" s="1247"/>
      <c r="D21" s="1079"/>
      <c r="E21" s="540"/>
      <c r="F21" s="539"/>
      <c r="G21" s="576">
        <v>0.53</v>
      </c>
      <c r="H21" s="539"/>
      <c r="I21" s="539"/>
      <c r="J21" s="539"/>
      <c r="K21" s="549"/>
      <c r="L21" s="538"/>
      <c r="M21" s="538"/>
      <c r="N21" s="537"/>
      <c r="O21" s="537"/>
      <c r="P21" s="537"/>
      <c r="Q21" s="537"/>
      <c r="R21" s="537"/>
      <c r="S21" s="537"/>
      <c r="T21" s="537"/>
    </row>
    <row r="22" spans="1:20" ht="15" customHeight="1">
      <c r="A22" s="756"/>
      <c r="B22" s="1245"/>
      <c r="C22" s="1247"/>
      <c r="D22" s="1078" t="s">
        <v>1035</v>
      </c>
      <c r="E22" s="545"/>
      <c r="F22" s="544"/>
      <c r="G22" s="539"/>
      <c r="H22" s="544"/>
      <c r="I22" s="544"/>
      <c r="J22" s="544"/>
      <c r="K22" s="542"/>
      <c r="L22" s="542"/>
      <c r="M22" s="542"/>
      <c r="N22" s="542"/>
      <c r="O22" s="542"/>
      <c r="P22" s="542"/>
      <c r="Q22" s="542"/>
      <c r="R22" s="542"/>
      <c r="S22" s="542"/>
      <c r="T22" s="542"/>
    </row>
    <row r="23" spans="1:20" ht="15" customHeight="1">
      <c r="A23" s="756"/>
      <c r="B23" s="1245"/>
      <c r="C23" s="1247"/>
      <c r="D23" s="1079"/>
      <c r="E23" s="540"/>
      <c r="F23" s="546"/>
      <c r="G23" s="539"/>
      <c r="H23" s="539"/>
      <c r="I23" s="546"/>
      <c r="J23" s="539"/>
      <c r="K23" s="541"/>
      <c r="L23" s="538"/>
      <c r="M23" s="538"/>
      <c r="N23" s="537"/>
      <c r="O23" s="537"/>
      <c r="P23" s="537"/>
      <c r="Q23" s="537"/>
      <c r="R23" s="537"/>
      <c r="S23" s="537"/>
      <c r="T23" s="537"/>
    </row>
    <row r="24" spans="1:20" ht="15" customHeight="1">
      <c r="A24" s="756"/>
      <c r="B24" s="1245"/>
      <c r="C24" s="1247"/>
      <c r="D24" s="1079"/>
      <c r="E24" s="540"/>
      <c r="F24" s="546">
        <v>0.36</v>
      </c>
      <c r="G24" s="756"/>
      <c r="H24" s="566"/>
      <c r="I24" s="546">
        <v>0.36</v>
      </c>
      <c r="J24" s="539"/>
      <c r="K24" s="761" t="s">
        <v>738</v>
      </c>
      <c r="L24" s="538">
        <v>4</v>
      </c>
      <c r="M24" s="538">
        <v>1</v>
      </c>
      <c r="N24" s="537">
        <f>+G25+I24+F24</f>
        <v>1.2450000000000001</v>
      </c>
      <c r="O24" s="537">
        <f t="shared" ref="O24:T24" si="2">IF(+$K24=O$11,+$L24*$M24*$N24,0)</f>
        <v>4.9800000000000004</v>
      </c>
      <c r="P24" s="537">
        <f t="shared" si="2"/>
        <v>0</v>
      </c>
      <c r="Q24" s="537">
        <f t="shared" si="2"/>
        <v>0</v>
      </c>
      <c r="R24" s="537">
        <f t="shared" si="2"/>
        <v>0</v>
      </c>
      <c r="S24" s="537">
        <f t="shared" si="2"/>
        <v>0</v>
      </c>
      <c r="T24" s="537">
        <f t="shared" si="2"/>
        <v>0</v>
      </c>
    </row>
    <row r="25" spans="1:20" ht="15" customHeight="1">
      <c r="A25" s="756"/>
      <c r="B25" s="1245"/>
      <c r="C25" s="1247"/>
      <c r="D25" s="1079"/>
      <c r="E25" s="540"/>
      <c r="F25" s="539"/>
      <c r="G25" s="1093">
        <v>0.52500000000000002</v>
      </c>
      <c r="H25" s="1093"/>
      <c r="I25" s="539"/>
      <c r="J25" s="539"/>
      <c r="K25" s="537"/>
      <c r="L25" s="538"/>
      <c r="M25" s="538"/>
      <c r="N25" s="537"/>
      <c r="O25" s="537"/>
      <c r="P25" s="537"/>
      <c r="Q25" s="537"/>
      <c r="R25" s="537"/>
      <c r="S25" s="537"/>
      <c r="T25" s="537"/>
    </row>
    <row r="26" spans="1:20" ht="15" customHeight="1">
      <c r="A26" s="756"/>
      <c r="B26" s="1245"/>
      <c r="C26" s="1247"/>
      <c r="D26" s="1079"/>
      <c r="E26" s="551"/>
      <c r="F26" s="550"/>
      <c r="G26" s="569"/>
      <c r="H26" s="569"/>
      <c r="I26" s="550"/>
      <c r="J26" s="550"/>
      <c r="K26" s="549"/>
      <c r="L26" s="548"/>
      <c r="M26" s="548"/>
      <c r="N26" s="547"/>
      <c r="O26" s="547"/>
      <c r="P26" s="537"/>
      <c r="Q26" s="537"/>
      <c r="R26" s="537"/>
      <c r="S26" s="537"/>
      <c r="T26" s="537"/>
    </row>
    <row r="27" spans="1:20" ht="15" customHeight="1">
      <c r="A27" s="756"/>
      <c r="B27" s="1245"/>
      <c r="C27" s="1247"/>
      <c r="D27" s="1275" t="s">
        <v>1034</v>
      </c>
      <c r="E27" s="545"/>
      <c r="F27" s="544"/>
      <c r="G27" s="544">
        <v>0.15</v>
      </c>
      <c r="H27" s="544"/>
      <c r="I27" s="544"/>
      <c r="J27" s="544"/>
      <c r="K27" s="542"/>
      <c r="L27" s="542"/>
      <c r="M27" s="542"/>
      <c r="N27" s="542"/>
      <c r="O27" s="542"/>
      <c r="P27" s="542"/>
      <c r="Q27" s="542"/>
      <c r="R27" s="542"/>
      <c r="S27" s="542"/>
      <c r="T27" s="542"/>
    </row>
    <row r="28" spans="1:20" ht="15" customHeight="1">
      <c r="A28" s="756"/>
      <c r="B28" s="1245"/>
      <c r="C28" s="1247"/>
      <c r="D28" s="1276"/>
      <c r="E28" s="540"/>
      <c r="F28" s="546"/>
      <c r="G28" s="539"/>
      <c r="H28" s="539"/>
      <c r="I28" s="546"/>
      <c r="J28" s="539"/>
      <c r="K28" s="541"/>
      <c r="L28" s="538"/>
      <c r="M28" s="538"/>
      <c r="N28" s="537"/>
      <c r="O28" s="537"/>
      <c r="P28" s="537"/>
      <c r="Q28" s="537"/>
      <c r="R28" s="537"/>
      <c r="S28" s="537"/>
      <c r="T28" s="537"/>
    </row>
    <row r="29" spans="1:20" ht="15" customHeight="1">
      <c r="A29" s="756"/>
      <c r="B29" s="1245"/>
      <c r="C29" s="1247"/>
      <c r="D29" s="1276"/>
      <c r="E29" s="540"/>
      <c r="F29" s="756"/>
      <c r="H29" s="546">
        <v>1.32</v>
      </c>
      <c r="I29" s="546"/>
      <c r="J29" s="539"/>
      <c r="K29" s="761" t="s">
        <v>738</v>
      </c>
      <c r="L29" s="538">
        <v>4</v>
      </c>
      <c r="M29" s="538">
        <v>2</v>
      </c>
      <c r="N29" s="537">
        <f>G27+H29+G31</f>
        <v>1.6199999999999999</v>
      </c>
      <c r="O29" s="537">
        <f t="shared" ref="O29:T29" si="3">IF(+$K29=O$11,+$L29*$M29*$N29,0)</f>
        <v>12.959999999999999</v>
      </c>
      <c r="P29" s="537">
        <f t="shared" si="3"/>
        <v>0</v>
      </c>
      <c r="Q29" s="537">
        <f t="shared" si="3"/>
        <v>0</v>
      </c>
      <c r="R29" s="537">
        <f t="shared" si="3"/>
        <v>0</v>
      </c>
      <c r="S29" s="537">
        <f t="shared" si="3"/>
        <v>0</v>
      </c>
      <c r="T29" s="537">
        <f t="shared" si="3"/>
        <v>0</v>
      </c>
    </row>
    <row r="30" spans="1:20" ht="15" customHeight="1">
      <c r="A30" s="756"/>
      <c r="B30" s="1245"/>
      <c r="C30" s="1247"/>
      <c r="D30" s="1276"/>
      <c r="E30" s="540"/>
      <c r="F30" s="539"/>
      <c r="G30" s="546"/>
      <c r="H30" s="546"/>
      <c r="I30" s="539"/>
      <c r="J30" s="539"/>
      <c r="K30" s="537"/>
      <c r="L30" s="538"/>
      <c r="M30" s="538"/>
      <c r="N30" s="537"/>
      <c r="O30" s="537"/>
      <c r="P30" s="537"/>
      <c r="Q30" s="537"/>
      <c r="R30" s="537"/>
      <c r="S30" s="537"/>
      <c r="T30" s="537"/>
    </row>
    <row r="31" spans="1:20" ht="15" customHeight="1">
      <c r="A31" s="756"/>
      <c r="B31" s="1245"/>
      <c r="C31" s="1247"/>
      <c r="D31" s="1277"/>
      <c r="E31" s="551"/>
      <c r="F31" s="550"/>
      <c r="G31" s="569">
        <v>0.15</v>
      </c>
      <c r="H31" s="569"/>
      <c r="I31" s="550"/>
      <c r="J31" s="550"/>
      <c r="K31" s="549"/>
      <c r="L31" s="548"/>
      <c r="M31" s="548"/>
      <c r="N31" s="547"/>
      <c r="O31" s="547"/>
      <c r="P31" s="537"/>
      <c r="Q31" s="537"/>
      <c r="R31" s="537"/>
      <c r="S31" s="537"/>
      <c r="T31" s="537"/>
    </row>
    <row r="32" spans="1:20" ht="15" customHeight="1">
      <c r="A32" s="756"/>
      <c r="B32" s="1245"/>
      <c r="C32" s="1247"/>
      <c r="D32" s="1078" t="s">
        <v>1033</v>
      </c>
      <c r="E32" s="545"/>
      <c r="F32" s="544"/>
      <c r="G32" s="544"/>
      <c r="H32" s="544"/>
      <c r="I32" s="544"/>
      <c r="J32" s="544"/>
      <c r="K32" s="542"/>
      <c r="L32" s="542"/>
      <c r="M32" s="542"/>
      <c r="N32" s="542"/>
      <c r="O32" s="542"/>
      <c r="P32" s="542"/>
      <c r="Q32" s="542"/>
      <c r="R32" s="542"/>
      <c r="S32" s="542"/>
      <c r="T32" s="542"/>
    </row>
    <row r="33" spans="1:20" ht="15" customHeight="1">
      <c r="A33" s="756"/>
      <c r="B33" s="1245"/>
      <c r="C33" s="1247"/>
      <c r="D33" s="1079"/>
      <c r="E33" s="540"/>
      <c r="F33" s="546"/>
      <c r="G33" s="539"/>
      <c r="H33" s="539"/>
      <c r="I33" s="546"/>
      <c r="J33" s="539"/>
      <c r="K33" s="541"/>
      <c r="L33" s="538"/>
      <c r="M33" s="538"/>
      <c r="N33" s="537"/>
      <c r="O33" s="537"/>
      <c r="P33" s="537"/>
      <c r="Q33" s="537"/>
      <c r="R33" s="537"/>
      <c r="S33" s="537"/>
      <c r="T33" s="537"/>
    </row>
    <row r="34" spans="1:20" ht="15" customHeight="1">
      <c r="A34" s="756"/>
      <c r="B34" s="1245"/>
      <c r="C34" s="1247"/>
      <c r="D34" s="1079"/>
      <c r="E34" s="540"/>
      <c r="F34" s="546"/>
      <c r="G34" s="1093">
        <v>0.77</v>
      </c>
      <c r="H34" s="1093"/>
      <c r="I34" s="546"/>
      <c r="J34" s="539"/>
      <c r="K34" s="761" t="s">
        <v>738</v>
      </c>
      <c r="L34" s="538">
        <v>4</v>
      </c>
      <c r="M34" s="538">
        <v>1</v>
      </c>
      <c r="N34" s="537">
        <f>+G34</f>
        <v>0.77</v>
      </c>
      <c r="O34" s="537">
        <f>IF(+$K34=O$10,+$L34*$M34*$N34,0)</f>
        <v>0</v>
      </c>
      <c r="P34" s="537">
        <f>IF(+$K34=P$11,+$L34*$M34*$N34,0)</f>
        <v>0</v>
      </c>
      <c r="Q34" s="537">
        <f>IF(+$K34=Q$11,+$L34*$M34*$N34,0)</f>
        <v>0</v>
      </c>
      <c r="R34" s="537">
        <f>IF(+$K34=R$11,+$L34*$M34*$N34,0)</f>
        <v>0</v>
      </c>
      <c r="S34" s="537">
        <f>IF(+$K34=S$11,+$L34*$M34*$N34,0)</f>
        <v>0</v>
      </c>
      <c r="T34" s="537">
        <f>IF(+$K34=T$11,+$L34*$M34*$N34,0)</f>
        <v>0</v>
      </c>
    </row>
    <row r="35" spans="1:20" ht="15" customHeight="1">
      <c r="A35" s="756"/>
      <c r="B35" s="1245"/>
      <c r="C35" s="1247"/>
      <c r="D35" s="1079"/>
      <c r="E35" s="540"/>
      <c r="F35" s="539"/>
      <c r="G35" s="546"/>
      <c r="H35" s="546"/>
      <c r="I35" s="539"/>
      <c r="J35" s="539"/>
      <c r="K35" s="537"/>
      <c r="L35" s="538"/>
      <c r="M35" s="538"/>
      <c r="N35" s="537"/>
      <c r="O35" s="537"/>
      <c r="P35" s="537"/>
      <c r="Q35" s="537"/>
      <c r="R35" s="537"/>
      <c r="S35" s="537"/>
      <c r="T35" s="537"/>
    </row>
    <row r="36" spans="1:20" ht="15" customHeight="1">
      <c r="A36" s="756"/>
      <c r="B36" s="1245"/>
      <c r="C36" s="1247"/>
      <c r="D36" s="1080"/>
      <c r="E36" s="551"/>
      <c r="F36" s="550"/>
      <c r="G36" s="569"/>
      <c r="H36" s="569"/>
      <c r="I36" s="550"/>
      <c r="J36" s="550"/>
      <c r="K36" s="549"/>
      <c r="L36" s="548"/>
      <c r="M36" s="548"/>
      <c r="N36" s="547"/>
      <c r="O36" s="547"/>
      <c r="P36" s="537"/>
      <c r="Q36" s="537"/>
      <c r="R36" s="537"/>
      <c r="S36" s="537"/>
      <c r="T36" s="537"/>
    </row>
    <row r="37" spans="1:20" ht="15" customHeight="1">
      <c r="A37" s="756"/>
      <c r="B37" s="1245"/>
      <c r="C37" s="1247"/>
      <c r="D37" s="1078" t="s">
        <v>1032</v>
      </c>
      <c r="E37" s="545"/>
      <c r="F37" s="544"/>
      <c r="G37" s="544">
        <v>0.15</v>
      </c>
      <c r="H37" s="544"/>
      <c r="I37" s="544"/>
      <c r="J37" s="544"/>
      <c r="K37" s="542"/>
      <c r="L37" s="542"/>
      <c r="M37" s="542"/>
      <c r="N37" s="542"/>
      <c r="O37" s="542"/>
      <c r="P37" s="542"/>
      <c r="Q37" s="542"/>
      <c r="R37" s="542"/>
      <c r="S37" s="542"/>
      <c r="T37" s="542"/>
    </row>
    <row r="38" spans="1:20" ht="15" customHeight="1">
      <c r="A38" s="756"/>
      <c r="B38" s="1245"/>
      <c r="C38" s="1247"/>
      <c r="D38" s="1079"/>
      <c r="E38" s="540"/>
      <c r="F38" s="546"/>
      <c r="G38" s="539"/>
      <c r="H38" s="539"/>
      <c r="I38" s="546"/>
      <c r="J38" s="539"/>
      <c r="K38" s="541"/>
      <c r="L38" s="538"/>
      <c r="M38" s="538"/>
      <c r="N38" s="537"/>
      <c r="O38" s="537"/>
      <c r="P38" s="537"/>
      <c r="Q38" s="537"/>
      <c r="R38" s="537"/>
      <c r="S38" s="537"/>
      <c r="T38" s="537"/>
    </row>
    <row r="39" spans="1:20" ht="15" customHeight="1">
      <c r="A39" s="756"/>
      <c r="B39" s="1245"/>
      <c r="C39" s="1247"/>
      <c r="D39" s="1079"/>
      <c r="E39" s="540"/>
      <c r="F39" s="756"/>
      <c r="H39" s="546">
        <v>0.53</v>
      </c>
      <c r="I39" s="546"/>
      <c r="J39" s="539"/>
      <c r="K39" s="761" t="s">
        <v>738</v>
      </c>
      <c r="L39" s="538">
        <v>3</v>
      </c>
      <c r="M39" s="538">
        <v>2</v>
      </c>
      <c r="N39" s="537">
        <f>G41+H39+G37</f>
        <v>0.83000000000000007</v>
      </c>
      <c r="O39" s="537">
        <f>IF(+$K39=O$11,+$L39*$M39*$N39,0)</f>
        <v>4.9800000000000004</v>
      </c>
      <c r="P39" s="537">
        <f>IF(+$K39=P$11,+$L39*$M39*$N39,0)</f>
        <v>0</v>
      </c>
      <c r="Q39" s="537">
        <f>IF(+$K39=Q$11,+$L39*$M39*$N39,0)</f>
        <v>0</v>
      </c>
      <c r="R39" s="537">
        <f>IF(+$K39=R$10,+$L39*$M39*$N39,0)</f>
        <v>0</v>
      </c>
      <c r="S39" s="537">
        <f>IF(+$K39=S$10,+$L39*$M39*$N39,0)</f>
        <v>0</v>
      </c>
      <c r="T39" s="537">
        <f>IF(+$K39=T$10,+$L39*$M39*$N39,0)</f>
        <v>0</v>
      </c>
    </row>
    <row r="40" spans="1:20" ht="15" customHeight="1">
      <c r="A40" s="756"/>
      <c r="B40" s="1245"/>
      <c r="C40" s="1247"/>
      <c r="D40" s="1079"/>
      <c r="E40" s="540"/>
      <c r="F40" s="539"/>
      <c r="G40" s="546"/>
      <c r="H40" s="546"/>
      <c r="I40" s="539"/>
      <c r="J40" s="539"/>
      <c r="K40" s="537"/>
      <c r="L40" s="538"/>
      <c r="M40" s="538"/>
      <c r="N40" s="537"/>
      <c r="O40" s="537"/>
      <c r="P40" s="537"/>
      <c r="Q40" s="537"/>
      <c r="R40" s="537"/>
      <c r="S40" s="537"/>
      <c r="T40" s="537"/>
    </row>
    <row r="41" spans="1:20">
      <c r="A41" s="756"/>
      <c r="B41" s="1246"/>
      <c r="C41" s="1248"/>
      <c r="D41" s="1080"/>
      <c r="E41" s="551"/>
      <c r="F41" s="550"/>
      <c r="G41" s="569">
        <v>0.15</v>
      </c>
      <c r="H41" s="569"/>
      <c r="I41" s="550"/>
      <c r="J41" s="550"/>
      <c r="K41" s="549"/>
      <c r="L41" s="548"/>
      <c r="M41" s="548"/>
      <c r="N41" s="547"/>
      <c r="O41" s="547"/>
      <c r="P41" s="547"/>
      <c r="Q41" s="547"/>
      <c r="R41" s="547"/>
      <c r="S41" s="547"/>
      <c r="T41" s="547"/>
    </row>
    <row r="42" spans="1:20" ht="15" customHeight="1">
      <c r="B42" s="527"/>
      <c r="C42" s="527"/>
      <c r="D42" s="527"/>
      <c r="E42" s="526"/>
      <c r="F42" s="529"/>
      <c r="G42" s="529"/>
      <c r="H42" s="529"/>
      <c r="I42" s="529"/>
      <c r="J42" s="529"/>
      <c r="K42" s="1072" t="s">
        <v>691</v>
      </c>
      <c r="L42" s="1073"/>
      <c r="M42" s="1073"/>
      <c r="N42" s="1074"/>
      <c r="O42" s="531">
        <f t="shared" ref="O42:T42" si="4">SUM(O12:O41)</f>
        <v>47.625</v>
      </c>
      <c r="P42" s="531">
        <f t="shared" si="4"/>
        <v>0</v>
      </c>
      <c r="Q42" s="531">
        <f t="shared" si="4"/>
        <v>0</v>
      </c>
      <c r="R42" s="531">
        <f t="shared" si="4"/>
        <v>0</v>
      </c>
      <c r="S42" s="531">
        <f t="shared" si="4"/>
        <v>0</v>
      </c>
      <c r="T42" s="531">
        <f t="shared" si="4"/>
        <v>0</v>
      </c>
    </row>
    <row r="43" spans="1:20" ht="15" customHeight="1">
      <c r="B43" s="527"/>
      <c r="C43" s="527"/>
      <c r="D43" s="527"/>
      <c r="E43" s="526"/>
      <c r="F43" s="529"/>
      <c r="G43" s="529"/>
      <c r="H43" s="529"/>
      <c r="I43" s="529"/>
      <c r="J43" s="529"/>
      <c r="K43" s="1075" t="s">
        <v>690</v>
      </c>
      <c r="L43" s="1076"/>
      <c r="M43" s="1076"/>
      <c r="N43" s="1077"/>
      <c r="O43" s="530">
        <v>0.222</v>
      </c>
      <c r="P43" s="530">
        <v>0.56000000000000005</v>
      </c>
      <c r="Q43" s="530">
        <v>0.99399999999999999</v>
      </c>
      <c r="R43" s="530">
        <v>1.552</v>
      </c>
      <c r="S43" s="530">
        <v>2.2349999999999999</v>
      </c>
      <c r="T43" s="530">
        <v>3.9729999999999999</v>
      </c>
    </row>
    <row r="44" spans="1:20" ht="15" customHeight="1">
      <c r="B44" s="527"/>
      <c r="C44" s="527"/>
      <c r="D44" s="527"/>
      <c r="E44" s="526"/>
      <c r="F44" s="529"/>
      <c r="G44" s="529"/>
      <c r="H44" s="529"/>
      <c r="I44" s="529"/>
      <c r="J44" s="529"/>
      <c r="K44" s="1075" t="s">
        <v>689</v>
      </c>
      <c r="L44" s="1076"/>
      <c r="M44" s="1076"/>
      <c r="N44" s="1077"/>
      <c r="O44" s="528">
        <f>+O42*O43</f>
        <v>10.572750000000001</v>
      </c>
      <c r="P44" s="528">
        <f>+P42*P43</f>
        <v>0</v>
      </c>
      <c r="Q44" s="528">
        <f>+Q42*Q43</f>
        <v>0</v>
      </c>
      <c r="R44" s="528">
        <f>+R42*R43</f>
        <v>0</v>
      </c>
      <c r="S44" s="528">
        <f>+S43*S42</f>
        <v>0</v>
      </c>
      <c r="T44" s="528">
        <f>+T43*T42</f>
        <v>0</v>
      </c>
    </row>
    <row r="45" spans="1:20" ht="15" customHeight="1">
      <c r="B45" s="527"/>
      <c r="C45" s="527"/>
      <c r="D45" s="527"/>
      <c r="E45" s="526"/>
      <c r="F45" s="526"/>
      <c r="G45" s="526"/>
      <c r="H45" s="526"/>
      <c r="I45" s="526"/>
      <c r="J45" s="526"/>
      <c r="K45" s="1223" t="s">
        <v>688</v>
      </c>
      <c r="L45" s="1223"/>
      <c r="M45" s="1223"/>
      <c r="N45" s="1223"/>
      <c r="O45" s="1221">
        <f>SUM(O44:T44)</f>
        <v>10.572750000000001</v>
      </c>
      <c r="P45" s="1221"/>
      <c r="Q45" s="1221"/>
      <c r="R45" s="1221"/>
      <c r="S45" s="1221"/>
      <c r="T45" s="1221"/>
    </row>
    <row r="46" spans="1:20" ht="15" customHeight="1">
      <c r="B46" s="527"/>
      <c r="C46" s="527"/>
      <c r="D46" s="527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</row>
  </sheetData>
  <mergeCells count="25">
    <mergeCell ref="K44:N44"/>
    <mergeCell ref="K45:N45"/>
    <mergeCell ref="O45:T45"/>
    <mergeCell ref="G25:H25"/>
    <mergeCell ref="K42:N42"/>
    <mergeCell ref="G34:H34"/>
    <mergeCell ref="K43:N43"/>
    <mergeCell ref="B12:B41"/>
    <mergeCell ref="C12:C41"/>
    <mergeCell ref="D12:D16"/>
    <mergeCell ref="D17:D21"/>
    <mergeCell ref="D22:D26"/>
    <mergeCell ref="D27:D31"/>
    <mergeCell ref="D32:D36"/>
    <mergeCell ref="D37:D41"/>
    <mergeCell ref="B2:T3"/>
    <mergeCell ref="B5:T6"/>
    <mergeCell ref="B4:T4"/>
    <mergeCell ref="B10:D11"/>
    <mergeCell ref="E10:J11"/>
    <mergeCell ref="K10:K11"/>
    <mergeCell ref="L10:L11"/>
    <mergeCell ref="M10:M11"/>
    <mergeCell ref="N10:N11"/>
    <mergeCell ref="O10:T10"/>
  </mergeCells>
  <pageMargins left="0.7" right="0.7" top="1.4204545454545454E-2" bottom="0.75" header="0.3" footer="0.3"/>
  <pageSetup paperSize="9" scale="75" fitToHeight="0" orientation="landscape" r:id="rId1"/>
  <headerFooter>
    <oddFooter>Página &amp;P&amp;R&amp;A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4"/>
  <dimension ref="B2:J23"/>
  <sheetViews>
    <sheetView showGridLines="0" view="pageBreakPreview" topLeftCell="A7" zoomScaleNormal="100" zoomScaleSheetLayoutView="100" workbookViewId="0">
      <selection activeCell="E22" sqref="E22"/>
    </sheetView>
  </sheetViews>
  <sheetFormatPr baseColWidth="10" defaultRowHeight="11.25"/>
  <cols>
    <col min="1" max="1" width="3.6640625" customWidth="1"/>
    <col min="2" max="2" width="36.6640625" bestFit="1" customWidth="1"/>
    <col min="3" max="3" width="13.1640625" customWidth="1"/>
    <col min="4" max="4" width="17" style="7" customWidth="1"/>
    <col min="5" max="5" width="17" customWidth="1"/>
    <col min="6" max="6" width="22.5" bestFit="1" customWidth="1"/>
    <col min="7" max="8" width="13.1640625" customWidth="1"/>
    <col min="9" max="9" width="18.5" customWidth="1"/>
    <col min="10" max="11" width="13.1640625" customWidth="1"/>
  </cols>
  <sheetData>
    <row r="2" spans="2:10" ht="12.75">
      <c r="B2" s="1" t="s">
        <v>10</v>
      </c>
      <c r="C2" s="1" t="s">
        <v>11</v>
      </c>
      <c r="D2" s="1" t="s">
        <v>12</v>
      </c>
      <c r="E2" s="2"/>
    </row>
    <row r="3" spans="2:10" ht="12.75">
      <c r="B3" s="1283" t="s">
        <v>13</v>
      </c>
      <c r="C3" s="1284"/>
      <c r="D3" s="1285"/>
      <c r="E3" s="2"/>
    </row>
    <row r="4" spans="2:10" ht="15">
      <c r="B4" s="3" t="s">
        <v>14</v>
      </c>
      <c r="C4" s="13">
        <f>+[27]Sheet1!$AA$22</f>
        <v>50682.177900000002</v>
      </c>
      <c r="D4" s="6"/>
      <c r="E4" s="2" t="s">
        <v>31</v>
      </c>
      <c r="J4" s="14"/>
    </row>
    <row r="5" spans="2:10" ht="15">
      <c r="B5" s="3" t="s">
        <v>15</v>
      </c>
      <c r="C5" s="13">
        <v>5</v>
      </c>
      <c r="D5" s="6" t="s">
        <v>16</v>
      </c>
      <c r="E5" s="2" t="s">
        <v>17</v>
      </c>
      <c r="J5" s="14"/>
    </row>
    <row r="6" spans="2:10" ht="12.75">
      <c r="B6" s="3" t="s">
        <v>18</v>
      </c>
      <c r="C6" s="4">
        <f>+C5*30</f>
        <v>150</v>
      </c>
      <c r="D6" s="6" t="s">
        <v>19</v>
      </c>
      <c r="E6" s="2"/>
    </row>
    <row r="7" spans="2:10" ht="12.75">
      <c r="B7" s="3" t="s">
        <v>20</v>
      </c>
      <c r="C7" s="5">
        <v>8</v>
      </c>
      <c r="D7" s="6" t="s">
        <v>21</v>
      </c>
      <c r="E7" s="2"/>
    </row>
    <row r="8" spans="2:10" ht="12.75">
      <c r="B8" s="3" t="s">
        <v>39</v>
      </c>
      <c r="C8" s="5">
        <f>(ROUNDUP(C4/C7/26/C5,0))+6+4</f>
        <v>59</v>
      </c>
      <c r="D8" s="6" t="s">
        <v>22</v>
      </c>
      <c r="E8" s="2"/>
    </row>
    <row r="9" spans="2:10">
      <c r="I9" s="29">
        <v>50286.465700000001</v>
      </c>
    </row>
    <row r="10" spans="2:10">
      <c r="B10" s="1286" t="s">
        <v>25</v>
      </c>
      <c r="C10" s="1289" t="s">
        <v>11</v>
      </c>
      <c r="D10" s="1287" t="s">
        <v>27</v>
      </c>
      <c r="E10" s="1288"/>
    </row>
    <row r="11" spans="2:10">
      <c r="B11" s="1286"/>
      <c r="C11" s="1290"/>
      <c r="D11" s="9" t="s">
        <v>26</v>
      </c>
      <c r="E11" s="9" t="s">
        <v>23</v>
      </c>
    </row>
    <row r="12" spans="2:10" ht="15">
      <c r="B12" s="12" t="s">
        <v>38</v>
      </c>
      <c r="C12" s="13">
        <v>1</v>
      </c>
      <c r="D12" s="27">
        <v>9</v>
      </c>
      <c r="E12" s="27">
        <v>9</v>
      </c>
    </row>
    <row r="13" spans="2:10" ht="15">
      <c r="B13" s="12" t="s">
        <v>37</v>
      </c>
      <c r="C13" s="13">
        <v>1</v>
      </c>
      <c r="D13" s="27">
        <v>6</v>
      </c>
      <c r="E13" s="27">
        <v>9</v>
      </c>
    </row>
    <row r="14" spans="2:10" ht="15">
      <c r="B14" s="8" t="s">
        <v>40</v>
      </c>
      <c r="C14" s="13">
        <v>1</v>
      </c>
      <c r="D14" s="27">
        <v>27</v>
      </c>
      <c r="E14" s="27">
        <v>45</v>
      </c>
    </row>
    <row r="15" spans="2:10" ht="15">
      <c r="B15" s="8" t="s">
        <v>24</v>
      </c>
      <c r="C15" s="13">
        <v>1</v>
      </c>
      <c r="D15" s="27">
        <v>9</v>
      </c>
      <c r="E15" s="27">
        <v>9</v>
      </c>
    </row>
    <row r="16" spans="2:10" ht="15">
      <c r="B16" s="8" t="s">
        <v>36</v>
      </c>
      <c r="C16" s="13">
        <v>0</v>
      </c>
      <c r="D16" s="10">
        <v>0</v>
      </c>
      <c r="E16" s="10">
        <v>0</v>
      </c>
    </row>
    <row r="17" spans="2:6">
      <c r="B17" s="12" t="s">
        <v>29</v>
      </c>
      <c r="C17" s="17">
        <f>+E21</f>
        <v>4916.5999999999995</v>
      </c>
      <c r="D17" s="11" t="s">
        <v>28</v>
      </c>
      <c r="E17" s="10"/>
      <c r="F17" s="10"/>
    </row>
    <row r="18" spans="2:6">
      <c r="B18" s="12" t="s">
        <v>30</v>
      </c>
      <c r="C18" s="17">
        <f>+E22/2</f>
        <v>0</v>
      </c>
      <c r="D18" s="11" t="s">
        <v>28</v>
      </c>
      <c r="E18" s="10"/>
      <c r="F18" s="10"/>
    </row>
    <row r="19" spans="2:6">
      <c r="B19" s="14"/>
      <c r="C19" s="7"/>
      <c r="D19" s="15"/>
      <c r="E19" s="7"/>
      <c r="F19" s="7"/>
    </row>
    <row r="20" spans="2:6">
      <c r="B20" s="1281" t="s">
        <v>32</v>
      </c>
      <c r="C20" s="1282"/>
      <c r="D20" s="1282"/>
      <c r="E20" s="16" t="s">
        <v>11</v>
      </c>
      <c r="F20" s="16" t="s">
        <v>12</v>
      </c>
    </row>
    <row r="21" spans="2:6" ht="15">
      <c r="B21" s="1278" t="s">
        <v>34</v>
      </c>
      <c r="C21" s="1279"/>
      <c r="D21" s="1280"/>
      <c r="E21" s="28">
        <f>918.3+841.8+1799.26+1357.24</f>
        <v>4916.5999999999995</v>
      </c>
      <c r="F21" s="26" t="s">
        <v>0</v>
      </c>
    </row>
    <row r="22" spans="2:6" ht="15">
      <c r="B22" s="1278" t="s">
        <v>35</v>
      </c>
      <c r="C22" s="1279"/>
      <c r="D22" s="1280"/>
      <c r="E22" s="13">
        <v>0</v>
      </c>
      <c r="F22" s="26" t="s">
        <v>0</v>
      </c>
    </row>
    <row r="23" spans="2:6" ht="15">
      <c r="B23" s="1278" t="s">
        <v>33</v>
      </c>
      <c r="C23" s="1279"/>
      <c r="D23" s="1280"/>
      <c r="E23" s="13">
        <v>1</v>
      </c>
      <c r="F23" s="26" t="s">
        <v>0</v>
      </c>
    </row>
  </sheetData>
  <mergeCells count="8">
    <mergeCell ref="B23:D23"/>
    <mergeCell ref="B20:D20"/>
    <mergeCell ref="B22:D22"/>
    <mergeCell ref="B3:D3"/>
    <mergeCell ref="B10:B11"/>
    <mergeCell ref="D10:E10"/>
    <mergeCell ref="C10:C11"/>
    <mergeCell ref="B21:D21"/>
  </mergeCells>
  <pageMargins left="0.7" right="0.7" top="0.75" bottom="0.75" header="0.3" footer="0.3"/>
  <pageSetup paperSize="9" scale="53" orientation="portrait" horizontalDpi="4294967292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26</vt:i4>
      </vt:variant>
      <vt:variant>
        <vt:lpstr>Rangos con nombre</vt:lpstr>
      </vt:variant>
      <vt:variant>
        <vt:i4>40</vt:i4>
      </vt:variant>
    </vt:vector>
  </HeadingPairs>
  <TitlesOfParts>
    <vt:vector size="66" baseType="lpstr">
      <vt:lpstr>1.1 MIT. AMB.</vt:lpstr>
      <vt:lpstr>1.2 CAP. T- LADERA</vt:lpstr>
      <vt:lpstr>1.2 MET. DE ACERO</vt:lpstr>
      <vt:lpstr>1.3 L-COND.</vt:lpstr>
      <vt:lpstr>1.4 RESERV. 5M3</vt:lpstr>
      <vt:lpstr>1.4 METR.ACERO 5M3</vt:lpstr>
      <vt:lpstr>1.5 L-ADUCC.</vt:lpstr>
      <vt:lpstr>1.6 RED DE DISTRIB.</vt:lpstr>
      <vt:lpstr>1.7 VALV-AIRE</vt:lpstr>
      <vt:lpstr>1.8. VALV-PURGA T-1</vt:lpstr>
      <vt:lpstr>1.8.1 M.ACERO T-01</vt:lpstr>
      <vt:lpstr>1.8.2 VALV-PURGA T-2</vt:lpstr>
      <vt:lpstr>1.8 M-ACERO T-02</vt:lpstr>
      <vt:lpstr>1.9 VALV-CONTROL</vt:lpstr>
      <vt:lpstr>1.9 M-Acero</vt:lpstr>
      <vt:lpstr>1.10 CRUCE AEREO 2.50 M</vt:lpstr>
      <vt:lpstr>1.11 TUB. ANCL. A PUENTE</vt:lpstr>
      <vt:lpstr>1.12 TUB. ANCL. ALCANT.</vt:lpstr>
      <vt:lpstr>1.13 CONEX. DOMIC.</vt:lpstr>
      <vt:lpstr>1.14 LAV. DOMIC.</vt:lpstr>
      <vt:lpstr>1.14 M- ACERO LAV.</vt:lpstr>
      <vt:lpstr>1.15 LAV. INICIAL.</vt:lpstr>
      <vt:lpstr>1.15 METR- ACERO</vt:lpstr>
      <vt:lpstr>1.16 LAVAD. PRIMAR.</vt:lpstr>
      <vt:lpstr>1.16 METR. ACERO</vt:lpstr>
      <vt:lpstr>Datos</vt:lpstr>
      <vt:lpstr>'1.1 MIT. AMB.'!Área_de_impresión</vt:lpstr>
      <vt:lpstr>'1.10 CRUCE AEREO 2.50 M'!Área_de_impresión</vt:lpstr>
      <vt:lpstr>'1.11 TUB. ANCL. A PUENTE'!Área_de_impresión</vt:lpstr>
      <vt:lpstr>'1.12 TUB. ANCL. ALCANT.'!Área_de_impresión</vt:lpstr>
      <vt:lpstr>'1.13 CONEX. DOMIC.'!Área_de_impresión</vt:lpstr>
      <vt:lpstr>'1.14 LAV. DOMIC.'!Área_de_impresión</vt:lpstr>
      <vt:lpstr>'1.15 LAV. INICIAL.'!Área_de_impresión</vt:lpstr>
      <vt:lpstr>'1.16 LAVAD. PRIMAR.'!Área_de_impresión</vt:lpstr>
      <vt:lpstr>'1.2 CAP. T- LADERA'!Área_de_impresión</vt:lpstr>
      <vt:lpstr>'1.2 MET. DE ACERO'!Área_de_impresión</vt:lpstr>
      <vt:lpstr>'1.3 L-COND.'!Área_de_impresión</vt:lpstr>
      <vt:lpstr>'1.4 METR.ACERO 5M3'!Área_de_impresión</vt:lpstr>
      <vt:lpstr>'1.4 RESERV. 5M3'!Área_de_impresión</vt:lpstr>
      <vt:lpstr>'1.5 L-ADUCC.'!Área_de_impresión</vt:lpstr>
      <vt:lpstr>'1.6 RED DE DISTRIB.'!Área_de_impresión</vt:lpstr>
      <vt:lpstr>'1.7 VALV-AIRE'!Área_de_impresión</vt:lpstr>
      <vt:lpstr>'1.8. VALV-PURGA T-1'!Área_de_impresión</vt:lpstr>
      <vt:lpstr>'1.8.2 VALV-PURGA T-2'!Área_de_impresión</vt:lpstr>
      <vt:lpstr>'1.9 VALV-CONTROL'!Área_de_impresión</vt:lpstr>
      <vt:lpstr>Datos!Área_de_impresión</vt:lpstr>
      <vt:lpstr>'1.1 MIT. AMB.'!Títulos_a_imprimir</vt:lpstr>
      <vt:lpstr>'1.10 CRUCE AEREO 2.50 M'!Títulos_a_imprimir</vt:lpstr>
      <vt:lpstr>'1.11 TUB. ANCL. A PUENTE'!Títulos_a_imprimir</vt:lpstr>
      <vt:lpstr>'1.12 TUB. ANCL. ALCANT.'!Títulos_a_imprimir</vt:lpstr>
      <vt:lpstr>'1.13 CONEX. DOMIC.'!Títulos_a_imprimir</vt:lpstr>
      <vt:lpstr>'1.14 LAV. DOMIC.'!Títulos_a_imprimir</vt:lpstr>
      <vt:lpstr>'1.14 M- ACERO LAV.'!Títulos_a_imprimir</vt:lpstr>
      <vt:lpstr>'1.15 LAV. INICIAL.'!Títulos_a_imprimir</vt:lpstr>
      <vt:lpstr>'1.16 LAVAD. PRIMAR.'!Títulos_a_imprimir</vt:lpstr>
      <vt:lpstr>'1.2 CAP. T- LADERA'!Títulos_a_imprimir</vt:lpstr>
      <vt:lpstr>'1.2 MET. DE ACERO'!Títulos_a_imprimir</vt:lpstr>
      <vt:lpstr>'1.3 L-COND.'!Títulos_a_imprimir</vt:lpstr>
      <vt:lpstr>'1.4 METR.ACERO 5M3'!Títulos_a_imprimir</vt:lpstr>
      <vt:lpstr>'1.4 RESERV. 5M3'!Títulos_a_imprimir</vt:lpstr>
      <vt:lpstr>'1.5 L-ADUCC.'!Títulos_a_imprimir</vt:lpstr>
      <vt:lpstr>'1.6 RED DE DISTRIB.'!Títulos_a_imprimir</vt:lpstr>
      <vt:lpstr>'1.7 VALV-AIRE'!Títulos_a_imprimir</vt:lpstr>
      <vt:lpstr>'1.8. VALV-PURGA T-1'!Títulos_a_imprimir</vt:lpstr>
      <vt:lpstr>'1.8.2 VALV-PURGA T-2'!Títulos_a_imprimir</vt:lpstr>
      <vt:lpstr>'1.9 VALV-CONTROL'!Títulos_a_imprimir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</dc:creator>
  <cp:lastModifiedBy>WINDOWS</cp:lastModifiedBy>
  <cp:lastPrinted>2026-04-28T00:51:21Z</cp:lastPrinted>
  <dcterms:created xsi:type="dcterms:W3CDTF">2014-10-08T10:46:05Z</dcterms:created>
  <dcterms:modified xsi:type="dcterms:W3CDTF">2026-05-25T16:52:41Z</dcterms:modified>
</cp:coreProperties>
</file>