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ina\Downloads\CSA Advisor\"/>
    </mc:Choice>
  </mc:AlternateContent>
  <xr:revisionPtr revIDLastSave="0" documentId="13_ncr:1_{C09AADE5-B2F2-41CE-97E9-479F0FC094ED}" xr6:coauthVersionLast="47" xr6:coauthVersionMax="47" xr10:uidLastSave="{00000000-0000-0000-0000-000000000000}"/>
  <bookViews>
    <workbookView xWindow="-110" yWindow="-110" windowWidth="19420" windowHeight="11500" tabRatio="500" firstSheet="20" activeTab="22" xr2:uid="{00000000-000D-0000-FFFF-FFFF00000000}"/>
  </bookViews>
  <sheets>
    <sheet name="Company Overview" sheetId="1" r:id="rId1"/>
    <sheet name="Promoters" sheetId="2" r:id="rId2"/>
    <sheet name="Public" sheetId="3" r:id="rId3"/>
    <sheet name="Balance Sheet" sheetId="4" r:id="rId4"/>
    <sheet name="Profit &amp; Loss" sheetId="5" r:id="rId5"/>
    <sheet name="Quarters" sheetId="6" r:id="rId6"/>
    <sheet name="Cash Flow" sheetId="7" r:id="rId7"/>
    <sheet name="Stock Analysis" sheetId="8" r:id="rId8"/>
    <sheet name="Ratio Analysis" sheetId="9" r:id="rId9"/>
    <sheet name="Data Sheet" sheetId="10" r:id="rId10"/>
    <sheet name="Peer Comps" sheetId="11" r:id="rId11"/>
    <sheet name="Fixed Asset Schedule" sheetId="12" r:id="rId12"/>
    <sheet name="Changes in Working Capital" sheetId="13" r:id="rId13"/>
    <sheet name="Beta Calculation" sheetId="14" r:id="rId14"/>
    <sheet name="Rm" sheetId="15" r:id="rId15"/>
    <sheet name="WACC" sheetId="16" r:id="rId16"/>
    <sheet name="FCFF" sheetId="17" r:id="rId17"/>
    <sheet name="Assumptions" sheetId="18" r:id="rId18"/>
    <sheet name="HistoricalFS" sheetId="19" r:id="rId19"/>
    <sheet name="Forecasting" sheetId="20" r:id="rId20"/>
    <sheet name="Growth Scenarios" sheetId="21" r:id="rId21"/>
    <sheet name="DDM Valuation" sheetId="22" r:id="rId22"/>
    <sheet name="DCF Valuation" sheetId="25" r:id="rId23"/>
  </sheets>
  <externalReferences>
    <externalReference r:id="rId24"/>
  </externalReferences>
  <definedNames>
    <definedName name="UPDATE">'Data Sheet'!$E$1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6" l="1"/>
  <c r="M6" i="4"/>
  <c r="N6" i="25"/>
  <c r="Q6" i="25"/>
  <c r="N14" i="11" l="1"/>
  <c r="M14" i="11"/>
  <c r="N13" i="11"/>
  <c r="M13" i="11"/>
  <c r="I13" i="11"/>
  <c r="J13" i="11"/>
  <c r="K13" i="11"/>
  <c r="L13" i="11"/>
  <c r="H13" i="11"/>
  <c r="I14" i="11"/>
  <c r="J14" i="11"/>
  <c r="K14" i="11"/>
  <c r="L14" i="11"/>
  <c r="H14" i="11"/>
  <c r="G14" i="11"/>
  <c r="F14" i="11"/>
  <c r="F13" i="11"/>
  <c r="G13" i="11"/>
  <c r="E14" i="11"/>
  <c r="E13" i="11"/>
  <c r="D14" i="11"/>
  <c r="D13" i="11"/>
  <c r="C14" i="11"/>
  <c r="C13" i="11"/>
  <c r="O14" i="11"/>
  <c r="O13" i="11"/>
  <c r="O12" i="11"/>
  <c r="N12" i="11"/>
  <c r="N11" i="11"/>
  <c r="M12" i="11"/>
  <c r="L12" i="11"/>
  <c r="L11" i="11"/>
  <c r="K12" i="11"/>
  <c r="I12" i="11"/>
  <c r="J12" i="11"/>
  <c r="H12" i="11"/>
  <c r="G12" i="11"/>
  <c r="H11" i="11"/>
  <c r="D12" i="11"/>
  <c r="E12" i="11"/>
  <c r="F12" i="11"/>
  <c r="C12" i="11"/>
  <c r="O11" i="11"/>
  <c r="M11" i="11"/>
  <c r="K11" i="11"/>
  <c r="J11" i="11"/>
  <c r="I11" i="11"/>
  <c r="D11" i="11"/>
  <c r="E11" i="11"/>
  <c r="F11" i="11"/>
  <c r="G11" i="11"/>
  <c r="C11" i="11"/>
  <c r="B14" i="25"/>
  <c r="K31" i="16" l="1"/>
  <c r="C19" i="22"/>
  <c r="C18" i="22"/>
  <c r="G76" i="19"/>
  <c r="F76" i="19"/>
  <c r="E76" i="19"/>
  <c r="D76" i="19"/>
  <c r="C76" i="19"/>
  <c r="G75" i="19"/>
  <c r="F75" i="19"/>
  <c r="E75" i="19"/>
  <c r="D75" i="19"/>
  <c r="C75" i="19"/>
  <c r="G74" i="19"/>
  <c r="F74" i="19"/>
  <c r="E74" i="19"/>
  <c r="D74" i="19"/>
  <c r="C74" i="19"/>
  <c r="G72" i="19"/>
  <c r="F72" i="19"/>
  <c r="E72" i="19"/>
  <c r="D72" i="19"/>
  <c r="C72" i="19"/>
  <c r="G65" i="19"/>
  <c r="B29" i="25" s="1"/>
  <c r="F65" i="19"/>
  <c r="F21" i="18" s="1"/>
  <c r="E65" i="19"/>
  <c r="E21" i="18" s="1"/>
  <c r="D65" i="19"/>
  <c r="D21" i="18" s="1"/>
  <c r="C65" i="19"/>
  <c r="C21" i="18" s="1"/>
  <c r="G64" i="19"/>
  <c r="F64" i="19"/>
  <c r="F4" i="13" s="1"/>
  <c r="E64" i="19"/>
  <c r="D64" i="19"/>
  <c r="D4" i="13" s="1"/>
  <c r="C64" i="19"/>
  <c r="G63" i="19"/>
  <c r="F63" i="19"/>
  <c r="F5" i="13" s="1"/>
  <c r="E63" i="19"/>
  <c r="E5" i="13" s="1"/>
  <c r="D63" i="19"/>
  <c r="C63" i="19"/>
  <c r="C5" i="13" s="1"/>
  <c r="G60" i="19"/>
  <c r="F60" i="19"/>
  <c r="E60" i="19"/>
  <c r="D60" i="19"/>
  <c r="C60" i="19"/>
  <c r="G59" i="19"/>
  <c r="F59" i="19"/>
  <c r="E59" i="19"/>
  <c r="D59" i="19"/>
  <c r="C59" i="19"/>
  <c r="G58" i="19"/>
  <c r="F58" i="19"/>
  <c r="E58" i="19"/>
  <c r="D58" i="19"/>
  <c r="C58" i="19"/>
  <c r="G57" i="19"/>
  <c r="F57" i="19"/>
  <c r="F8" i="12" s="1"/>
  <c r="G4" i="12" s="1"/>
  <c r="E57" i="19"/>
  <c r="E8" i="12" s="1"/>
  <c r="F4" i="12" s="1"/>
  <c r="D57" i="19"/>
  <c r="D8" i="12" s="1"/>
  <c r="C57" i="19"/>
  <c r="G55" i="19"/>
  <c r="F55" i="19"/>
  <c r="E55" i="19"/>
  <c r="D55" i="19"/>
  <c r="C55" i="19"/>
  <c r="G54" i="19"/>
  <c r="F54" i="19"/>
  <c r="E54" i="19"/>
  <c r="D54" i="19"/>
  <c r="C54" i="19"/>
  <c r="G53" i="19"/>
  <c r="G20" i="18" s="1"/>
  <c r="F53" i="19"/>
  <c r="F20" i="18" s="1"/>
  <c r="E53" i="19"/>
  <c r="E20" i="18" s="1"/>
  <c r="D53" i="19"/>
  <c r="D20" i="18" s="1"/>
  <c r="C53" i="19"/>
  <c r="C20" i="18" s="1"/>
  <c r="G52" i="19"/>
  <c r="F52" i="19"/>
  <c r="E52" i="19"/>
  <c r="D52" i="19"/>
  <c r="C52" i="19"/>
  <c r="G51" i="19"/>
  <c r="F51" i="19"/>
  <c r="E51" i="19"/>
  <c r="D51" i="19"/>
  <c r="C51" i="19"/>
  <c r="G50" i="19"/>
  <c r="F50" i="19"/>
  <c r="E50" i="19"/>
  <c r="D50" i="19"/>
  <c r="C50" i="19"/>
  <c r="G40" i="19"/>
  <c r="G5" i="22" s="1"/>
  <c r="F40" i="19"/>
  <c r="F5" i="22" s="1"/>
  <c r="E40" i="19"/>
  <c r="E5" i="22" s="1"/>
  <c r="D40" i="19"/>
  <c r="D5" i="22" s="1"/>
  <c r="C40" i="19"/>
  <c r="C45" i="19" s="1"/>
  <c r="G34" i="19"/>
  <c r="F34" i="19"/>
  <c r="E34" i="19"/>
  <c r="D34" i="19"/>
  <c r="C34" i="19"/>
  <c r="G29" i="19"/>
  <c r="F29" i="19"/>
  <c r="E29" i="19"/>
  <c r="D29" i="19"/>
  <c r="C29" i="19"/>
  <c r="G26" i="19"/>
  <c r="F26" i="19"/>
  <c r="E26" i="19"/>
  <c r="D26" i="19"/>
  <c r="C26" i="19"/>
  <c r="G20" i="19"/>
  <c r="G7" i="12" s="1"/>
  <c r="F20" i="19"/>
  <c r="F7" i="12" s="1"/>
  <c r="E20" i="19"/>
  <c r="E7" i="12" s="1"/>
  <c r="D20" i="19"/>
  <c r="C20" i="19"/>
  <c r="G14" i="19"/>
  <c r="G15" i="19" s="1"/>
  <c r="G19" i="9" s="1"/>
  <c r="F14" i="19"/>
  <c r="E14" i="19"/>
  <c r="D14" i="19"/>
  <c r="D15" i="19" s="1"/>
  <c r="D19" i="9" s="1"/>
  <c r="C14" i="19"/>
  <c r="G8" i="19"/>
  <c r="F8" i="19"/>
  <c r="E8" i="19"/>
  <c r="D8" i="19"/>
  <c r="C8" i="19"/>
  <c r="G5" i="19"/>
  <c r="C12" i="21" s="1"/>
  <c r="F5" i="19"/>
  <c r="E5" i="19"/>
  <c r="D5" i="19"/>
  <c r="C5" i="19"/>
  <c r="D5" i="20" s="1"/>
  <c r="B1" i="19"/>
  <c r="B1" i="18"/>
  <c r="E23" i="16"/>
  <c r="G17" i="16"/>
  <c r="H16" i="16"/>
  <c r="G16" i="16"/>
  <c r="K14" i="16"/>
  <c r="J14" i="16"/>
  <c r="H14" i="16"/>
  <c r="F14" i="16"/>
  <c r="I14" i="16" s="1"/>
  <c r="E14" i="16"/>
  <c r="J13" i="16"/>
  <c r="K13" i="16" s="1"/>
  <c r="H13" i="16"/>
  <c r="F13" i="16"/>
  <c r="I13" i="16" s="1"/>
  <c r="E13" i="16"/>
  <c r="K12" i="16"/>
  <c r="J12" i="16"/>
  <c r="H12" i="16"/>
  <c r="F12" i="16"/>
  <c r="I12" i="16" s="1"/>
  <c r="E12" i="16"/>
  <c r="J11" i="16"/>
  <c r="H11" i="16"/>
  <c r="H17" i="16" s="1"/>
  <c r="F11" i="16"/>
  <c r="I11" i="16" s="1"/>
  <c r="E11" i="16"/>
  <c r="H10" i="16"/>
  <c r="F10" i="16"/>
  <c r="E10" i="16"/>
  <c r="C32" i="16" s="1"/>
  <c r="F6" i="15"/>
  <c r="F4" i="15"/>
  <c r="G6" i="14"/>
  <c r="J10" i="16" s="1"/>
  <c r="G6" i="13"/>
  <c r="F6" i="13"/>
  <c r="E6" i="13"/>
  <c r="D6" i="13"/>
  <c r="C6" i="13"/>
  <c r="E19" i="11"/>
  <c r="I19" i="11" s="1"/>
  <c r="C22" i="11"/>
  <c r="E20" i="11"/>
  <c r="I20" i="11" s="1"/>
  <c r="C19" i="11"/>
  <c r="N59" i="10"/>
  <c r="N58" i="10"/>
  <c r="N57" i="10"/>
  <c r="N56" i="10"/>
  <c r="N55" i="10"/>
  <c r="B6" i="10"/>
  <c r="B33" i="25" s="1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J3" i="6"/>
  <c r="I3" i="6"/>
  <c r="H3" i="6"/>
  <c r="G3" i="6"/>
  <c r="F3" i="6"/>
  <c r="E3" i="6"/>
  <c r="D3" i="6"/>
  <c r="C3" i="6"/>
  <c r="B3" i="6"/>
  <c r="K18" i="5"/>
  <c r="J18" i="5"/>
  <c r="I18" i="5"/>
  <c r="H18" i="5"/>
  <c r="G18" i="5"/>
  <c r="F18" i="5"/>
  <c r="E18" i="5"/>
  <c r="D18" i="5"/>
  <c r="C18" i="5"/>
  <c r="B18" i="5"/>
  <c r="L15" i="5"/>
  <c r="K15" i="5"/>
  <c r="J15" i="5"/>
  <c r="I15" i="5"/>
  <c r="H15" i="5"/>
  <c r="G15" i="5"/>
  <c r="F15" i="5"/>
  <c r="E15" i="5"/>
  <c r="D15" i="5"/>
  <c r="C15" i="5"/>
  <c r="B15" i="5"/>
  <c r="B13" i="5"/>
  <c r="K12" i="5"/>
  <c r="K13" i="5" s="1"/>
  <c r="J12" i="5"/>
  <c r="J13" i="5" s="1"/>
  <c r="I12" i="5"/>
  <c r="I13" i="5" s="1"/>
  <c r="H12" i="5"/>
  <c r="H13" i="5" s="1"/>
  <c r="G12" i="5"/>
  <c r="F12" i="5"/>
  <c r="E12" i="5"/>
  <c r="E13" i="5" s="1"/>
  <c r="D12" i="5"/>
  <c r="D13" i="5" s="1"/>
  <c r="C12" i="5"/>
  <c r="C13" i="5" s="1"/>
  <c r="B12" i="5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K5" i="5"/>
  <c r="J5" i="5"/>
  <c r="I5" i="5"/>
  <c r="H5" i="5"/>
  <c r="H6" i="5" s="1"/>
  <c r="H19" i="5" s="1"/>
  <c r="G5" i="5"/>
  <c r="F5" i="5"/>
  <c r="E5" i="5"/>
  <c r="D5" i="5"/>
  <c r="C5" i="5"/>
  <c r="B5" i="5"/>
  <c r="K4" i="5"/>
  <c r="J4" i="5"/>
  <c r="I4" i="5"/>
  <c r="H4" i="5"/>
  <c r="G4" i="5"/>
  <c r="G20" i="4" s="1"/>
  <c r="F4" i="5"/>
  <c r="E4" i="5"/>
  <c r="D4" i="5"/>
  <c r="C4" i="5"/>
  <c r="B4" i="5"/>
  <c r="K3" i="5"/>
  <c r="J3" i="5"/>
  <c r="I3" i="5"/>
  <c r="H3" i="5"/>
  <c r="G3" i="5"/>
  <c r="F3" i="5"/>
  <c r="E3" i="5"/>
  <c r="D3" i="5"/>
  <c r="C3" i="5"/>
  <c r="B3" i="5"/>
  <c r="A1" i="5"/>
  <c r="K18" i="4"/>
  <c r="J18" i="4"/>
  <c r="I18" i="4"/>
  <c r="H18" i="4"/>
  <c r="G18" i="4"/>
  <c r="F18" i="4"/>
  <c r="E18" i="4"/>
  <c r="D18" i="4"/>
  <c r="C18" i="4"/>
  <c r="B18" i="4"/>
  <c r="K17" i="4"/>
  <c r="J17" i="4"/>
  <c r="I17" i="4"/>
  <c r="H17" i="4"/>
  <c r="G17" i="4"/>
  <c r="F17" i="4"/>
  <c r="E17" i="4"/>
  <c r="D17" i="4"/>
  <c r="C17" i="4"/>
  <c r="B17" i="4"/>
  <c r="K14" i="4"/>
  <c r="J14" i="4"/>
  <c r="I14" i="4"/>
  <c r="H14" i="4"/>
  <c r="G14" i="4"/>
  <c r="F14" i="4"/>
  <c r="E14" i="4"/>
  <c r="D14" i="4"/>
  <c r="C14" i="4"/>
  <c r="B14" i="4"/>
  <c r="K13" i="4"/>
  <c r="J13" i="4"/>
  <c r="I13" i="4"/>
  <c r="H13" i="4"/>
  <c r="G13" i="4"/>
  <c r="F13" i="4"/>
  <c r="E13" i="4"/>
  <c r="D13" i="4"/>
  <c r="C13" i="4"/>
  <c r="B13" i="4"/>
  <c r="K12" i="4"/>
  <c r="J12" i="4"/>
  <c r="I12" i="4"/>
  <c r="H12" i="4"/>
  <c r="G12" i="4"/>
  <c r="F12" i="4"/>
  <c r="E12" i="4"/>
  <c r="D12" i="4"/>
  <c r="C12" i="4"/>
  <c r="B12" i="4"/>
  <c r="K11" i="4"/>
  <c r="J11" i="4"/>
  <c r="I11" i="4"/>
  <c r="H11" i="4"/>
  <c r="G11" i="4"/>
  <c r="F11" i="4"/>
  <c r="E11" i="4"/>
  <c r="D11" i="4"/>
  <c r="C11" i="4"/>
  <c r="B11" i="4"/>
  <c r="K10" i="4"/>
  <c r="J10" i="4"/>
  <c r="I10" i="4"/>
  <c r="H10" i="4"/>
  <c r="G10" i="4"/>
  <c r="F10" i="4"/>
  <c r="E10" i="4"/>
  <c r="D10" i="4"/>
  <c r="C10" i="4"/>
  <c r="B10" i="4"/>
  <c r="K8" i="4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B30" i="25" s="1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P17" i="21"/>
  <c r="P12" i="21"/>
  <c r="D33" i="9" l="1"/>
  <c r="D40" i="9" s="1"/>
  <c r="E33" i="9"/>
  <c r="E40" i="9" s="1"/>
  <c r="G23" i="4"/>
  <c r="D14" i="5"/>
  <c r="D5" i="9"/>
  <c r="C78" i="19"/>
  <c r="D45" i="19"/>
  <c r="D6" i="22" s="1"/>
  <c r="D44" i="9"/>
  <c r="L7" i="5"/>
  <c r="H20" i="4"/>
  <c r="L6" i="5"/>
  <c r="L19" i="5" s="1"/>
  <c r="L24" i="5" s="1"/>
  <c r="G46" i="9"/>
  <c r="D6" i="20"/>
  <c r="E6" i="20" s="1"/>
  <c r="F16" i="4"/>
  <c r="F34" i="9"/>
  <c r="E5" i="9"/>
  <c r="D23" i="4"/>
  <c r="G5" i="9"/>
  <c r="G33" i="9"/>
  <c r="G40" i="9" s="1"/>
  <c r="E32" i="9"/>
  <c r="E39" i="9" s="1"/>
  <c r="E44" i="9"/>
  <c r="D21" i="4"/>
  <c r="E21" i="4"/>
  <c r="E9" i="19"/>
  <c r="F21" i="4"/>
  <c r="F9" i="19"/>
  <c r="D66" i="19"/>
  <c r="D9" i="20"/>
  <c r="G21" i="4"/>
  <c r="J20" i="4"/>
  <c r="G34" i="9"/>
  <c r="G9" i="19"/>
  <c r="F20" i="4"/>
  <c r="H21" i="4"/>
  <c r="C19" i="18"/>
  <c r="C22" i="18" s="1"/>
  <c r="C6" i="21"/>
  <c r="C17" i="21" s="1"/>
  <c r="B5" i="25" s="1"/>
  <c r="D5" i="13"/>
  <c r="D7" i="13" s="1"/>
  <c r="C9" i="21"/>
  <c r="D16" i="4"/>
  <c r="E15" i="19"/>
  <c r="E19" i="9" s="1"/>
  <c r="E16" i="4"/>
  <c r="K21" i="4"/>
  <c r="D6" i="5"/>
  <c r="D19" i="5" s="1"/>
  <c r="L4" i="5"/>
  <c r="L23" i="5" s="1"/>
  <c r="D32" i="9"/>
  <c r="D39" i="9" s="1"/>
  <c r="G4" i="13"/>
  <c r="I6" i="5"/>
  <c r="I19" i="5" s="1"/>
  <c r="E78" i="19"/>
  <c r="G6" i="5"/>
  <c r="G19" i="5" s="1"/>
  <c r="L8" i="5"/>
  <c r="N8" i="5" s="1"/>
  <c r="B14" i="6"/>
  <c r="I14" i="5"/>
  <c r="C14" i="6"/>
  <c r="D78" i="19"/>
  <c r="J14" i="5"/>
  <c r="D14" i="6"/>
  <c r="C31" i="9"/>
  <c r="C38" i="9" s="1"/>
  <c r="C34" i="9"/>
  <c r="C5" i="22"/>
  <c r="K24" i="4"/>
  <c r="E14" i="6"/>
  <c r="E19" i="18"/>
  <c r="E22" i="18" s="1"/>
  <c r="E31" i="9"/>
  <c r="E38" i="9" s="1"/>
  <c r="B16" i="4"/>
  <c r="E14" i="5"/>
  <c r="C16" i="4"/>
  <c r="D20" i="4"/>
  <c r="F23" i="4"/>
  <c r="L10" i="5"/>
  <c r="C46" i="9"/>
  <c r="D21" i="19"/>
  <c r="D20" i="9" s="1"/>
  <c r="F7" i="13"/>
  <c r="G78" i="19"/>
  <c r="G21" i="18"/>
  <c r="F66" i="19"/>
  <c r="D46" i="9"/>
  <c r="E45" i="19"/>
  <c r="E6" i="22" s="1"/>
  <c r="B23" i="4"/>
  <c r="K14" i="5"/>
  <c r="G14" i="6"/>
  <c r="C6" i="12"/>
  <c r="C11" i="18"/>
  <c r="C14" i="22" s="1"/>
  <c r="F45" i="19"/>
  <c r="F9" i="9" s="1"/>
  <c r="B14" i="5"/>
  <c r="L5" i="5"/>
  <c r="C35" i="9"/>
  <c r="D35" i="9"/>
  <c r="H16" i="4"/>
  <c r="E6" i="5"/>
  <c r="E19" i="5" s="1"/>
  <c r="F13" i="5"/>
  <c r="F14" i="5" s="1"/>
  <c r="C44" i="9"/>
  <c r="C8" i="12"/>
  <c r="D4" i="12" s="1"/>
  <c r="C9" i="19"/>
  <c r="G35" i="9"/>
  <c r="G13" i="5"/>
  <c r="G14" i="5" s="1"/>
  <c r="H14" i="5"/>
  <c r="D9" i="19"/>
  <c r="G27" i="19"/>
  <c r="I20" i="4"/>
  <c r="G44" i="9"/>
  <c r="G11" i="19"/>
  <c r="G17" i="19" s="1"/>
  <c r="C15" i="19"/>
  <c r="C19" i="9" s="1"/>
  <c r="D24" i="4"/>
  <c r="F14" i="6"/>
  <c r="L12" i="5"/>
  <c r="L13" i="5" s="1"/>
  <c r="L14" i="5" s="1"/>
  <c r="L25" i="5" s="1"/>
  <c r="E11" i="19"/>
  <c r="G16" i="4"/>
  <c r="H14" i="6"/>
  <c r="C27" i="19"/>
  <c r="G45" i="19"/>
  <c r="G6" i="22" s="1"/>
  <c r="C61" i="19"/>
  <c r="I24" i="4"/>
  <c r="I14" i="6"/>
  <c r="D27" i="19"/>
  <c r="E35" i="9"/>
  <c r="G32" i="9"/>
  <c r="G39" i="9" s="1"/>
  <c r="F61" i="19"/>
  <c r="J24" i="4"/>
  <c r="I16" i="4"/>
  <c r="J21" i="4"/>
  <c r="F6" i="5"/>
  <c r="F19" i="5" s="1"/>
  <c r="J14" i="6"/>
  <c r="L9" i="5"/>
  <c r="E6" i="19"/>
  <c r="E27" i="19"/>
  <c r="F19" i="18"/>
  <c r="F22" i="18" s="1"/>
  <c r="G20" i="11"/>
  <c r="C21" i="11"/>
  <c r="E21" i="11"/>
  <c r="E23" i="4"/>
  <c r="F24" i="4"/>
  <c r="K20" i="4"/>
  <c r="K6" i="5"/>
  <c r="K19" i="5" s="1"/>
  <c r="J23" i="5"/>
  <c r="K23" i="5"/>
  <c r="G24" i="4"/>
  <c r="H24" i="4"/>
  <c r="K16" i="4"/>
  <c r="L11" i="5"/>
  <c r="F6" i="19"/>
  <c r="F33" i="9"/>
  <c r="F40" i="9" s="1"/>
  <c r="F5" i="9"/>
  <c r="F11" i="19"/>
  <c r="G6" i="19"/>
  <c r="D8" i="20"/>
  <c r="F35" i="9"/>
  <c r="F15" i="19"/>
  <c r="F19" i="9" s="1"/>
  <c r="F21" i="19"/>
  <c r="F20" i="9" s="1"/>
  <c r="F32" i="9"/>
  <c r="F39" i="9" s="1"/>
  <c r="F31" i="9"/>
  <c r="F38" i="9" s="1"/>
  <c r="C21" i="19"/>
  <c r="C20" i="9" s="1"/>
  <c r="C7" i="12"/>
  <c r="J16" i="4"/>
  <c r="E5" i="12"/>
  <c r="E10" i="12" s="1"/>
  <c r="E4" i="13"/>
  <c r="E7" i="13" s="1"/>
  <c r="E66" i="19"/>
  <c r="H23" i="4"/>
  <c r="B6" i="5"/>
  <c r="B19" i="5" s="1"/>
  <c r="B20" i="4"/>
  <c r="I23" i="4"/>
  <c r="C21" i="4"/>
  <c r="C20" i="4"/>
  <c r="C6" i="5"/>
  <c r="C19" i="5" s="1"/>
  <c r="H23" i="5"/>
  <c r="J17" i="16"/>
  <c r="T7" i="16"/>
  <c r="J16" i="16"/>
  <c r="K10" i="16"/>
  <c r="N61" i="10"/>
  <c r="N60" i="10"/>
  <c r="C31" i="16"/>
  <c r="I10" i="16"/>
  <c r="E24" i="4"/>
  <c r="F44" i="9"/>
  <c r="F78" i="19"/>
  <c r="E4" i="12"/>
  <c r="A1" i="4"/>
  <c r="A1" i="7" s="1"/>
  <c r="A1" i="6"/>
  <c r="F46" i="9"/>
  <c r="J23" i="4"/>
  <c r="C14" i="5"/>
  <c r="I23" i="5"/>
  <c r="G19" i="11"/>
  <c r="B21" i="4"/>
  <c r="K14" i="6"/>
  <c r="C6" i="22"/>
  <c r="D11" i="22" s="1"/>
  <c r="K23" i="4"/>
  <c r="F27" i="19"/>
  <c r="D19" i="18"/>
  <c r="D22" i="18" s="1"/>
  <c r="D7" i="20"/>
  <c r="D11" i="20" s="1"/>
  <c r="C24" i="4"/>
  <c r="G21" i="19"/>
  <c r="G20" i="9" s="1"/>
  <c r="D61" i="19"/>
  <c r="D11" i="18"/>
  <c r="C11" i="19"/>
  <c r="C32" i="9"/>
  <c r="C39" i="9" s="1"/>
  <c r="E61" i="19"/>
  <c r="G31" i="9"/>
  <c r="G38" i="9" s="1"/>
  <c r="G5" i="13"/>
  <c r="I21" i="4"/>
  <c r="J6" i="5"/>
  <c r="J19" i="5" s="1"/>
  <c r="E22" i="16"/>
  <c r="E24" i="16" s="1"/>
  <c r="K41" i="16" s="1"/>
  <c r="D34" i="9"/>
  <c r="D6" i="19"/>
  <c r="D31" i="9"/>
  <c r="D38" i="9" s="1"/>
  <c r="D11" i="19"/>
  <c r="G19" i="18"/>
  <c r="G22" i="18" s="1"/>
  <c r="F5" i="12"/>
  <c r="F10" i="12" s="1"/>
  <c r="C4" i="13"/>
  <c r="C7" i="13" s="1"/>
  <c r="C66" i="19"/>
  <c r="C23" i="4"/>
  <c r="E20" i="4"/>
  <c r="C33" i="9"/>
  <c r="C40" i="9" s="1"/>
  <c r="E46" i="9"/>
  <c r="E22" i="11"/>
  <c r="D7" i="12"/>
  <c r="K11" i="16"/>
  <c r="E21" i="19"/>
  <c r="E20" i="9" s="1"/>
  <c r="E34" i="9"/>
  <c r="G12" i="19"/>
  <c r="G12" i="9" s="1"/>
  <c r="G61" i="19"/>
  <c r="G66" i="19"/>
  <c r="C20" i="11"/>
  <c r="G8" i="12"/>
  <c r="G5" i="12" s="1"/>
  <c r="G10" i="12" s="1"/>
  <c r="G7" i="13" l="1"/>
  <c r="G9" i="13" s="1"/>
  <c r="D9" i="9"/>
  <c r="E11" i="22"/>
  <c r="D41" i="9"/>
  <c r="M8" i="5"/>
  <c r="D68" i="19"/>
  <c r="M11" i="5"/>
  <c r="I24" i="5"/>
  <c r="E41" i="9"/>
  <c r="F6" i="22"/>
  <c r="F11" i="22" s="1"/>
  <c r="K25" i="5"/>
  <c r="M25" i="5" s="1"/>
  <c r="M14" i="5" s="1"/>
  <c r="E9" i="13"/>
  <c r="E11" i="17" s="1"/>
  <c r="I25" i="5"/>
  <c r="J25" i="5"/>
  <c r="F68" i="19"/>
  <c r="F70" i="19" s="1"/>
  <c r="H24" i="5"/>
  <c r="D14" i="20"/>
  <c r="D10" i="20"/>
  <c r="E10" i="20" s="1"/>
  <c r="H25" i="5"/>
  <c r="I6" i="19"/>
  <c r="I4" i="18"/>
  <c r="E6" i="12"/>
  <c r="M9" i="5"/>
  <c r="N9" i="5"/>
  <c r="G68" i="19"/>
  <c r="G45" i="9" s="1"/>
  <c r="C68" i="19"/>
  <c r="C70" i="19" s="1"/>
  <c r="G6" i="12"/>
  <c r="M23" i="5"/>
  <c r="M4" i="5" s="1"/>
  <c r="D5" i="12"/>
  <c r="D10" i="12" s="1"/>
  <c r="D10" i="17" s="1"/>
  <c r="N23" i="5"/>
  <c r="N4" i="5" s="1"/>
  <c r="E9" i="20"/>
  <c r="C28" i="22"/>
  <c r="G9" i="9"/>
  <c r="J24" i="5"/>
  <c r="E9" i="9"/>
  <c r="G41" i="9"/>
  <c r="E12" i="19"/>
  <c r="E12" i="9" s="1"/>
  <c r="E17" i="19"/>
  <c r="C41" i="9"/>
  <c r="C12" i="22"/>
  <c r="I21" i="11"/>
  <c r="G21" i="11"/>
  <c r="E7" i="20"/>
  <c r="D13" i="20"/>
  <c r="K24" i="5"/>
  <c r="M24" i="5" s="1"/>
  <c r="G11" i="22"/>
  <c r="I16" i="16"/>
  <c r="E31" i="16" s="1"/>
  <c r="I17" i="16"/>
  <c r="E11" i="12"/>
  <c r="E10" i="17"/>
  <c r="I22" i="11"/>
  <c r="E24" i="11" s="1"/>
  <c r="G24" i="11" s="1"/>
  <c r="G22" i="11"/>
  <c r="G10" i="17"/>
  <c r="G11" i="12"/>
  <c r="D17" i="19"/>
  <c r="D12" i="19"/>
  <c r="D12" i="9" s="1"/>
  <c r="N11" i="5"/>
  <c r="D45" i="9"/>
  <c r="D70" i="19"/>
  <c r="F10" i="17"/>
  <c r="F11" i="12"/>
  <c r="G11" i="17"/>
  <c r="G10" i="13"/>
  <c r="K17" i="16"/>
  <c r="K30" i="16" s="1"/>
  <c r="K16" i="16"/>
  <c r="C10" i="18"/>
  <c r="E8" i="20"/>
  <c r="F17" i="19"/>
  <c r="G6" i="9" s="1"/>
  <c r="F12" i="19"/>
  <c r="F12" i="9" s="1"/>
  <c r="G23" i="19"/>
  <c r="I9" i="20"/>
  <c r="G18" i="19"/>
  <c r="C17" i="19"/>
  <c r="C12" i="19"/>
  <c r="C12" i="9" s="1"/>
  <c r="D12" i="20"/>
  <c r="E12" i="20" s="1"/>
  <c r="D9" i="13"/>
  <c r="D11" i="17" s="1"/>
  <c r="C33" i="16"/>
  <c r="D32" i="16" s="1"/>
  <c r="F41" i="9"/>
  <c r="F6" i="12"/>
  <c r="E68" i="19"/>
  <c r="F9" i="13"/>
  <c r="E13" i="20" l="1"/>
  <c r="G70" i="19"/>
  <c r="E10" i="13"/>
  <c r="F45" i="9"/>
  <c r="N25" i="5"/>
  <c r="N14" i="5" s="1"/>
  <c r="C13" i="22"/>
  <c r="D12" i="17"/>
  <c r="M6" i="5"/>
  <c r="M10" i="5" s="1"/>
  <c r="M12" i="5" s="1"/>
  <c r="M13" i="5" s="1"/>
  <c r="M15" i="5" s="1"/>
  <c r="E11" i="20"/>
  <c r="E23" i="19"/>
  <c r="I7" i="20"/>
  <c r="E18" i="19"/>
  <c r="E14" i="20"/>
  <c r="E12" i="17"/>
  <c r="C45" i="9"/>
  <c r="D6" i="12"/>
  <c r="I6" i="20"/>
  <c r="D23" i="19"/>
  <c r="D6" i="9"/>
  <c r="D18" i="19"/>
  <c r="E6" i="9"/>
  <c r="G13" i="9"/>
  <c r="G4" i="18"/>
  <c r="G12" i="17"/>
  <c r="E45" i="9"/>
  <c r="E70" i="19"/>
  <c r="I5" i="20"/>
  <c r="C18" i="19"/>
  <c r="C23" i="19"/>
  <c r="D10" i="21"/>
  <c r="P11" i="21"/>
  <c r="P13" i="21" s="1"/>
  <c r="P14" i="21" s="1"/>
  <c r="D31" i="16"/>
  <c r="F11" i="17"/>
  <c r="F12" i="17" s="1"/>
  <c r="F10" i="13"/>
  <c r="I8" i="20"/>
  <c r="F6" i="9"/>
  <c r="F18" i="19"/>
  <c r="F23" i="19"/>
  <c r="D11" i="12"/>
  <c r="K42" i="16"/>
  <c r="D7" i="21"/>
  <c r="P6" i="21"/>
  <c r="P8" i="21" s="1"/>
  <c r="P9" i="21" s="1"/>
  <c r="D10" i="13"/>
  <c r="G25" i="18"/>
  <c r="G24" i="19"/>
  <c r="G31" i="19"/>
  <c r="G24" i="9"/>
  <c r="G18" i="18"/>
  <c r="G26" i="18" s="1"/>
  <c r="G5" i="17"/>
  <c r="G6" i="17" s="1"/>
  <c r="G28" i="9"/>
  <c r="N24" i="5"/>
  <c r="N6" i="5" s="1"/>
  <c r="M5" i="5" l="1"/>
  <c r="E13" i="9"/>
  <c r="E4" i="18"/>
  <c r="E28" i="9"/>
  <c r="E31" i="19"/>
  <c r="E24" i="9"/>
  <c r="E5" i="17"/>
  <c r="E18" i="18"/>
  <c r="E26" i="18" s="1"/>
  <c r="E25" i="18"/>
  <c r="E24" i="19"/>
  <c r="C14" i="12"/>
  <c r="C13" i="12"/>
  <c r="D8" i="25"/>
  <c r="E8" i="25"/>
  <c r="F8" i="25"/>
  <c r="G8" i="25"/>
  <c r="H8" i="25"/>
  <c r="I8" i="25"/>
  <c r="J8" i="25"/>
  <c r="K8" i="25"/>
  <c r="L8" i="25"/>
  <c r="N8" i="25" s="1"/>
  <c r="C8" i="25"/>
  <c r="J8" i="20"/>
  <c r="F31" i="19"/>
  <c r="F24" i="19"/>
  <c r="F24" i="9"/>
  <c r="F25" i="18"/>
  <c r="F7" i="9"/>
  <c r="F28" i="9"/>
  <c r="F5" i="17"/>
  <c r="F6" i="17" s="1"/>
  <c r="F18" i="18"/>
  <c r="F26" i="18" s="1"/>
  <c r="G21" i="9"/>
  <c r="G5" i="18"/>
  <c r="G14" i="9"/>
  <c r="C13" i="13"/>
  <c r="C12" i="13"/>
  <c r="D6" i="21"/>
  <c r="E7" i="21"/>
  <c r="F7" i="21" s="1"/>
  <c r="G7" i="21" s="1"/>
  <c r="H7" i="21" s="1"/>
  <c r="I7" i="21" s="1"/>
  <c r="J7" i="21" s="1"/>
  <c r="K7" i="21" s="1"/>
  <c r="L7" i="21" s="1"/>
  <c r="M7" i="21" s="1"/>
  <c r="J9" i="20"/>
  <c r="D5" i="17"/>
  <c r="D6" i="17" s="1"/>
  <c r="D24" i="9"/>
  <c r="D7" i="9"/>
  <c r="D18" i="18"/>
  <c r="D26" i="18" s="1"/>
  <c r="D28" i="9"/>
  <c r="D31" i="19"/>
  <c r="D24" i="19"/>
  <c r="D25" i="18"/>
  <c r="E7" i="9"/>
  <c r="G7" i="17"/>
  <c r="G18" i="17" s="1"/>
  <c r="D33" i="16"/>
  <c r="E33" i="16" s="1"/>
  <c r="E32" i="16" s="1"/>
  <c r="D35" i="16"/>
  <c r="J6" i="20"/>
  <c r="J7" i="20"/>
  <c r="C24" i="19"/>
  <c r="C18" i="18"/>
  <c r="C26" i="18" s="1"/>
  <c r="C28" i="9"/>
  <c r="C5" i="17"/>
  <c r="C6" i="17" s="1"/>
  <c r="C24" i="9"/>
  <c r="C25" i="18"/>
  <c r="C31" i="19"/>
  <c r="C4" i="18"/>
  <c r="C13" i="9"/>
  <c r="D13" i="9"/>
  <c r="D4" i="18"/>
  <c r="F4" i="18"/>
  <c r="F13" i="9"/>
  <c r="I14" i="20"/>
  <c r="I12" i="20"/>
  <c r="I10" i="20"/>
  <c r="J10" i="20" s="1"/>
  <c r="I11" i="20"/>
  <c r="I13" i="20"/>
  <c r="N10" i="5"/>
  <c r="N12" i="5" s="1"/>
  <c r="N13" i="5" s="1"/>
  <c r="N15" i="5" s="1"/>
  <c r="N5" i="5"/>
  <c r="G7" i="9"/>
  <c r="G32" i="19"/>
  <c r="G35" i="19"/>
  <c r="G14" i="18" s="1"/>
  <c r="G37" i="19"/>
  <c r="E10" i="21"/>
  <c r="F10" i="21" s="1"/>
  <c r="G10" i="21" s="1"/>
  <c r="H10" i="21" s="1"/>
  <c r="I10" i="21" s="1"/>
  <c r="J10" i="21" s="1"/>
  <c r="K10" i="21" s="1"/>
  <c r="L10" i="21" s="1"/>
  <c r="M10" i="21" s="1"/>
  <c r="D9" i="21"/>
  <c r="E9" i="21" s="1"/>
  <c r="F9" i="21" s="1"/>
  <c r="G9" i="21" s="1"/>
  <c r="H9" i="21" s="1"/>
  <c r="I9" i="21" s="1"/>
  <c r="J9" i="21" s="1"/>
  <c r="K9" i="21" s="1"/>
  <c r="L9" i="21" s="1"/>
  <c r="M9" i="21" s="1"/>
  <c r="E14" i="9" l="1"/>
  <c r="E21" i="9"/>
  <c r="E5" i="18"/>
  <c r="J14" i="20"/>
  <c r="E6" i="17"/>
  <c r="E7" i="17"/>
  <c r="E35" i="19"/>
  <c r="E14" i="18" s="1"/>
  <c r="E37" i="19"/>
  <c r="E32" i="19"/>
  <c r="E22" i="17"/>
  <c r="J12" i="20"/>
  <c r="F7" i="17"/>
  <c r="C32" i="19"/>
  <c r="C37" i="19"/>
  <c r="C35" i="19"/>
  <c r="C14" i="18" s="1"/>
  <c r="E6" i="21"/>
  <c r="F6" i="21" s="1"/>
  <c r="G6" i="21" s="1"/>
  <c r="H6" i="21" s="1"/>
  <c r="I6" i="21" s="1"/>
  <c r="J6" i="21" s="1"/>
  <c r="K6" i="21" s="1"/>
  <c r="L6" i="21" s="1"/>
  <c r="M6" i="21" s="1"/>
  <c r="D14" i="9"/>
  <c r="D21" i="9"/>
  <c r="D5" i="18"/>
  <c r="F21" i="9"/>
  <c r="F5" i="18"/>
  <c r="F14" i="9"/>
  <c r="K39" i="16"/>
  <c r="E35" i="16"/>
  <c r="K33" i="16" s="1"/>
  <c r="K24" i="16" s="1"/>
  <c r="G15" i="17"/>
  <c r="F32" i="19"/>
  <c r="F37" i="19"/>
  <c r="F35" i="19"/>
  <c r="F14" i="18" s="1"/>
  <c r="J11" i="20"/>
  <c r="C5" i="18"/>
  <c r="C14" i="9"/>
  <c r="C21" i="9"/>
  <c r="H24" i="19"/>
  <c r="D7" i="17"/>
  <c r="D15" i="17" s="1"/>
  <c r="G38" i="19"/>
  <c r="G42" i="19"/>
  <c r="G26" i="9"/>
  <c r="C7" i="17"/>
  <c r="D37" i="19"/>
  <c r="D32" i="19"/>
  <c r="D35" i="19"/>
  <c r="D14" i="18" s="1"/>
  <c r="G6" i="18"/>
  <c r="G15" i="9"/>
  <c r="J13" i="20"/>
  <c r="D18" i="17" l="1"/>
  <c r="E6" i="18"/>
  <c r="E15" i="9"/>
  <c r="E18" i="17"/>
  <c r="E15" i="17"/>
  <c r="E38" i="19"/>
  <c r="E26" i="9"/>
  <c r="E42" i="19"/>
  <c r="H14" i="18"/>
  <c r="E21" i="17"/>
  <c r="E24" i="17" s="1"/>
  <c r="C28" i="18" s="1"/>
  <c r="F15" i="17"/>
  <c r="F18" i="17"/>
  <c r="F6" i="18"/>
  <c r="F15" i="9"/>
  <c r="D6" i="18"/>
  <c r="D15" i="9"/>
  <c r="C20" i="22"/>
  <c r="K25" i="16"/>
  <c r="D38" i="19"/>
  <c r="D8" i="9"/>
  <c r="D26" i="9"/>
  <c r="D42" i="19"/>
  <c r="D7" i="22" s="1"/>
  <c r="E8" i="9"/>
  <c r="C38" i="19"/>
  <c r="C26" i="9"/>
  <c r="C42" i="19"/>
  <c r="C46" i="19" s="1"/>
  <c r="C8" i="22" s="1"/>
  <c r="C6" i="18"/>
  <c r="C15" i="9"/>
  <c r="N9" i="20"/>
  <c r="G7" i="22"/>
  <c r="G46" i="19"/>
  <c r="G8" i="22" s="1"/>
  <c r="F42" i="19"/>
  <c r="F8" i="9"/>
  <c r="F38" i="19"/>
  <c r="F26" i="9"/>
  <c r="G8" i="9"/>
  <c r="G16" i="9"/>
  <c r="G7" i="18"/>
  <c r="C21" i="17" l="1"/>
  <c r="E7" i="18"/>
  <c r="E16" i="9"/>
  <c r="N7" i="20"/>
  <c r="E7" i="22"/>
  <c r="E46" i="19"/>
  <c r="E8" i="22" s="1"/>
  <c r="E48" i="19"/>
  <c r="E25" i="9" s="1"/>
  <c r="E27" i="9" s="1"/>
  <c r="C22" i="17"/>
  <c r="F16" i="9"/>
  <c r="F7" i="18"/>
  <c r="N6" i="20"/>
  <c r="D43" i="19"/>
  <c r="D46" i="19"/>
  <c r="D8" i="22" s="1"/>
  <c r="E43" i="19"/>
  <c r="P16" i="21"/>
  <c r="N5" i="20"/>
  <c r="C7" i="22"/>
  <c r="F43" i="19"/>
  <c r="F46" i="19"/>
  <c r="F8" i="22" s="1"/>
  <c r="N8" i="20"/>
  <c r="O8" i="20" s="1"/>
  <c r="F7" i="22"/>
  <c r="K38" i="16"/>
  <c r="K44" i="16" s="1"/>
  <c r="Q4" i="25" s="1"/>
  <c r="C21" i="22"/>
  <c r="C7" i="18"/>
  <c r="C16" i="9"/>
  <c r="G48" i="19"/>
  <c r="G25" i="9" s="1"/>
  <c r="G27" i="9" s="1"/>
  <c r="G43" i="19"/>
  <c r="D16" i="9"/>
  <c r="D7" i="18"/>
  <c r="D23" i="25" l="1"/>
  <c r="C23" i="25"/>
  <c r="Q7" i="25"/>
  <c r="N19" i="25" s="1"/>
  <c r="E23" i="25"/>
  <c r="H23" i="25"/>
  <c r="G23" i="25"/>
  <c r="I23" i="25"/>
  <c r="J23" i="25"/>
  <c r="K23" i="25"/>
  <c r="F23" i="25"/>
  <c r="L23" i="25"/>
  <c r="C23" i="22"/>
  <c r="F48" i="19"/>
  <c r="F25" i="9" s="1"/>
  <c r="F27" i="9" s="1"/>
  <c r="O6" i="20"/>
  <c r="O7" i="20"/>
  <c r="C48" i="19"/>
  <c r="D48" i="19"/>
  <c r="D25" i="9" s="1"/>
  <c r="D27" i="9" s="1"/>
  <c r="N13" i="20"/>
  <c r="N11" i="20"/>
  <c r="N14" i="20"/>
  <c r="O14" i="20" s="1"/>
  <c r="N10" i="20"/>
  <c r="O10" i="20" s="1"/>
  <c r="N12" i="20"/>
  <c r="D13" i="21"/>
  <c r="P18" i="21"/>
  <c r="P19" i="21" s="1"/>
  <c r="O9" i="20"/>
  <c r="C15" i="22" l="1"/>
  <c r="C16" i="22" s="1"/>
  <c r="C29" i="22" s="1"/>
  <c r="C32" i="22" s="1"/>
  <c r="O13" i="20"/>
  <c r="C25" i="9"/>
  <c r="C27" i="9" s="1"/>
  <c r="O11" i="20"/>
  <c r="D18" i="21"/>
  <c r="E13" i="21"/>
  <c r="D12" i="21"/>
  <c r="O12" i="20"/>
  <c r="C25" i="22" l="1"/>
  <c r="D17" i="21"/>
  <c r="C5" i="25" s="1"/>
  <c r="C6" i="25"/>
  <c r="E12" i="21"/>
  <c r="E18" i="21"/>
  <c r="F13" i="21"/>
  <c r="C14" i="25" l="1"/>
  <c r="C15" i="25" s="1"/>
  <c r="C9" i="25"/>
  <c r="C10" i="25" s="1"/>
  <c r="C11" i="25" s="1"/>
  <c r="C13" i="25"/>
  <c r="E17" i="21"/>
  <c r="D5" i="25" s="1"/>
  <c r="D6" i="25"/>
  <c r="F18" i="21"/>
  <c r="G13" i="21"/>
  <c r="F12" i="21"/>
  <c r="C16" i="25" l="1"/>
  <c r="C19" i="25" s="1"/>
  <c r="D14" i="25"/>
  <c r="D15" i="25" s="1"/>
  <c r="D9" i="25"/>
  <c r="D10" i="25" s="1"/>
  <c r="D11" i="25" s="1"/>
  <c r="D13" i="25"/>
  <c r="F17" i="21"/>
  <c r="E5" i="25" s="1"/>
  <c r="E6" i="25"/>
  <c r="G12" i="21"/>
  <c r="H13" i="21"/>
  <c r="G18" i="21"/>
  <c r="D16" i="25" l="1"/>
  <c r="D19" i="25" s="1"/>
  <c r="C18" i="25"/>
  <c r="E14" i="25"/>
  <c r="E15" i="25" s="1"/>
  <c r="E9" i="25"/>
  <c r="E13" i="25"/>
  <c r="G17" i="21"/>
  <c r="F5" i="25" s="1"/>
  <c r="F6" i="25"/>
  <c r="I13" i="21"/>
  <c r="H18" i="21"/>
  <c r="H12" i="21"/>
  <c r="D18" i="25" l="1"/>
  <c r="E16" i="25"/>
  <c r="E10" i="25"/>
  <c r="E11" i="25" s="1"/>
  <c r="F14" i="25"/>
  <c r="F15" i="25" s="1"/>
  <c r="F9" i="25"/>
  <c r="F13" i="25"/>
  <c r="H17" i="21"/>
  <c r="G5" i="25" s="1"/>
  <c r="G6" i="25"/>
  <c r="I12" i="21"/>
  <c r="J13" i="21"/>
  <c r="I18" i="21"/>
  <c r="F16" i="25" l="1"/>
  <c r="E18" i="25"/>
  <c r="E19" i="25"/>
  <c r="G14" i="25"/>
  <c r="G15" i="25" s="1"/>
  <c r="G9" i="25"/>
  <c r="G13" i="25"/>
  <c r="G16" i="25" s="1"/>
  <c r="F10" i="25"/>
  <c r="F11" i="25" s="1"/>
  <c r="F18" i="25" s="1"/>
  <c r="I17" i="21"/>
  <c r="H5" i="25" s="1"/>
  <c r="H6" i="25"/>
  <c r="K13" i="21"/>
  <c r="J18" i="21"/>
  <c r="J12" i="21"/>
  <c r="H14" i="25" l="1"/>
  <c r="H15" i="25" s="1"/>
  <c r="H9" i="25"/>
  <c r="H10" i="25" s="1"/>
  <c r="H11" i="25" s="1"/>
  <c r="H13" i="25"/>
  <c r="H16" i="25" s="1"/>
  <c r="F19" i="25"/>
  <c r="G10" i="25"/>
  <c r="G11" i="25"/>
  <c r="G18" i="25" s="1"/>
  <c r="J17" i="21"/>
  <c r="I5" i="25" s="1"/>
  <c r="I6" i="25"/>
  <c r="K12" i="21"/>
  <c r="L13" i="21"/>
  <c r="K18" i="21"/>
  <c r="H19" i="25" l="1"/>
  <c r="I14" i="25"/>
  <c r="I15" i="25" s="1"/>
  <c r="I9" i="25"/>
  <c r="I13" i="25"/>
  <c r="G19" i="25"/>
  <c r="H18" i="25"/>
  <c r="K17" i="21"/>
  <c r="J5" i="25" s="1"/>
  <c r="J6" i="25"/>
  <c r="M13" i="21"/>
  <c r="M18" i="21" s="1"/>
  <c r="L6" i="25" s="1"/>
  <c r="L18" i="21"/>
  <c r="L12" i="21"/>
  <c r="I16" i="25" l="1"/>
  <c r="I10" i="25"/>
  <c r="I11" i="25" s="1"/>
  <c r="J14" i="25"/>
  <c r="J15" i="25" s="1"/>
  <c r="J9" i="25"/>
  <c r="J13" i="25"/>
  <c r="L17" i="21"/>
  <c r="K5" i="25" s="1"/>
  <c r="K6" i="25"/>
  <c r="M12" i="21"/>
  <c r="J16" i="25" l="1"/>
  <c r="M17" i="21"/>
  <c r="L5" i="25" s="1"/>
  <c r="N5" i="25" s="1"/>
  <c r="N9" i="25" s="1"/>
  <c r="N10" i="25" s="1"/>
  <c r="N11" i="25" s="1"/>
  <c r="I18" i="25"/>
  <c r="I19" i="25"/>
  <c r="K14" i="25"/>
  <c r="K15" i="25" s="1"/>
  <c r="K9" i="25"/>
  <c r="K13" i="25"/>
  <c r="K16" i="25" s="1"/>
  <c r="J10" i="25"/>
  <c r="J11" i="25"/>
  <c r="L13" i="25" l="1"/>
  <c r="L9" i="25"/>
  <c r="L14" i="25"/>
  <c r="L15" i="25" s="1"/>
  <c r="J18" i="25"/>
  <c r="L10" i="25"/>
  <c r="L11" i="25" s="1"/>
  <c r="J19" i="25"/>
  <c r="K10" i="25"/>
  <c r="K11" i="25" s="1"/>
  <c r="N16" i="25"/>
  <c r="N18" i="25"/>
  <c r="L22" i="25" s="1"/>
  <c r="B25" i="25" s="1"/>
  <c r="L16" i="25" l="1"/>
  <c r="L18" i="25" s="1"/>
  <c r="K18" i="25"/>
  <c r="B24" i="25" s="1"/>
  <c r="B28" i="25" s="1"/>
  <c r="B32" i="25" s="1"/>
  <c r="B34" i="25" s="1"/>
  <c r="K19" i="25"/>
  <c r="L19" i="25"/>
</calcChain>
</file>

<file path=xl/sharedStrings.xml><?xml version="1.0" encoding="utf-8"?>
<sst xmlns="http://schemas.openxmlformats.org/spreadsheetml/2006/main" count="1130" uniqueCount="738">
  <si>
    <t xml:space="preserve">DABUR INDIA LIMITED </t>
  </si>
  <si>
    <t>Sector : FMCG | Industry : Household &amp; Personal Products</t>
  </si>
  <si>
    <t>Section</t>
  </si>
  <si>
    <t>Points for Equity Research</t>
  </si>
  <si>
    <t>Company Name</t>
  </si>
  <si>
    <t>Dabur India Ltd</t>
  </si>
  <si>
    <t>Industry</t>
  </si>
  <si>
    <t>FMCG / Consumer Defensive</t>
  </si>
  <si>
    <t>Founded</t>
  </si>
  <si>
    <t>Business Type</t>
  </si>
  <si>
    <t>Ayurvedic &amp; Natural Healthcare Company</t>
  </si>
  <si>
    <t>Presence</t>
  </si>
  <si>
    <t>120+ Countries</t>
  </si>
  <si>
    <t>Core Segments</t>
  </si>
  <si>
    <t>Hair Care, Oral Care, Healthcare, Foods &amp; Beverages, Home Care</t>
  </si>
  <si>
    <t>Key Brands</t>
  </si>
  <si>
    <t>Dabur Amla, Real, Dabur Red, Hajmola, Chyawanprash, Odonil</t>
  </si>
  <si>
    <t>Business Strength</t>
  </si>
  <si>
    <t>Strong Brand Value + Wide Distribution Network</t>
  </si>
  <si>
    <t>Competitive Advantage</t>
  </si>
  <si>
    <t>Ayurveda positioning, consumer trust, repeat purchases</t>
  </si>
  <si>
    <t>Revenue Drivers</t>
  </si>
  <si>
    <t>Rural expansion, premiumisation, wellness products, e-commerce</t>
  </si>
  <si>
    <t>Future Growth Focus</t>
  </si>
  <si>
    <t>Health &amp; Wellness, Functional Beverages, Premium Products</t>
  </si>
  <si>
    <t>Management Strategy</t>
  </si>
  <si>
    <t>Double-digit CAGR target till FY28</t>
  </si>
  <si>
    <t>FY25 Revenue</t>
  </si>
  <si>
    <t>₹12,563 Cr</t>
  </si>
  <si>
    <t>FY25 Operating Profit</t>
  </si>
  <si>
    <t>₹2,317 Cr</t>
  </si>
  <si>
    <t>FY25 PAT</t>
  </si>
  <si>
    <t>₹1,768 Cr</t>
  </si>
  <si>
    <t>International Business Growth</t>
  </si>
  <si>
    <t>ESG Highlights</t>
  </si>
  <si>
    <t>61% renewable energy usage, 87% recyclable packaging</t>
  </si>
  <si>
    <t>Key Positives</t>
  </si>
  <si>
    <t>Stable cash flows, strong margins, defensive business model</t>
  </si>
  <si>
    <t>Risks</t>
  </si>
  <si>
    <t>Competition, inflation, changing consumer demand</t>
  </si>
  <si>
    <t>Valuation Methods</t>
  </si>
  <si>
    <t>DCF, Relative Valuation, FCFF</t>
  </si>
  <si>
    <t>Why Premium Valuation?</t>
  </si>
  <si>
    <t>Predictable earnings and strong brand loyalty</t>
  </si>
  <si>
    <t>Analyst View</t>
  </si>
  <si>
    <t>Stable long-term FMCG company with consistent growth potential</t>
  </si>
  <si>
    <t>Address</t>
  </si>
  <si>
    <t>Dabur Registered Office:8/3, Asaf Ali Road, New Delhi – 110002</t>
  </si>
  <si>
    <t>Statement showing shareholding pattern of the Promoter and Promoter Group</t>
  </si>
  <si>
    <t>Category of shareholder</t>
  </si>
  <si>
    <t>Shareholding as a % of total no. of shares (calculated as per SCRR, 1957)As a % of (A+B+C2)</t>
  </si>
  <si>
    <t>Number of Voting Rights held in each class of securities</t>
  </si>
  <si>
    <t>Class eg: X</t>
  </si>
  <si>
    <t>Total</t>
  </si>
  <si>
    <t>A1) Indian</t>
  </si>
  <si>
    <t>-</t>
  </si>
  <si>
    <t>Individuals/Hindu undivided Family</t>
  </si>
  <si>
    <t>ASHOK CHAND BURMAN &amp; BROS (ANAND CHAND BURMAN) (HUF)</t>
  </si>
  <si>
    <t>GYAN CHAND BURMAN &amp; OTHERS (AMIT BURMAN) (HUF)</t>
  </si>
  <si>
    <t>PRADIP BURMAN &amp; ORS (PRADIP BURMAN) (HUF)</t>
  </si>
  <si>
    <t>VIVEK CHAND BURMAN</t>
  </si>
  <si>
    <t>GAURI TANDON</t>
  </si>
  <si>
    <t>PRADIP BURMAN</t>
  </si>
  <si>
    <t>SHIVANI BURMAN</t>
  </si>
  <si>
    <t>ASHA BURMAN</t>
  </si>
  <si>
    <t>EISHANA BURMAN</t>
  </si>
  <si>
    <t>AMIT BURMAN</t>
  </si>
  <si>
    <t>ADITYA BURMAN</t>
  </si>
  <si>
    <t>ARIANA BURMAN</t>
  </si>
  <si>
    <t>DIVYA BURMAN</t>
  </si>
  <si>
    <t>ADHIRAJ BURMAN</t>
  </si>
  <si>
    <t>DIYA BURMAN</t>
  </si>
  <si>
    <t>SANDEEP TANDON</t>
  </si>
  <si>
    <t>ARMAAN TANDON</t>
  </si>
  <si>
    <t>POOJA BURMAN</t>
  </si>
  <si>
    <t>SUMATI RAVI RAHEJA</t>
  </si>
  <si>
    <t>RAMAN SOOD</t>
  </si>
  <si>
    <t>UMESH TALWAR</t>
  </si>
  <si>
    <t>NARESH TALWAR</t>
  </si>
  <si>
    <t>VIVEK CHAND BURMAN HUF</t>
  </si>
  <si>
    <t>SIDHARTH BURMAN HUF</t>
  </si>
  <si>
    <t>Any Other (specify)</t>
  </si>
  <si>
    <t>VIC ENTERPRISES PVT LTD</t>
  </si>
  <si>
    <t>RATNA COMMERCIAL ENTERPRISES PRIVATE LIMITED</t>
  </si>
  <si>
    <t>CHOWDRY ASSOCIATES</t>
  </si>
  <si>
    <t>SAHIWAL INVESTMENT AND TRADING COMPANY</t>
  </si>
  <si>
    <t>BURMANS FINVEST PRIVATE LIMITED</t>
  </si>
  <si>
    <t>MILKY INVESTMENT AND TRADING COMPANY</t>
  </si>
  <si>
    <t>GYAN ENTERPRISES PVT LTD</t>
  </si>
  <si>
    <t>WINDY INVESTMENTS PRIVATE LIMITED</t>
  </si>
  <si>
    <t>M.B. FINMART PRIVATE LIMITED</t>
  </si>
  <si>
    <t>PURAN ASSOCIATES PRIVATE LIMITED</t>
  </si>
  <si>
    <t>BURMAN BROTHERS, PARTNERSHIP FIRM</t>
  </si>
  <si>
    <t>ASIA PACIFIC HEALTHCARE ADVISORS LLP</t>
  </si>
  <si>
    <t>DABUR INVESTMENT CORPORATION</t>
  </si>
  <si>
    <t>WESTERN ENTERPRISES</t>
  </si>
  <si>
    <t>EASTERN ENTERPRISES</t>
  </si>
  <si>
    <t>DABUR INVEST CORP</t>
  </si>
  <si>
    <t>A.CEE ENTERPRISES</t>
  </si>
  <si>
    <t>AVIVA LIFE INSURANCE COMPANY INDIA LIMITED</t>
  </si>
  <si>
    <t>ONCQUEST LABORATORIES LTD.</t>
  </si>
  <si>
    <t>MOONLIGHT RANCH PVT. LTD.</t>
  </si>
  <si>
    <t>VANSH HOLDINGS PVT. LTD.</t>
  </si>
  <si>
    <t>KBC INDIA PVT. LTD.</t>
  </si>
  <si>
    <t>SUPER HOZE INDUSTRIES PVT. LTD.</t>
  </si>
  <si>
    <t>EXCELLENT (INDIA) PVT. LTD.</t>
  </si>
  <si>
    <t>IMB INFRASTRUCTURES PVT. LTD.</t>
  </si>
  <si>
    <t>AB BUILDFRAME PVT LTD</t>
  </si>
  <si>
    <t>AB INFRAWELL PVT LTD</t>
  </si>
  <si>
    <t>AB REALSPHERE PVT LTD</t>
  </si>
  <si>
    <t>SAVE &amp; PROSPER LTD</t>
  </si>
  <si>
    <t>HEALTHCARE AT HOME INDIA PVT. LTD.</t>
  </si>
  <si>
    <t>AVB FINANCE PVT.LTD.</t>
  </si>
  <si>
    <t>MANESWARI TRADING COMPANY</t>
  </si>
  <si>
    <t>DABUR AYURVEDIC SPECIALITIES LTD.</t>
  </si>
  <si>
    <t>JETWAYS TRAVELS PVT.LTD.</t>
  </si>
  <si>
    <t>ALTHEA DRF LIFESCIENCES LTD.</t>
  </si>
  <si>
    <t>B.A. HOLDINGS PVT.LTD.</t>
  </si>
  <si>
    <t>AMBA HOLDINGS ADVISORY PVT. LTD.</t>
  </si>
  <si>
    <t>ELEPHANT INDIA FINANCE PVT.LTD.</t>
  </si>
  <si>
    <t>ADBUR PVT.LTD.</t>
  </si>
  <si>
    <t>NORTHERN HERBAL FARMS PRIVATE LIMITED</t>
  </si>
  <si>
    <t>BURMAN BUILDCON PRIVATE LIMITED</t>
  </si>
  <si>
    <t>GTV TECH SEZ PRIVATE LIMITED</t>
  </si>
  <si>
    <t>GTV SEZ PHASE I PRIVATE LIMITED</t>
  </si>
  <si>
    <t>KPH DREAM CRICKET PRIVATE LIMITED</t>
  </si>
  <si>
    <t>BURMAN HOSPITALITY PRIVATE LIMITED</t>
  </si>
  <si>
    <t>BETTEROPTION ESTATES PVT. LTD.</t>
  </si>
  <si>
    <t>SUNSHINE INDIA PVT. LTD.</t>
  </si>
  <si>
    <t>NEWAGE CAPITAL SERVICES PVT. LTD.</t>
  </si>
  <si>
    <t>BURMAN RESORTS PVT. LTD.</t>
  </si>
  <si>
    <t>HILLGROW INFRACON PVT. LTD.</t>
  </si>
  <si>
    <t>TOUCHSTONE FUND ADVISORS PVT. LTD.</t>
  </si>
  <si>
    <t>AMELIA BUILDTECH PRIVATE LIMITED</t>
  </si>
  <si>
    <t>ART FOREVER PRIVATE LIMITED</t>
  </si>
  <si>
    <t>VC BUILDFRAME PRIVATE LIMITED</t>
  </si>
  <si>
    <t>BURMAN ESTATE PVT.LTD</t>
  </si>
  <si>
    <t>VC BUILDIKO PVT.LTD</t>
  </si>
  <si>
    <t>DABUR SECURITIES PVT.LTD.</t>
  </si>
  <si>
    <t>MALHOTRAS TRADING COMPANY PVT LTD</t>
  </si>
  <si>
    <t>MG BURMANS CAPITAL ADVISORS PVT LTD</t>
  </si>
  <si>
    <t>DIWAN CHAND MEDICAL SERVICES PVT LTD</t>
  </si>
  <si>
    <t>PASSIONATE FOODS PRIVATE LIMITED</t>
  </si>
  <si>
    <t>CONSORTIUM CONSUMERCARE PVT LTD</t>
  </si>
  <si>
    <t>AB PROPMART PVT LTD</t>
  </si>
  <si>
    <t>NATURES BOUNTY WINES AND ALLIED PRODUCTS PVT LTD</t>
  </si>
  <si>
    <t>LITE BITE FOODS PVT LTD</t>
  </si>
  <si>
    <t>SHREE INVESTMENTS PVT LTD</t>
  </si>
  <si>
    <t>KHO KHO SPORTS LEAGUE P LTD</t>
  </si>
  <si>
    <t>RELIABLE FASHIONS INDIA PVT LTD</t>
  </si>
  <si>
    <t>DHANWI MEDICARE PVT LTD</t>
  </si>
  <si>
    <t>WELLTIME TRADING AND SERVICES LLP</t>
  </si>
  <si>
    <t>ALTERNATIVE GREEN ENERGY SOLUTIONS PVT. LTD</t>
  </si>
  <si>
    <t>UPVAN FARMS AND SERVICES PVT. LTD.</t>
  </si>
  <si>
    <t>ADFLUENCE HUB PRIVATE LIMITED</t>
  </si>
  <si>
    <t>DABUR PHARMACEUTICALS LIMITED</t>
  </si>
  <si>
    <t>B R BEE PRODUCTS PRIVATE LIMITED</t>
  </si>
  <si>
    <t>GREEN VALLEY PRODCUTS PRIVATE LIMITED</t>
  </si>
  <si>
    <t>BURMAN CAPITAL MANAGEMENT PRIVATE LIMITED</t>
  </si>
  <si>
    <t>MILKY SECURITIES PRIVATE LIMITED</t>
  </si>
  <si>
    <t>BURMANS INVESTMENTS PRIVATE LIMITED</t>
  </si>
  <si>
    <t>NEWAGE FARMS AND DEVELOPERS PVT. LTD.</t>
  </si>
  <si>
    <t>BURMANS SECURITIES PVT. LTD.</t>
  </si>
  <si>
    <t>WINDY SECURITIES PVT. LTD.</t>
  </si>
  <si>
    <t>GOLOK CHAKULIA BIOGAS PVT. LTD.</t>
  </si>
  <si>
    <t>H S STAR-ENTERPRISES PVT. LTD.</t>
  </si>
  <si>
    <t>SPORTZSQUARE VENTURES PVT. LTD.</t>
  </si>
  <si>
    <t>QUALITY CERTIFIED AND STANDARDIZED HERBALS PVT LTD</t>
  </si>
  <si>
    <t>ABSOLEM TECHNOLOGIES P LTD</t>
  </si>
  <si>
    <t>ARCHSONE PROPERTIES (INDIA ) PRIVATE LIMITED</t>
  </si>
  <si>
    <t>LITE BITE TRAVEL FOODS PRIVATE LIMITED</t>
  </si>
  <si>
    <t>BURGER FOODS AND HOSPITALITY PRIVATE LIMITED</t>
  </si>
  <si>
    <t>LITE BITE FOODS TRES PRIVATE LIMITED</t>
  </si>
  <si>
    <t>MIND SPORTS LEAGUE PRIVATE LIMITED</t>
  </si>
  <si>
    <t>Modern DIE Casting LLP</t>
  </si>
  <si>
    <t>Reliable Consultancy Services Private Limited</t>
  </si>
  <si>
    <t>Titus Trading and Agencies Limited -</t>
  </si>
  <si>
    <t>Tandon Magnetics (India) Private Limited</t>
  </si>
  <si>
    <t>Tranquil Trading Company Limited</t>
  </si>
  <si>
    <t>Media Electronics Limited</t>
  </si>
  <si>
    <t>Hybrid Agricultural Limited</t>
  </si>
  <si>
    <t>Golden Computers Limited</t>
  </si>
  <si>
    <t>Tassel Trading LLP</t>
  </si>
  <si>
    <t>WHITEBOARD CAPITAL ADVISORS LLP</t>
  </si>
  <si>
    <t>JAMBAVAN ACADEMY PRIVATE LIMITED</t>
  </si>
  <si>
    <t>ORANJE ACADEMY SPORTS &amp; EVENTS PRIVATE LIMITED</t>
  </si>
  <si>
    <t>RACQUETARENA PRIVATE LIMITED</t>
  </si>
  <si>
    <t>Rabia Spinner Private Limited</t>
  </si>
  <si>
    <t>Sub Total A1</t>
  </si>
  <si>
    <t>A2) Foreign</t>
  </si>
  <si>
    <t>Individuals (NonResident Individuals/ Foreign Individuals)</t>
  </si>
  <si>
    <t>MONICA BURMAN</t>
  </si>
  <si>
    <t>MINNIE BURMAN</t>
  </si>
  <si>
    <t>ANAND CHAND BURMAN</t>
  </si>
  <si>
    <t>MOHIT BURMAN</t>
  </si>
  <si>
    <t>CHETAN BURMAN</t>
  </si>
  <si>
    <t>SAKET BURMAN</t>
  </si>
  <si>
    <t>INDIRA BURMAN</t>
  </si>
  <si>
    <t>ANISHA BURMAN</t>
  </si>
  <si>
    <t>GAURAV BURMAN</t>
  </si>
  <si>
    <t>ISHAAAN TANDON</t>
  </si>
  <si>
    <t>KAMRAN BURMAN</t>
  </si>
  <si>
    <t>DEVIKA BURMAN</t>
  </si>
  <si>
    <t>MEERA BURMAN</t>
  </si>
  <si>
    <t>Victoria Burman</t>
  </si>
  <si>
    <t>Maya Rose Burman</t>
  </si>
  <si>
    <t>Sophia Indira Burman</t>
  </si>
  <si>
    <t>GREATER HIMALAYAN HONEY TRADING LLC</t>
  </si>
  <si>
    <t>BBIFO HOLDINGS LIMITED</t>
  </si>
  <si>
    <t>Lite Bite Foods International Ltd</t>
  </si>
  <si>
    <t>Burman Holding Ltd.</t>
  </si>
  <si>
    <t>SA Holdings Pvt Ltd.</t>
  </si>
  <si>
    <t>SS Holdings Pvt Ltd.</t>
  </si>
  <si>
    <t>Lite Bite Foods Inc. Ltd</t>
  </si>
  <si>
    <t>Sub Total A2</t>
  </si>
  <si>
    <t>A=A1+A2</t>
  </si>
  <si>
    <t>Statement showing shareholding pattern of the Public shareholder</t>
  </si>
  <si>
    <t>Category &amp; Name of the Shareholders</t>
  </si>
  <si>
    <t>No. of shareholder</t>
  </si>
  <si>
    <t>No. of fully paid up equity shares held</t>
  </si>
  <si>
    <t>Total no. shares held</t>
  </si>
  <si>
    <t>Shareholding % calculated as per SCRR, 1957 As a % of (A+B+C2)</t>
  </si>
  <si>
    <t>No. of Voting Rights</t>
  </si>
  <si>
    <t>Total as a % of Total Voting right</t>
  </si>
  <si>
    <t>Total No. Of shares on fully diluted basis (including warrants, ESOP, Convertible Securities etc.)</t>
  </si>
  <si>
    <t>Shareholding , as a % assuming full conversion of convertible securities ( as a percentage of diluted share capital)As a % of (A+B+C2)</t>
  </si>
  <si>
    <t>No. of equity shares held in dematerialized form(Not Applicable)</t>
  </si>
  <si>
    <t>Institutions</t>
  </si>
  <si>
    <t>B2) Institutions (Domestic)</t>
  </si>
  <si>
    <t>Mutual Funds/</t>
  </si>
  <si>
    <t>SBI LARGE &amp; MIDCAP FUND</t>
  </si>
  <si>
    <t>HDFC TRUSTEE COMPANY LTD. A/C HDFC LARGE CAP FUND</t>
  </si>
  <si>
    <t>Venture Capital Funds</t>
  </si>
  <si>
    <t>Alternate Investment Funds</t>
  </si>
  <si>
    <t>Banks</t>
  </si>
  <si>
    <t>Insurance Companies</t>
  </si>
  <si>
    <t>LIFE INSURANCE CORPORATION OF INDIA - ULIF00320091</t>
  </si>
  <si>
    <t>Provident Funds/ Pension Funds</t>
  </si>
  <si>
    <t>NPS TRUST- A/C LIC PENSION FUND SCHEME E - TIER I</t>
  </si>
  <si>
    <t>Asset reconstruction companies</t>
  </si>
  <si>
    <t>Sovereign Wealth Funds</t>
  </si>
  <si>
    <t>NBFCs registered with RBI</t>
  </si>
  <si>
    <t>Other Financial Institutions</t>
  </si>
  <si>
    <t>Any Other(Institutions (Domestic))</t>
  </si>
  <si>
    <t>Sub Total B1</t>
  </si>
  <si>
    <t>B19) Institutions (Foreign)</t>
  </si>
  <si>
    <t>Foreign Direct Investment</t>
  </si>
  <si>
    <t>Foreign Venture Capital Investors</t>
  </si>
  <si>
    <t>Foreign Portfolio Investors Category I</t>
  </si>
  <si>
    <t>Foreign Portfolio Investors Category II</t>
  </si>
  <si>
    <t>Overseas Depositories (holding DRs) (balancing figure)</t>
  </si>
  <si>
    <t>Any Other(Institutions (Foreign))</t>
  </si>
  <si>
    <t>FOREIGN BANK</t>
  </si>
  <si>
    <t>Sub Total B2</t>
  </si>
  <si>
    <t>B29) Central Government/ State Government(s)/ President of India</t>
  </si>
  <si>
    <t>Central Government / President of India</t>
  </si>
  <si>
    <t>State Government / Governor</t>
  </si>
  <si>
    <t>Shareholding by Companies or Bodies Corporate where Central / State Government is a promoter</t>
  </si>
  <si>
    <t>Sub Total B3</t>
  </si>
  <si>
    <t>B34) Non-Institutions</t>
  </si>
  <si>
    <t>Associate companies / Subsidiaries</t>
  </si>
  <si>
    <t>Directors and their relatives (excluding independent directors and nominee directors)</t>
  </si>
  <si>
    <t>Key Managerial Personnel</t>
  </si>
  <si>
    <t>Relatives of promoters (other than 'immediate relatives' of promoters disclosed under 'Promoter and Promoter Group' category)</t>
  </si>
  <si>
    <t>Trusts where any person belonging to 'Promoter and Promoter Group' category is 'trustee', 'beneficiary', or 'author of the trust'</t>
  </si>
  <si>
    <t>Investor Education and Protection Fund (IEPF)</t>
  </si>
  <si>
    <t>Resident Individuals holding nominal share capital up to Rs. 2 lakhs</t>
  </si>
  <si>
    <t>Resident Individuals holding nominal share capital in excess of Rs. 2 lakhs</t>
  </si>
  <si>
    <t>Non Resident Indians (NRIs)</t>
  </si>
  <si>
    <t>Foreign Nationals</t>
  </si>
  <si>
    <t>Foreign Companies</t>
  </si>
  <si>
    <t>Bodies Corporate</t>
  </si>
  <si>
    <t>HUF</t>
  </si>
  <si>
    <t>Clearing Members</t>
  </si>
  <si>
    <t>Trusts</t>
  </si>
  <si>
    <t>Sub Total B4</t>
  </si>
  <si>
    <t>B=B1+B2+B3+B4</t>
  </si>
  <si>
    <t>Narration</t>
  </si>
  <si>
    <t>Equity Share Capital</t>
  </si>
  <si>
    <t>Reserves</t>
  </si>
  <si>
    <t>Borrowings</t>
  </si>
  <si>
    <t>Other Liabilities</t>
  </si>
  <si>
    <t>Net Block</t>
  </si>
  <si>
    <t>Other Liabilities -</t>
  </si>
  <si>
    <t>Capital Work in Progress</t>
  </si>
  <si>
    <t>Non controlling int</t>
  </si>
  <si>
    <t>Investments</t>
  </si>
  <si>
    <t>Trade Payables</t>
  </si>
  <si>
    <t>Other Assets</t>
  </si>
  <si>
    <t>Advance from Customers</t>
  </si>
  <si>
    <t>Other liability items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</si>
  <si>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</si>
  <si>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</si>
  <si>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</si>
  <si>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</si>
  <si>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</si>
  <si>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</si>
  <si>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</si>
  <si>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</si>
  <si>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</si>
  <si>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</si>
  <si>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</si>
  <si>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</si>
  <si>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</si>
  <si>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</si>
  <si>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</si>
  <si>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</si>
  <si>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</si>
  <si>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</si>
  <si>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</si>
  <si>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</si>
  <si>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</si>
  <si>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</si>
  <si>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</si>
  <si>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</si>
  <si>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</si>
  <si>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</si>
  <si>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</si>
  <si>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</si>
  <si>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</si>
  <si>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</si>
  <si>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</si>
  <si>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</si>
  <si>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</si>
  <si>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</si>
  <si>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</si>
  <si>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Cash from Operating Activity</t>
  </si>
  <si>
    <t>Cash from Investing Activity</t>
  </si>
  <si>
    <t>Cash from Financing Activity</t>
  </si>
  <si>
    <t>Net Cash Flow</t>
  </si>
  <si>
    <t>Recommendation</t>
  </si>
  <si>
    <t>Investor Type</t>
  </si>
  <si>
    <t>Existing Shareholder</t>
  </si>
  <si>
    <t>HOLD</t>
  </si>
  <si>
    <t>Long-Term Investor</t>
  </si>
  <si>
    <t>ACCUMULATE</t>
  </si>
  <si>
    <t>Value Investor</t>
  </si>
  <si>
    <t>WAIT FOR DIPS</t>
  </si>
  <si>
    <t>Short-Term Trader</t>
  </si>
  <si>
    <t>NEUTRAL</t>
  </si>
  <si>
    <t>Stock Analysis:</t>
  </si>
  <si>
    <t>Despite the recent underperformance across the FMCG sector, Dabur India continues to demonstrate resilient fundamentals supported by strong brands, healthy cash generation, and a debt-free balance sheet. The correction seen across peers such as Godrej Consumer, Colgate-Palmolive, and Gillette suggests that sector-wide valuation compression rather than company-specific weakness has driven stock performance. While near-term growth remains moderate, improving rural demand and Dabur's strong market position provide a foundation for long-term value creation. Therefore, I maintain a HOLD recommendation, with accumulation advised on meaningful price corrections.</t>
  </si>
  <si>
    <t>Ratio Analysis</t>
  </si>
  <si>
    <t>Years</t>
  </si>
  <si>
    <t>2022</t>
  </si>
  <si>
    <t>2023</t>
  </si>
  <si>
    <t>2024</t>
  </si>
  <si>
    <t>2025</t>
  </si>
  <si>
    <t>2026</t>
  </si>
  <si>
    <t>Growth Rates</t>
  </si>
  <si>
    <t>EBITDA Growth</t>
  </si>
  <si>
    <t>EBIT Growth</t>
  </si>
  <si>
    <t>Net Profit Growth</t>
  </si>
  <si>
    <t>Dividend Growth</t>
  </si>
  <si>
    <t>Margins</t>
  </si>
  <si>
    <t>Gross Margin</t>
  </si>
  <si>
    <t>EBITDA Margin</t>
  </si>
  <si>
    <t>EBIT Margin</t>
  </si>
  <si>
    <t>EBT Margin</t>
  </si>
  <si>
    <t>Net Profit Margin</t>
  </si>
  <si>
    <t>Expense Ratios</t>
  </si>
  <si>
    <t>Sales Expenses</t>
  </si>
  <si>
    <t xml:space="preserve">Operating Income </t>
  </si>
  <si>
    <t>Returns</t>
  </si>
  <si>
    <t>Return on Capital Employed</t>
  </si>
  <si>
    <t xml:space="preserve">Retained Earnings </t>
  </si>
  <si>
    <t xml:space="preserve">Return on Equity </t>
  </si>
  <si>
    <t>Self Sustained Growth Rate</t>
  </si>
  <si>
    <t>Interest Coverage Ratio</t>
  </si>
  <si>
    <t xml:space="preserve">Efficiency Ratios </t>
  </si>
  <si>
    <t>Debtor Turnover Ratio</t>
  </si>
  <si>
    <t>Creditor Turnover Ratio</t>
  </si>
  <si>
    <t>Fixed Asset Turnover</t>
  </si>
  <si>
    <t>Capital Turnover Ratio</t>
  </si>
  <si>
    <t>Working Capital Days</t>
  </si>
  <si>
    <t>Debtors Days</t>
  </si>
  <si>
    <t>Payable Days</t>
  </si>
  <si>
    <t>Inventory Days</t>
  </si>
  <si>
    <t>Cash Conversion Cycle</t>
  </si>
  <si>
    <t>Cash Flow Quality</t>
  </si>
  <si>
    <t>CFO / Sales</t>
  </si>
  <si>
    <t>CFO / Total Assets</t>
  </si>
  <si>
    <t>CFO / Total Debt</t>
  </si>
  <si>
    <t>COMPANY NAME</t>
  </si>
  <si>
    <t>DABUR INDIA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</si>
  <si>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</si>
  <si>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</si>
  <si>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</si>
  <si>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</si>
  <si>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</si>
  <si>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</si>
  <si>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</si>
  <si>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</si>
  <si>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</si>
  <si>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</si>
  <si>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</si>
  <si>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</si>
  <si>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</si>
  <si>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</si>
  <si>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</si>
  <si>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</si>
  <si>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</si>
  <si>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</si>
  <si>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</si>
  <si>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Year</t>
  </si>
  <si>
    <t>Interest Expense</t>
  </si>
  <si>
    <t>Opening Debt</t>
  </si>
  <si>
    <t>Closing Debt</t>
  </si>
  <si>
    <t>Average Debt</t>
  </si>
  <si>
    <t>Cost of Debt</t>
  </si>
  <si>
    <t>BALANCE SHEET</t>
  </si>
  <si>
    <t xml:space="preserve">Extra Info : </t>
  </si>
  <si>
    <t xml:space="preserve">Average </t>
  </si>
  <si>
    <t xml:space="preserve">Median  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</si>
  <si>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</si>
  <si>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</si>
  <si>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</si>
  <si>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</si>
  <si>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</si>
  <si>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</si>
  <si>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</si>
  <si>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</si>
  <si>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</si>
  <si>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S.No.</t>
  </si>
  <si>
    <t>Company</t>
  </si>
  <si>
    <t>Godrej Consumer</t>
  </si>
  <si>
    <t>Colgate-Palmolive</t>
  </si>
  <si>
    <t>P&amp;G Hygiene</t>
  </si>
  <si>
    <t>Gillette India</t>
  </si>
  <si>
    <t>Dabur India</t>
  </si>
  <si>
    <t>Multiple
Used</t>
  </si>
  <si>
    <t>Dabur
Metric</t>
  </si>
  <si>
    <t>Implied
Price (₹)</t>
  </si>
  <si>
    <t>Current
CMP (₹)</t>
  </si>
  <si>
    <t>Premium/
(Discount)</t>
  </si>
  <si>
    <t>Weight</t>
  </si>
  <si>
    <t>P/E Multiple</t>
  </si>
  <si>
    <t>EV/EBITDA Multiple</t>
  </si>
  <si>
    <t>EV/Sales Multiple</t>
  </si>
  <si>
    <t>P/Book Value</t>
  </si>
  <si>
    <t>Fixed Asset Schedule</t>
  </si>
  <si>
    <t>Particulars</t>
  </si>
  <si>
    <t>Opening Balance</t>
  </si>
  <si>
    <t>Add: Gross Additions (Capex)</t>
  </si>
  <si>
    <t>Fixed Assets Before Depreciation</t>
  </si>
  <si>
    <t>Less: Depreciation</t>
  </si>
  <si>
    <t>Closing Balance Net Block</t>
  </si>
  <si>
    <t>Net Capital Expenditure</t>
  </si>
  <si>
    <t>Net Capex / Sales %</t>
  </si>
  <si>
    <t>Median Net Capex / Sales %</t>
  </si>
  <si>
    <t>Average Net Capex / Sales %</t>
  </si>
  <si>
    <t>Changes in Working Capital</t>
  </si>
  <si>
    <t>FY 2022</t>
  </si>
  <si>
    <t>FY 2023</t>
  </si>
  <si>
    <t>FY 2024</t>
  </si>
  <si>
    <t>FY 2025</t>
  </si>
  <si>
    <t>FY 2026</t>
  </si>
  <si>
    <t>Inventories</t>
  </si>
  <si>
    <t>Payables</t>
  </si>
  <si>
    <t>Non-Cash Working Capital</t>
  </si>
  <si>
    <t>Change in Working Capital</t>
  </si>
  <si>
    <t>Change in WC / % of Sales</t>
  </si>
  <si>
    <t>Median Change in WC / % of Sales</t>
  </si>
  <si>
    <t>Average Change in WC / % of Sales</t>
  </si>
  <si>
    <t>Beta Calculation</t>
  </si>
  <si>
    <t>Date</t>
  </si>
  <si>
    <t>Nifty 50</t>
  </si>
  <si>
    <t>DABUR.NS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</si>
  <si>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</si>
  <si>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</si>
  <si>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</si>
  <si>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</si>
  <si>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</si>
  <si>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</si>
  <si>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</si>
  <si>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</si>
  <si>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</si>
  <si>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</si>
  <si>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</si>
  <si>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</si>
  <si>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</si>
  <si>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</si>
  <si>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</si>
  <si>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</si>
  <si>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</si>
  <si>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</si>
  <si>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</si>
  <si>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</si>
  <si>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</si>
  <si>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</si>
  <si>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</si>
  <si>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</si>
  <si>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</si>
  <si>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Total Market Return</t>
  </si>
  <si>
    <t>Annual</t>
  </si>
  <si>
    <t xml:space="preserve">Average return </t>
  </si>
  <si>
    <t>Market Return</t>
  </si>
  <si>
    <t xml:space="preserve">Dividend yield </t>
  </si>
  <si>
    <t>Dividend Yield</t>
  </si>
  <si>
    <t>Total market return</t>
  </si>
  <si>
    <t xml:space="preserve">Weighted average cost of capital </t>
  </si>
  <si>
    <t>All Figures are in INR unless stated otherwise</t>
  </si>
  <si>
    <t>Peer Comp</t>
  </si>
  <si>
    <t>Name</t>
  </si>
  <si>
    <t>CMP Rs.</t>
  </si>
  <si>
    <t>Mar Cap Rs.Cr.</t>
  </si>
  <si>
    <t>Debt Rs.Cr.</t>
  </si>
  <si>
    <t>Debt / Eq</t>
  </si>
  <si>
    <t>Debt/</t>
  </si>
  <si>
    <t>Levered/</t>
  </si>
  <si>
    <t>Unlevered/</t>
  </si>
  <si>
    <t xml:space="preserve">Name of the company </t>
  </si>
  <si>
    <t xml:space="preserve">Country </t>
  </si>
  <si>
    <t>Total Equity</t>
  </si>
  <si>
    <t>Total Debt</t>
  </si>
  <si>
    <t>Tax Rate 1</t>
  </si>
  <si>
    <t>Equity</t>
  </si>
  <si>
    <t>Capital</t>
  </si>
  <si>
    <t>beta 2</t>
  </si>
  <si>
    <t>beta 3</t>
  </si>
  <si>
    <t>Colgate-Palmoliv</t>
  </si>
  <si>
    <t>P &amp; G Hygiene</t>
  </si>
  <si>
    <t>India</t>
  </si>
  <si>
    <t xml:space="preserve">Median </t>
  </si>
  <si>
    <t>Cost of Equity</t>
  </si>
  <si>
    <t>Pre-tax Cost of Debt</t>
  </si>
  <si>
    <t>Risk Free Rate</t>
  </si>
  <si>
    <t>Tax Rate</t>
  </si>
  <si>
    <t>Equity Risk Premium</t>
  </si>
  <si>
    <t>After Tax Cost of Debt</t>
  </si>
  <si>
    <t>Levered Beta 4</t>
  </si>
  <si>
    <t xml:space="preserve">Capital Structure </t>
  </si>
  <si>
    <t xml:space="preserve">Levered Beta </t>
  </si>
  <si>
    <t>Current</t>
  </si>
  <si>
    <t>Target</t>
  </si>
  <si>
    <t>Comps Median Unlevered Beta</t>
  </si>
  <si>
    <t xml:space="preserve">Total Debt </t>
  </si>
  <si>
    <t xml:space="preserve">Target Debt/ Equity  </t>
  </si>
  <si>
    <t xml:space="preserve">Market Captailizatation </t>
  </si>
  <si>
    <t>Total Capital</t>
  </si>
  <si>
    <t>Levered Beta</t>
  </si>
  <si>
    <t>Debt/equity</t>
  </si>
  <si>
    <t>Weighted Average Cost of Capital</t>
  </si>
  <si>
    <t>Equity Weight</t>
  </si>
  <si>
    <t>Debt Weight</t>
  </si>
  <si>
    <t>WACC</t>
  </si>
  <si>
    <t>FCFF Analysis - DABUR INDIA LTD</t>
  </si>
  <si>
    <t xml:space="preserve">Free Cash Flow to Firm </t>
  </si>
  <si>
    <t>EBIT (INR Cr.)</t>
  </si>
  <si>
    <t>EBIT</t>
  </si>
  <si>
    <t>Less: Tax on EBIT (25%)</t>
  </si>
  <si>
    <t>EBIT × (1 - Tax Rate)</t>
  </si>
  <si>
    <t>Reinvestment</t>
  </si>
  <si>
    <t>Less: Net Capital Expenditure</t>
  </si>
  <si>
    <t>Less: Change in Working Capital</t>
  </si>
  <si>
    <t>Total Reinvestment</t>
  </si>
  <si>
    <t>Free Cash Flow to Firm (FCFF)</t>
  </si>
  <si>
    <t>FCFF (INR Cr.)</t>
  </si>
  <si>
    <t>Reinvestment Metrics</t>
  </si>
  <si>
    <t>Reinvestment Rate %</t>
  </si>
  <si>
    <t>Summary Statistics</t>
  </si>
  <si>
    <t>Median Reinvestment Rate</t>
  </si>
  <si>
    <t>Average Reinvestment Rate</t>
  </si>
  <si>
    <t>Median Of Revenue Growth</t>
  </si>
  <si>
    <t>EBITDA</t>
  </si>
  <si>
    <t>EBT</t>
  </si>
  <si>
    <t>Net Profit</t>
  </si>
  <si>
    <t>Historical Growth</t>
  </si>
  <si>
    <t>Average Sales Growth</t>
  </si>
  <si>
    <t>CAGR %</t>
  </si>
  <si>
    <t>(RRI Formula)</t>
  </si>
  <si>
    <t>Effective Tax Rate</t>
  </si>
  <si>
    <t>Marginal Tax Rate</t>
  </si>
  <si>
    <t>Return On Capital Employed</t>
  </si>
  <si>
    <t>EBIT*(1-T)</t>
  </si>
  <si>
    <t>Book Equity</t>
  </si>
  <si>
    <t>Book Debt</t>
  </si>
  <si>
    <t>Cash and Equivalents</t>
  </si>
  <si>
    <t>Capital Employed</t>
  </si>
  <si>
    <t>Pre/Post Tax Return on Capital Employed</t>
  </si>
  <si>
    <t>Pre Tax ROCE</t>
  </si>
  <si>
    <t>Post Tax ROCE</t>
  </si>
  <si>
    <t>Growth in EBIT (Reinvestment-based)</t>
  </si>
  <si>
    <t>Income statement</t>
  </si>
  <si>
    <t>Average Growth</t>
  </si>
  <si>
    <t>COGS</t>
  </si>
  <si>
    <t>COGS % Sales</t>
  </si>
  <si>
    <t>Gross Profit</t>
  </si>
  <si>
    <t>Gross Margins</t>
  </si>
  <si>
    <t>Selling &amp; General Expense</t>
  </si>
  <si>
    <t>S&amp;G Exp % Sales</t>
  </si>
  <si>
    <t>EBITDA Margins</t>
  </si>
  <si>
    <t>Depreciation % of Sales</t>
  </si>
  <si>
    <t>Interest % of Sales</t>
  </si>
  <si>
    <t>Earnings Before Tax</t>
  </si>
  <si>
    <t>EBT % Sales</t>
  </si>
  <si>
    <t>Net Margins</t>
  </si>
  <si>
    <t>No. of Equity Shares (Cr)</t>
  </si>
  <si>
    <t>Earnings Per Share</t>
  </si>
  <si>
    <t>EPS Growth %</t>
  </si>
  <si>
    <t>Dividend per Share</t>
  </si>
  <si>
    <t>Dividend Payout Ratio</t>
  </si>
  <si>
    <t>Retained Earnings</t>
  </si>
  <si>
    <t>Balance Statement</t>
  </si>
  <si>
    <t>Total Liabilities</t>
  </si>
  <si>
    <t>Fixed Assets Net Block</t>
  </si>
  <si>
    <t>Total Non Current Assets</t>
  </si>
  <si>
    <t>Total Current Assets</t>
  </si>
  <si>
    <t>Total Assets</t>
  </si>
  <si>
    <t>Check (Assets=Liabilities)</t>
  </si>
  <si>
    <t>Cash Flow Statement</t>
  </si>
  <si>
    <t>Operating Activities</t>
  </si>
  <si>
    <t>Cash from Operating Activities</t>
  </si>
  <si>
    <t>Cash from Investing Activities</t>
  </si>
  <si>
    <t>Cash from Financing Activities</t>
  </si>
  <si>
    <t>Forecasting - DABUR INDIA LTD</t>
  </si>
  <si>
    <t>#</t>
  </si>
  <si>
    <t>Sales Forecasting</t>
  </si>
  <si>
    <t>EBITDA Forecasting</t>
  </si>
  <si>
    <t>EPS Forecasting</t>
  </si>
  <si>
    <t>Year Weight</t>
  </si>
  <si>
    <t>Sales (INR Cr.)</t>
  </si>
  <si>
    <t>EBITDA (INR Cr.)</t>
  </si>
  <si>
    <t>EPS (INR)</t>
  </si>
  <si>
    <t>EPS Growth</t>
  </si>
  <si>
    <t>Growth Scenarios</t>
  </si>
  <si>
    <t>INR Cr.</t>
  </si>
  <si>
    <t>LTM (2026)</t>
  </si>
  <si>
    <t>Y1E</t>
  </si>
  <si>
    <t>Y2E</t>
  </si>
  <si>
    <t>Y3E</t>
  </si>
  <si>
    <t>Y4E</t>
  </si>
  <si>
    <t>Y5E</t>
  </si>
  <si>
    <t>Y6E</t>
  </si>
  <si>
    <t>Y7E</t>
  </si>
  <si>
    <t>Y8E</t>
  </si>
  <si>
    <t>Y9E</t>
  </si>
  <si>
    <t>Y10E</t>
  </si>
  <si>
    <t>Scenario 1: High Growth</t>
  </si>
  <si>
    <t>Median Revenue Growth</t>
  </si>
  <si>
    <t>Sales Growth %</t>
  </si>
  <si>
    <t>Scenario 2: Average Growth</t>
  </si>
  <si>
    <t>Growth Per Year</t>
  </si>
  <si>
    <t>Scenario 3: EBIT-based Growth</t>
  </si>
  <si>
    <t>Average Revenue Growth</t>
  </si>
  <si>
    <t>Live Scenario</t>
  </si>
  <si>
    <t>LTM</t>
  </si>
  <si>
    <t>Y4W</t>
  </si>
  <si>
    <t>Growth In EBIT</t>
  </si>
  <si>
    <t>FY22</t>
  </si>
  <si>
    <t>FY23</t>
  </si>
  <si>
    <t>FY24</t>
  </si>
  <si>
    <t>FY25</t>
  </si>
  <si>
    <t>FY26</t>
  </si>
  <si>
    <t>YoY DPS Growth %</t>
  </si>
  <si>
    <t>Risk-Free Rate (Rf)</t>
  </si>
  <si>
    <t>Cost of Equity (Ke)</t>
  </si>
  <si>
    <t>Value</t>
  </si>
  <si>
    <t>WACC (Cost of Capital)</t>
  </si>
  <si>
    <t>Shares Outstanding (Cr)</t>
  </si>
  <si>
    <t>PV of Terminal Value</t>
  </si>
  <si>
    <t xml:space="preserve">  GORDON GROWTH MODEL (DDM)</t>
  </si>
  <si>
    <t>Historical Dividend Per Share (DPS)</t>
  </si>
  <si>
    <t>Avg of NOPAT</t>
  </si>
  <si>
    <t>Avg of Reinvestment</t>
  </si>
  <si>
    <t>Reinvestment rate</t>
  </si>
  <si>
    <t>DABUR INDIA LTD - DCF</t>
  </si>
  <si>
    <t xml:space="preserve">FY2026 </t>
  </si>
  <si>
    <t>Y1E (FY27)</t>
  </si>
  <si>
    <t>Y2E (FY28)</t>
  </si>
  <si>
    <t>Y3E (FY29)</t>
  </si>
  <si>
    <t>Y4E (FY30)</t>
  </si>
  <si>
    <t>Y5E (FY31)</t>
  </si>
  <si>
    <t>Y6E (FY32)</t>
  </si>
  <si>
    <t>Y7E (FY33)</t>
  </si>
  <si>
    <t>Y8E (FY34)</t>
  </si>
  <si>
    <t>Y9E (FY35)</t>
  </si>
  <si>
    <t>Y10E (FY36)</t>
  </si>
  <si>
    <t>Terminal Year</t>
  </si>
  <si>
    <t xml:space="preserve">  KEY ASSUMPTIONS</t>
  </si>
  <si>
    <t xml:space="preserve">  REVENUE FORECAST</t>
  </si>
  <si>
    <t>Terminal Growth Rate (g = Rf)</t>
  </si>
  <si>
    <t xml:space="preserve">  EBIT &amp; TAX SHIELD</t>
  </si>
  <si>
    <t>Terminal reinvestment rate %</t>
  </si>
  <si>
    <t>EBIT Margin % (Median Historical)</t>
  </si>
  <si>
    <t xml:space="preserve">EBIT </t>
  </si>
  <si>
    <t>EBIT × (1 − Tax Rate)</t>
  </si>
  <si>
    <t xml:space="preserve">  REINVESTMENT</t>
  </si>
  <si>
    <t xml:space="preserve">  FREE CASH FLOW TO FIRM (FCFF)</t>
  </si>
  <si>
    <t xml:space="preserve">  TERMINAL VALUE  &amp;  PRESENT VALUES</t>
  </si>
  <si>
    <t>Terminal Value :</t>
  </si>
  <si>
    <t>Present Value Interest Factor (PVIF)</t>
  </si>
  <si>
    <t>PV of FCFF (Sum of Y1-Y10)</t>
  </si>
  <si>
    <t xml:space="preserve">  ENTERPRISE VALUE  →  EQUITY VALUE  →  INTRINSIC VALUE</t>
  </si>
  <si>
    <t xml:space="preserve">Enterprise Value </t>
  </si>
  <si>
    <t>Add: Cash &amp; Equivalents (FY2026)</t>
  </si>
  <si>
    <t>Less: Total Debt / Borrowings (FY2026)</t>
  </si>
  <si>
    <t>Less: Minority Interest</t>
  </si>
  <si>
    <t>Equity Value (INR Cr.)</t>
  </si>
  <si>
    <t>INTRINSIC VALUE PER SHARE (INR)</t>
  </si>
  <si>
    <t>Sensitivity Analysis</t>
  </si>
  <si>
    <t>RELATIVE VALUATION</t>
  </si>
  <si>
    <t xml:space="preserve">EV/EBITDA </t>
  </si>
  <si>
    <t xml:space="preserve">EV/Sales </t>
  </si>
  <si>
    <t>EBITDA Margin %</t>
  </si>
  <si>
    <t xml:space="preserve">Rev Growth </t>
  </si>
  <si>
    <t>ROE FY26 %</t>
  </si>
  <si>
    <t>CMP</t>
  </si>
  <si>
    <t>Mkt Cap</t>
  </si>
  <si>
    <t>Revenue</t>
  </si>
  <si>
    <t>PAT</t>
  </si>
  <si>
    <t>P/E</t>
  </si>
  <si>
    <t>P/BV</t>
  </si>
  <si>
    <t xml:space="preserve">Mean </t>
  </si>
  <si>
    <t xml:space="preserve">Min </t>
  </si>
  <si>
    <t xml:space="preserve">Max </t>
  </si>
  <si>
    <t>IMPLIED PRICE FOR DABUR INDIA</t>
  </si>
  <si>
    <t>Wtd Price</t>
  </si>
  <si>
    <t>Weighted Target Price</t>
  </si>
  <si>
    <t xml:space="preserve">Non-Cash Working Capital </t>
  </si>
  <si>
    <t xml:space="preserve">Long+Short </t>
  </si>
  <si>
    <t xml:space="preserve">Intrinsic Value per Share </t>
  </si>
  <si>
    <t xml:space="preserve">Current Market Price </t>
  </si>
  <si>
    <t xml:space="preserve"> Intrinsic Value per Share</t>
  </si>
  <si>
    <t>Expected Next Year Dividend</t>
  </si>
  <si>
    <t>D1  Expected next year DPS</t>
  </si>
  <si>
    <t xml:space="preserve">D0  Latest DPS </t>
  </si>
  <si>
    <t xml:space="preserve">Ke − g  </t>
  </si>
  <si>
    <t xml:space="preserve">Growth Rate </t>
  </si>
  <si>
    <t xml:space="preserve">Equity Risk Premium </t>
  </si>
  <si>
    <t xml:space="preserve">Risk-Free Rate </t>
  </si>
  <si>
    <t xml:space="preserve">Sustainable Growth  g </t>
  </si>
  <si>
    <t xml:space="preserve">Dividend Growth Rate </t>
  </si>
  <si>
    <t>Revenue CAGR</t>
  </si>
  <si>
    <t>Average YoY DPS Growth</t>
  </si>
  <si>
    <t xml:space="preserve">CAGR of DPS </t>
  </si>
  <si>
    <t>Dividend Growth Rate (g)</t>
  </si>
  <si>
    <t xml:space="preserve">Dividend Per Share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</si>
</sst>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[$-409]mmm\-yy;@"/>
    <numFmt numFmtId="165" formatCode="_ * #,##0.00_ ;_ * \-#,##0.00_ ;_ * \-??_ ;_ @_ "/>
    <numFmt numFmtId="166" formatCode="0.0%;\(0.0%\);\-"/>
    <numFmt numFmtId="167" formatCode="0.0\x;\(0.0&quot;x)&quot;;\-"/>
    <numFmt numFmtId="168" formatCode="0.0;\(0.0\);\-"/>
    <numFmt numFmtId="169" formatCode="_(* #,##0.00_);_(* \(#,##0.00\);_(* \-??_);_(@_)"/>
    <numFmt numFmtId="170" formatCode="0.0\x"/>
    <numFmt numFmtId="171" formatCode="0.0%"/>
    <numFmt numFmtId="172" formatCode="0.0%;\(0.0%\)"/>
    <numFmt numFmtId="173" formatCode="\₹#,##0.00"/>
    <numFmt numFmtId="174" formatCode="#,##0.00;\(#,##0.00\);\-"/>
    <numFmt numFmtId="175" formatCode="0.00%;\(0.00%\);\-"/>
    <numFmt numFmtId="176" formatCode="m/d/yyyy"/>
    <numFmt numFmtId="177" formatCode="d\-mmm"/>
    <numFmt numFmtId="178" formatCode="#,##0.0"/>
    <numFmt numFmtId="179" formatCode="&quot;₹ &quot;#,##0.00;&quot;(₹ -&quot;#,##0.0\);\-"/>
    <numFmt numFmtId="180" formatCode="#,##0.0;\(#,##0.0\);\-"/>
    <numFmt numFmtId="181" formatCode="0.00;\(0.00\);\-"/>
    <numFmt numFmtId="182" formatCode="##0.00"/>
    <numFmt numFmtId="183" formatCode="0.000"/>
    <numFmt numFmtId="184" formatCode="#,##0;\(#,##0\);\-"/>
  </numFmts>
  <fonts count="108" x14ac:knownFonts="1">
    <font>
      <sz val="11"/>
      <color theme="1"/>
      <name val="Calibri"/>
      <family val="2"/>
      <charset val="1"/>
    </font>
    <font>
      <sz val="10"/>
      <name val="Arial"/>
    </font>
    <font>
      <sz val="11"/>
      <color theme="1"/>
      <name val="Arial"/>
      <family val="2"/>
      <charset val="1"/>
    </font>
    <font>
      <b/>
      <sz val="18"/>
      <color theme="0"/>
      <name val="Arial"/>
      <family val="2"/>
      <charset val="1"/>
    </font>
    <font>
      <sz val="16"/>
      <color rgb="FF339966"/>
      <name val="Arial"/>
      <family val="2"/>
      <charset val="1"/>
    </font>
    <font>
      <sz val="12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7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22222F"/>
      <name val="Arial"/>
      <family val="2"/>
      <charset val="1"/>
    </font>
    <font>
      <sz val="11"/>
      <name val="Calibri"/>
      <family val="2"/>
      <charset val="1"/>
    </font>
    <font>
      <b/>
      <sz val="11"/>
      <color theme="1"/>
      <name val="Arial"/>
      <family val="2"/>
      <charset val="1"/>
    </font>
    <font>
      <u/>
      <sz val="11"/>
      <color theme="1"/>
      <name val="Arial"/>
      <family val="2"/>
      <charset val="1"/>
    </font>
    <font>
      <sz val="11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i/>
      <sz val="10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3"/>
      <color theme="0"/>
      <name val="Arial"/>
      <family val="2"/>
      <charset val="1"/>
    </font>
    <font>
      <sz val="10"/>
      <name val="Arial"/>
      <family val="2"/>
      <charset val="1"/>
    </font>
    <font>
      <b/>
      <sz val="11"/>
      <name val="Calibri"/>
      <family val="2"/>
      <charset val="1"/>
    </font>
    <font>
      <i/>
      <sz val="8"/>
      <color rgb="FF595959"/>
      <name val="Arial"/>
      <family val="2"/>
      <charset val="1"/>
    </font>
    <font>
      <b/>
      <sz val="11"/>
      <name val="Arial"/>
      <family val="2"/>
      <charset val="1"/>
    </font>
    <font>
      <i/>
      <sz val="11"/>
      <color theme="1"/>
      <name val="Arial"/>
      <family val="2"/>
      <charset val="1"/>
    </font>
    <font>
      <sz val="11"/>
      <color rgb="FF181818"/>
      <name val="Arial"/>
      <family val="2"/>
      <charset val="1"/>
    </font>
    <font>
      <sz val="11"/>
      <color rgb="FFFFFFFF"/>
      <name val="Arial"/>
      <family val="2"/>
      <charset val="1"/>
    </font>
    <font>
      <b/>
      <sz val="14"/>
      <color theme="0"/>
      <name val="Arial"/>
      <family val="2"/>
      <charset val="1"/>
    </font>
    <font>
      <sz val="11"/>
      <color theme="0"/>
      <name val="Arial"/>
      <family val="2"/>
      <charset val="1"/>
    </font>
    <font>
      <i/>
      <sz val="10"/>
      <color theme="1"/>
      <name val="Arial"/>
      <family val="2"/>
      <charset val="1"/>
    </font>
    <font>
      <u/>
      <sz val="11"/>
      <color theme="10"/>
      <name val="Arial"/>
      <family val="2"/>
      <charset val="1"/>
    </font>
    <font>
      <sz val="11"/>
      <color rgb="FF212529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theme="1" tint="4.9897762993255407E-2"/>
      <name val="Arial"/>
      <family val="2"/>
      <charset val="1"/>
    </font>
    <font>
      <b/>
      <sz val="11"/>
      <color theme="0"/>
      <name val="Arial"/>
      <family val="2"/>
      <charset val="1"/>
    </font>
    <font>
      <i/>
      <sz val="8"/>
      <color rgb="FFFF0000"/>
      <name val="Arial"/>
      <charset val="1"/>
    </font>
    <font>
      <i/>
      <sz val="9"/>
      <color theme="1"/>
      <name val="Arial"/>
      <family val="2"/>
      <charset val="1"/>
    </font>
    <font>
      <sz val="11"/>
      <name val="Cambria"/>
      <charset val="1"/>
    </font>
    <font>
      <i/>
      <sz val="10"/>
      <color rgb="FF595959"/>
      <name val="Arial"/>
      <family val="2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339933"/>
      <name val="Arial"/>
      <family val="2"/>
      <charset val="1"/>
    </font>
    <font>
      <b/>
      <sz val="10"/>
      <color rgb="FF1F4E79"/>
      <name val="Arial"/>
      <charset val="1"/>
    </font>
    <font>
      <sz val="10"/>
      <color rgb="FF595959"/>
      <name val="Arial"/>
      <charset val="1"/>
    </font>
    <font>
      <b/>
      <sz val="10"/>
      <color theme="7" tint="-0.249977111117893"/>
      <name val="Arial"/>
      <family val="2"/>
      <charset val="1"/>
    </font>
    <font>
      <b/>
      <i/>
      <sz val="10"/>
      <name val="Arial"/>
      <family val="2"/>
      <charset val="1"/>
    </font>
    <font>
      <i/>
      <sz val="8"/>
      <color rgb="FF595959"/>
      <name val="Arial"/>
      <charset val="1"/>
    </font>
    <font>
      <b/>
      <sz val="9"/>
      <color rgb="FF1F3864"/>
      <name val="Arial"/>
      <charset val="1"/>
    </font>
    <font>
      <sz val="8"/>
      <color rgb="FF595959"/>
      <name val="Arial"/>
      <charset val="1"/>
    </font>
    <font>
      <b/>
      <sz val="14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8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5A5A5A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i/>
      <sz val="9"/>
      <color rgb="FF40404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9"/>
      <color rgb="FF00640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2"/>
      <color theme="1"/>
      <name val="Arial"/>
      <family val="2"/>
      <charset val="1"/>
    </font>
    <font>
      <sz val="7"/>
      <color theme="0"/>
      <name val="Arial"/>
      <family val="2"/>
      <charset val="1"/>
    </font>
    <font>
      <b/>
      <sz val="14"/>
      <color theme="0"/>
      <name val="Arial"/>
      <family val="2"/>
    </font>
    <font>
      <b/>
      <sz val="16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20"/>
      <color theme="0"/>
      <name val="Calibri"/>
      <family val="2"/>
      <charset val="1"/>
    </font>
    <font>
      <b/>
      <sz val="18"/>
      <color theme="0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6"/>
      <color theme="0"/>
      <name val="Arial"/>
      <family val="2"/>
    </font>
    <font>
      <b/>
      <sz val="22"/>
      <color theme="0"/>
      <name val="Arial"/>
      <family val="2"/>
    </font>
    <font>
      <b/>
      <sz val="16"/>
      <color rgb="FFFFFFFF"/>
      <name val="Arial"/>
      <family val="2"/>
    </font>
    <font>
      <b/>
      <sz val="12"/>
      <color theme="0"/>
      <name val="Arial"/>
      <family val="2"/>
    </font>
    <font>
      <b/>
      <sz val="20"/>
      <color theme="0"/>
      <name val="Arial"/>
      <family val="2"/>
    </font>
    <font>
      <sz val="10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8F8FC"/>
      </patternFill>
    </fill>
    <fill>
      <patternFill patternType="solid">
        <fgColor rgb="FF0275D8"/>
        <bgColor rgb="FF2E75B6"/>
      </patternFill>
    </fill>
    <fill>
      <patternFill patternType="solid">
        <fgColor theme="4" tint="0.39957884456923126"/>
        <bgColor rgb="FFBDD7EE"/>
      </patternFill>
    </fill>
    <fill>
      <patternFill patternType="solid">
        <fgColor theme="6" tint="0.39957884456923126"/>
        <bgColor rgb="FFFF8119"/>
      </patternFill>
    </fill>
    <fill>
      <patternFill patternType="solid">
        <fgColor theme="9"/>
        <bgColor rgb="FF833C00"/>
      </patternFill>
    </fill>
    <fill>
      <patternFill patternType="solid">
        <fgColor rgb="FF1F4E79"/>
        <bgColor rgb="FF2B4A76"/>
      </patternFill>
    </fill>
    <fill>
      <patternFill patternType="solid">
        <fgColor rgb="FFEBF3FB"/>
        <bgColor rgb="FFEBF0FA"/>
      </patternFill>
    </fill>
    <fill>
      <patternFill patternType="solid">
        <fgColor rgb="FFF2F2F2"/>
        <bgColor rgb="FFEBF0FA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AE2F3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002060"/>
        <bgColor rgb="FF243166"/>
      </patternFill>
    </fill>
    <fill>
      <patternFill patternType="solid">
        <fgColor rgb="FFF8F8FC"/>
        <bgColor rgb="FFF7F7F7"/>
      </patternFill>
    </fill>
    <fill>
      <patternFill patternType="solid">
        <fgColor rgb="FFD8D8D8"/>
        <bgColor rgb="FFD9D9D9"/>
      </patternFill>
    </fill>
    <fill>
      <patternFill patternType="solid">
        <fgColor theme="7" tint="-0.249977111117893"/>
        <bgColor rgb="FF1F4E79"/>
      </patternFill>
    </fill>
    <fill>
      <patternFill patternType="solid">
        <fgColor rgb="FF2F5496"/>
        <bgColor rgb="FF2B4A76"/>
      </patternFill>
    </fill>
    <fill>
      <patternFill patternType="solid">
        <fgColor rgb="FF2E74B5"/>
        <bgColor rgb="FF2E75B6"/>
      </patternFill>
    </fill>
    <fill>
      <patternFill patternType="solid">
        <fgColor theme="7" tint="0.79989013336588644"/>
        <bgColor rgb="FFD9E1F2"/>
      </patternFill>
    </fill>
    <fill>
      <patternFill patternType="solid">
        <fgColor rgb="FFFFFF00"/>
        <bgColor rgb="FFFFF2CC"/>
      </patternFill>
    </fill>
    <fill>
      <patternFill patternType="solid">
        <fgColor rgb="FFEBF0FA"/>
        <bgColor rgb="FFEBF3FB"/>
      </patternFill>
    </fill>
    <fill>
      <patternFill patternType="solid">
        <fgColor theme="8" tint="-0.249977111117893"/>
        <bgColor rgb="FF2F5496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7FB"/>
        <bgColor rgb="FFF8F8FC"/>
      </patternFill>
    </fill>
    <fill>
      <patternFill patternType="solid">
        <fgColor rgb="FFFFFF00"/>
        <bgColor rgb="FFFFCC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rgb="FF2B4A76"/>
      </patternFill>
    </fill>
    <fill>
      <patternFill patternType="solid">
        <fgColor theme="7" tint="-0.249977111117893"/>
        <bgColor rgb="FF2E74B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006400"/>
      </patternFill>
    </fill>
    <fill>
      <patternFill patternType="solid">
        <fgColor theme="7" tint="-0.249977111117893"/>
        <bgColor rgb="FFF8F8FC"/>
      </patternFill>
    </fill>
    <fill>
      <patternFill patternType="solid">
        <fgColor theme="7" tint="-0.249977111117893"/>
        <bgColor rgb="FF1F3864"/>
      </patternFill>
    </fill>
    <fill>
      <patternFill patternType="solid">
        <fgColor theme="7" tint="-0.249977111117893"/>
        <bgColor rgb="FF2E75B6"/>
      </patternFill>
    </fill>
    <fill>
      <patternFill patternType="solid">
        <fgColor theme="7" tint="-0.249977111117893"/>
        <bgColor rgb="FFEBF0FA"/>
      </patternFill>
    </fill>
    <fill>
      <patternFill patternType="solid">
        <fgColor theme="7" tint="-0.249977111117893"/>
        <bgColor rgb="FFD9E1F2"/>
      </patternFill>
    </fill>
    <fill>
      <patternFill patternType="solid">
        <fgColor theme="7" tint="-0.249977111117893"/>
        <bgColor rgb="FF2F5496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rgb="FFDDDDD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rgb="FFDDDDDD"/>
      </bottom>
      <diagonal/>
    </border>
    <border>
      <left style="double">
        <color rgb="FFDDDDDD"/>
      </left>
      <right style="double">
        <color rgb="FFDDDDDD"/>
      </right>
      <top style="double">
        <color rgb="FFDDDDDD"/>
      </top>
      <bottom style="double">
        <color rgb="FFDDDDD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rgb="FFDAE2F3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93">
    <xf numFmtId="0" fontId="0" fillId="0" borderId="0" xfId="0"/>
    <xf numFmtId="0" fontId="19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right" vertical="center" wrapText="1"/>
    </xf>
    <xf numFmtId="3" fontId="9" fillId="2" borderId="7" xfId="0" applyNumberFormat="1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right" vertical="center" wrapText="1"/>
    </xf>
    <xf numFmtId="3" fontId="10" fillId="2" borderId="9" xfId="0" applyNumberFormat="1" applyFont="1" applyFill="1" applyBorder="1" applyAlignment="1">
      <alignment horizontal="right" vertical="center" wrapText="1"/>
    </xf>
    <xf numFmtId="0" fontId="11" fillId="0" borderId="0" xfId="0" applyFont="1"/>
    <xf numFmtId="0" fontId="12" fillId="3" borderId="0" xfId="0" applyFont="1" applyFill="1"/>
    <xf numFmtId="164" fontId="12" fillId="3" borderId="0" xfId="0" applyNumberFormat="1" applyFont="1" applyFill="1" applyAlignment="1">
      <alignment horizontal="center"/>
    </xf>
    <xf numFmtId="0" fontId="13" fillId="2" borderId="10" xfId="0" applyFont="1" applyFill="1" applyBorder="1" applyAlignment="1">
      <alignment horizontal="left" vertical="center" indent="1"/>
    </xf>
    <xf numFmtId="3" fontId="13" fillId="2" borderId="10" xfId="0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right" vertical="center" wrapText="1"/>
    </xf>
    <xf numFmtId="3" fontId="13" fillId="2" borderId="0" xfId="0" applyNumberFormat="1" applyFont="1" applyFill="1" applyAlignment="1">
      <alignment horizontal="right" vertical="center" wrapText="1"/>
    </xf>
    <xf numFmtId="165" fontId="0" fillId="0" borderId="0" xfId="0" applyNumberFormat="1"/>
    <xf numFmtId="165" fontId="11" fillId="0" borderId="0" xfId="0" applyNumberFormat="1" applyFont="1"/>
    <xf numFmtId="10" fontId="0" fillId="0" borderId="0" xfId="0" applyNumberFormat="1"/>
    <xf numFmtId="0" fontId="14" fillId="0" borderId="0" xfId="0" applyFont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1" fillId="0" borderId="1" xfId="0" applyFont="1" applyBorder="1"/>
    <xf numFmtId="166" fontId="22" fillId="0" borderId="1" xfId="0" applyNumberFormat="1" applyFont="1" applyBorder="1"/>
    <xf numFmtId="0" fontId="0" fillId="0" borderId="1" xfId="0" applyBorder="1"/>
    <xf numFmtId="0" fontId="0" fillId="0" borderId="16" xfId="0" applyBorder="1"/>
    <xf numFmtId="167" fontId="22" fillId="0" borderId="1" xfId="0" applyNumberFormat="1" applyFont="1" applyBorder="1"/>
    <xf numFmtId="168" fontId="22" fillId="0" borderId="1" xfId="0" applyNumberFormat="1" applyFont="1" applyBorder="1"/>
    <xf numFmtId="164" fontId="12" fillId="3" borderId="0" xfId="0" applyNumberFormat="1" applyFont="1" applyFill="1"/>
    <xf numFmtId="164" fontId="14" fillId="0" borderId="0" xfId="0" applyNumberFormat="1" applyFont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65" fontId="0" fillId="0" borderId="17" xfId="0" applyNumberFormat="1" applyBorder="1"/>
    <xf numFmtId="10" fontId="24" fillId="0" borderId="0" xfId="0" applyNumberFormat="1" applyFont="1"/>
    <xf numFmtId="10" fontId="24" fillId="0" borderId="18" xfId="0" applyNumberFormat="1" applyFont="1" applyBorder="1"/>
    <xf numFmtId="169" fontId="0" fillId="0" borderId="0" xfId="0" applyNumberFormat="1"/>
    <xf numFmtId="0" fontId="29" fillId="0" borderId="1" xfId="0" applyFont="1" applyBorder="1"/>
    <xf numFmtId="0" fontId="14" fillId="0" borderId="1" xfId="0" applyFont="1" applyBorder="1"/>
    <xf numFmtId="174" fontId="29" fillId="0" borderId="1" xfId="0" applyNumberFormat="1" applyFont="1" applyBorder="1"/>
    <xf numFmtId="174" fontId="8" fillId="0" borderId="1" xfId="0" applyNumberFormat="1" applyFont="1" applyBorder="1"/>
    <xf numFmtId="0" fontId="8" fillId="0" borderId="21" xfId="0" applyFont="1" applyBorder="1"/>
    <xf numFmtId="174" fontId="8" fillId="0" borderId="21" xfId="0" applyNumberFormat="1" applyFont="1" applyBorder="1"/>
    <xf numFmtId="175" fontId="29" fillId="0" borderId="1" xfId="0" applyNumberFormat="1" applyFont="1" applyBorder="1"/>
    <xf numFmtId="0" fontId="30" fillId="0" borderId="0" xfId="0" applyFont="1"/>
    <xf numFmtId="0" fontId="8" fillId="0" borderId="12" xfId="0" applyFont="1" applyBorder="1"/>
    <xf numFmtId="175" fontId="8" fillId="9" borderId="18" xfId="0" applyNumberFormat="1" applyFont="1" applyFill="1" applyBorder="1"/>
    <xf numFmtId="0" fontId="8" fillId="0" borderId="11" xfId="0" applyFont="1" applyBorder="1"/>
    <xf numFmtId="175" fontId="8" fillId="9" borderId="22" xfId="0" applyNumberFormat="1" applyFont="1" applyFill="1" applyBorder="1"/>
    <xf numFmtId="0" fontId="29" fillId="0" borderId="15" xfId="0" applyFont="1" applyBorder="1"/>
    <xf numFmtId="174" fontId="29" fillId="0" borderId="0" xfId="0" applyNumberFormat="1" applyFont="1"/>
    <xf numFmtId="174" fontId="29" fillId="0" borderId="16" xfId="0" applyNumberFormat="1" applyFont="1" applyBorder="1"/>
    <xf numFmtId="174" fontId="8" fillId="0" borderId="17" xfId="0" applyNumberFormat="1" applyFont="1" applyBorder="1"/>
    <xf numFmtId="174" fontId="8" fillId="0" borderId="22" xfId="0" applyNumberFormat="1" applyFont="1" applyBorder="1"/>
    <xf numFmtId="0" fontId="29" fillId="0" borderId="12" xfId="0" applyFont="1" applyBorder="1"/>
    <xf numFmtId="0" fontId="14" fillId="0" borderId="13" xfId="0" applyFont="1" applyBorder="1"/>
    <xf numFmtId="174" fontId="29" fillId="0" borderId="13" xfId="0" applyNumberFormat="1" applyFont="1" applyBorder="1"/>
    <xf numFmtId="174" fontId="29" fillId="0" borderId="14" xfId="0" applyNumberFormat="1" applyFont="1" applyBorder="1"/>
    <xf numFmtId="0" fontId="29" fillId="0" borderId="11" xfId="0" applyFont="1" applyBorder="1"/>
    <xf numFmtId="0" fontId="14" fillId="0" borderId="17" xfId="0" applyFont="1" applyBorder="1"/>
    <xf numFmtId="175" fontId="29" fillId="0" borderId="17" xfId="0" applyNumberFormat="1" applyFont="1" applyBorder="1"/>
    <xf numFmtId="175" fontId="29" fillId="0" borderId="22" xfId="0" applyNumberFormat="1" applyFont="1" applyBorder="1"/>
    <xf numFmtId="175" fontId="8" fillId="0" borderId="14" xfId="0" applyNumberFormat="1" applyFont="1" applyBorder="1"/>
    <xf numFmtId="175" fontId="8" fillId="0" borderId="22" xfId="0" applyNumberFormat="1" applyFont="1" applyBorder="1"/>
    <xf numFmtId="176" fontId="2" fillId="0" borderId="0" xfId="0" applyNumberFormat="1" applyFont="1"/>
    <xf numFmtId="0" fontId="2" fillId="0" borderId="0" xfId="0" applyFont="1" applyAlignment="1">
      <alignment horizontal="center"/>
    </xf>
    <xf numFmtId="176" fontId="32" fillId="0" borderId="1" xfId="0" applyNumberFormat="1" applyFont="1" applyBorder="1" applyAlignment="1">
      <alignment horizontal="left" vertical="top"/>
    </xf>
    <xf numFmtId="0" fontId="32" fillId="0" borderId="1" xfId="0" applyFont="1" applyBorder="1" applyAlignment="1">
      <alignment horizontal="right" vertical="top"/>
    </xf>
    <xf numFmtId="0" fontId="15" fillId="0" borderId="1" xfId="0" applyFont="1" applyBorder="1" applyAlignment="1">
      <alignment horizontal="right"/>
    </xf>
    <xf numFmtId="0" fontId="32" fillId="0" borderId="0" xfId="0" applyFont="1" applyAlignment="1">
      <alignment horizontal="center" vertical="top"/>
    </xf>
    <xf numFmtId="176" fontId="2" fillId="0" borderId="0" xfId="0" applyNumberFormat="1" applyFont="1" applyAlignment="1">
      <alignment horizontal="left"/>
    </xf>
    <xf numFmtId="0" fontId="32" fillId="12" borderId="0" xfId="0" applyFont="1" applyFill="1"/>
    <xf numFmtId="2" fontId="32" fillId="12" borderId="0" xfId="0" applyNumberFormat="1" applyFont="1" applyFill="1"/>
    <xf numFmtId="0" fontId="33" fillId="0" borderId="23" xfId="0" applyFont="1" applyBorder="1" applyAlignment="1">
      <alignment horizontal="center"/>
    </xf>
    <xf numFmtId="0" fontId="2" fillId="0" borderId="24" xfId="0" applyFont="1" applyBorder="1"/>
    <xf numFmtId="177" fontId="2" fillId="0" borderId="0" xfId="0" applyNumberFormat="1" applyFont="1"/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  <xf numFmtId="0" fontId="2" fillId="9" borderId="12" xfId="0" applyFont="1" applyFill="1" applyBorder="1"/>
    <xf numFmtId="10" fontId="2" fillId="9" borderId="14" xfId="0" applyNumberFormat="1" applyFont="1" applyFill="1" applyBorder="1" applyAlignment="1">
      <alignment horizontal="center"/>
    </xf>
    <xf numFmtId="0" fontId="23" fillId="0" borderId="0" xfId="0" applyFont="1"/>
    <xf numFmtId="0" fontId="2" fillId="9" borderId="15" xfId="0" applyFont="1" applyFill="1" applyBorder="1"/>
    <xf numFmtId="10" fontId="2" fillId="9" borderId="16" xfId="0" applyNumberFormat="1" applyFont="1" applyFill="1" applyBorder="1" applyAlignment="1">
      <alignment horizontal="center"/>
    </xf>
    <xf numFmtId="0" fontId="15" fillId="9" borderId="11" xfId="0" applyFont="1" applyFill="1" applyBorder="1"/>
    <xf numFmtId="10" fontId="15" fillId="9" borderId="22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 wrapText="1"/>
    </xf>
    <xf numFmtId="10" fontId="0" fillId="0" borderId="25" xfId="0" applyNumberFormat="1" applyBorder="1" applyAlignment="1">
      <alignment horizontal="center" wrapText="1"/>
    </xf>
    <xf numFmtId="0" fontId="2" fillId="0" borderId="0" xfId="0" applyFont="1" applyAlignment="1">
      <alignment vertical="center"/>
    </xf>
    <xf numFmtId="0" fontId="0" fillId="0" borderId="26" xfId="0" applyBorder="1" applyAlignment="1">
      <alignment horizontal="center" wrapText="1"/>
    </xf>
    <xf numFmtId="10" fontId="0" fillId="0" borderId="26" xfId="0" applyNumberFormat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10" fontId="0" fillId="0" borderId="27" xfId="0" applyNumberFormat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10" fontId="0" fillId="0" borderId="28" xfId="0" applyNumberFormat="1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0" fontId="0" fillId="0" borderId="29" xfId="0" applyNumberFormat="1" applyBorder="1" applyAlignment="1">
      <alignment horizontal="center" wrapText="1"/>
    </xf>
    <xf numFmtId="0" fontId="0" fillId="0" borderId="25" xfId="0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34" fillId="2" borderId="0" xfId="0" applyFont="1" applyFill="1" applyAlignment="1">
      <alignment horizontal="right" vertical="center" wrapText="1"/>
    </xf>
    <xf numFmtId="0" fontId="35" fillId="2" borderId="0" xfId="0" applyFont="1" applyFill="1" applyAlignment="1">
      <alignment horizontal="right" vertical="center" wrapText="1"/>
    </xf>
    <xf numFmtId="10" fontId="34" fillId="2" borderId="0" xfId="0" applyNumberFormat="1" applyFont="1" applyFill="1" applyAlignment="1">
      <alignment horizontal="right" vertical="center" wrapText="1"/>
    </xf>
    <xf numFmtId="0" fontId="38" fillId="0" borderId="0" xfId="0" applyFont="1"/>
    <xf numFmtId="0" fontId="15" fillId="0" borderId="0" xfId="0" applyFont="1"/>
    <xf numFmtId="0" fontId="2" fillId="0" borderId="13" xfId="0" applyFont="1" applyBorder="1"/>
    <xf numFmtId="0" fontId="13" fillId="14" borderId="1" xfId="0" applyFont="1" applyFill="1" applyBorder="1" applyAlignment="1">
      <alignment horizontal="left" vertical="center" indent="1"/>
    </xf>
    <xf numFmtId="0" fontId="39" fillId="0" borderId="1" xfId="0" applyFont="1" applyBorder="1" applyAlignment="1" applyProtection="1">
      <alignment vertical="top"/>
      <protection locked="0"/>
    </xf>
    <xf numFmtId="0" fontId="13" fillId="14" borderId="1" xfId="0" applyFont="1" applyFill="1" applyBorder="1" applyAlignment="1">
      <alignment horizontal="right" vertical="center" wrapText="1"/>
    </xf>
    <xf numFmtId="2" fontId="2" fillId="0" borderId="1" xfId="0" applyNumberFormat="1" applyFont="1" applyBorder="1"/>
    <xf numFmtId="0" fontId="15" fillId="0" borderId="0" xfId="0" applyFont="1" applyAlignment="1">
      <alignment horizontal="right"/>
    </xf>
    <xf numFmtId="0" fontId="13" fillId="2" borderId="1" xfId="0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right" vertical="center" wrapText="1"/>
    </xf>
    <xf numFmtId="2" fontId="2" fillId="0" borderId="3" xfId="0" applyNumberFormat="1" applyFont="1" applyBorder="1"/>
    <xf numFmtId="0" fontId="2" fillId="2" borderId="15" xfId="0" applyFont="1" applyFill="1" applyBorder="1"/>
    <xf numFmtId="0" fontId="15" fillId="0" borderId="17" xfId="0" applyFont="1" applyBorder="1"/>
    <xf numFmtId="0" fontId="15" fillId="0" borderId="17" xfId="0" applyFont="1" applyBorder="1" applyAlignment="1">
      <alignment horizontal="right"/>
    </xf>
    <xf numFmtId="2" fontId="40" fillId="2" borderId="1" xfId="0" applyNumberFormat="1" applyFont="1" applyFill="1" applyBorder="1" applyAlignment="1">
      <alignment vertical="center" wrapText="1"/>
    </xf>
    <xf numFmtId="0" fontId="41" fillId="0" borderId="0" xfId="0" applyFont="1"/>
    <xf numFmtId="0" fontId="41" fillId="0" borderId="0" xfId="0" applyFont="1" applyAlignment="1">
      <alignment horizontal="right"/>
    </xf>
    <xf numFmtId="10" fontId="41" fillId="0" borderId="0" xfId="0" applyNumberFormat="1" applyFont="1" applyAlignment="1">
      <alignment horizontal="right"/>
    </xf>
    <xf numFmtId="10" fontId="2" fillId="2" borderId="0" xfId="0" applyNumberFormat="1" applyFont="1" applyFill="1" applyAlignment="1">
      <alignment horizontal="right"/>
    </xf>
    <xf numFmtId="2" fontId="41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0" applyNumberFormat="1" applyFont="1"/>
    <xf numFmtId="0" fontId="15" fillId="0" borderId="26" xfId="0" applyFont="1" applyBorder="1"/>
    <xf numFmtId="10" fontId="42" fillId="0" borderId="26" xfId="0" applyNumberFormat="1" applyFont="1" applyBorder="1"/>
    <xf numFmtId="2" fontId="42" fillId="0" borderId="26" xfId="0" applyNumberFormat="1" applyFont="1" applyBorder="1"/>
    <xf numFmtId="0" fontId="15" fillId="0" borderId="27" xfId="0" applyFont="1" applyBorder="1"/>
    <xf numFmtId="10" fontId="42" fillId="0" borderId="27" xfId="0" applyNumberFormat="1" applyFont="1" applyBorder="1"/>
    <xf numFmtId="2" fontId="42" fillId="0" borderId="27" xfId="0" applyNumberFormat="1" applyFont="1" applyBorder="1"/>
    <xf numFmtId="0" fontId="43" fillId="13" borderId="17" xfId="0" applyFont="1" applyFill="1" applyBorder="1"/>
    <xf numFmtId="0" fontId="37" fillId="13" borderId="17" xfId="0" applyFont="1" applyFill="1" applyBorder="1"/>
    <xf numFmtId="10" fontId="2" fillId="0" borderId="16" xfId="0" applyNumberFormat="1" applyFont="1" applyBorder="1"/>
    <xf numFmtId="0" fontId="15" fillId="0" borderId="30" xfId="0" applyFont="1" applyBorder="1"/>
    <xf numFmtId="10" fontId="15" fillId="2" borderId="30" xfId="0" applyNumberFormat="1" applyFont="1" applyFill="1" applyBorder="1"/>
    <xf numFmtId="2" fontId="2" fillId="0" borderId="0" xfId="0" applyNumberFormat="1" applyFont="1"/>
    <xf numFmtId="0" fontId="15" fillId="2" borderId="30" xfId="0" applyFont="1" applyFill="1" applyBorder="1"/>
    <xf numFmtId="0" fontId="15" fillId="0" borderId="0" xfId="0" applyFont="1" applyAlignment="1">
      <alignment horizontal="center"/>
    </xf>
    <xf numFmtId="171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44" fillId="0" borderId="0" xfId="0" applyFont="1"/>
    <xf numFmtId="178" fontId="27" fillId="0" borderId="0" xfId="0" applyNumberFormat="1" applyFont="1" applyAlignment="1">
      <alignment horizontal="center" wrapText="1"/>
    </xf>
    <xf numFmtId="178" fontId="2" fillId="0" borderId="25" xfId="0" applyNumberFormat="1" applyFont="1" applyBorder="1" applyAlignment="1">
      <alignment horizontal="center" wrapText="1"/>
    </xf>
    <xf numFmtId="9" fontId="2" fillId="0" borderId="0" xfId="0" applyNumberFormat="1" applyFont="1"/>
    <xf numFmtId="10" fontId="2" fillId="0" borderId="25" xfId="0" applyNumberFormat="1" applyFont="1" applyBorder="1" applyAlignment="1">
      <alignment horizontal="right"/>
    </xf>
    <xf numFmtId="2" fontId="15" fillId="2" borderId="30" xfId="0" applyNumberFormat="1" applyFont="1" applyFill="1" applyBorder="1"/>
    <xf numFmtId="178" fontId="2" fillId="0" borderId="0" xfId="0" applyNumberFormat="1" applyFont="1"/>
    <xf numFmtId="10" fontId="15" fillId="0" borderId="30" xfId="0" applyNumberFormat="1" applyFont="1" applyBorder="1"/>
    <xf numFmtId="0" fontId="15" fillId="2" borderId="0" xfId="0" applyFont="1" applyFill="1"/>
    <xf numFmtId="0" fontId="2" fillId="2" borderId="0" xfId="0" applyFont="1" applyFill="1"/>
    <xf numFmtId="10" fontId="2" fillId="2" borderId="0" xfId="0" applyNumberFormat="1" applyFont="1" applyFill="1"/>
    <xf numFmtId="0" fontId="43" fillId="13" borderId="17" xfId="0" applyFont="1" applyFill="1" applyBorder="1" applyAlignment="1">
      <alignment vertical="center"/>
    </xf>
    <xf numFmtId="0" fontId="43" fillId="13" borderId="17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45" fillId="0" borderId="0" xfId="0" applyFont="1" applyAlignment="1">
      <alignment vertical="center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vertical="top" wrapText="1"/>
    </xf>
    <xf numFmtId="0" fontId="15" fillId="15" borderId="30" xfId="0" applyFont="1" applyFill="1" applyBorder="1" applyAlignment="1">
      <alignment wrapText="1"/>
    </xf>
    <xf numFmtId="0" fontId="2" fillId="15" borderId="30" xfId="0" applyFont="1" applyFill="1" applyBorder="1" applyAlignment="1">
      <alignment wrapText="1"/>
    </xf>
    <xf numFmtId="10" fontId="15" fillId="15" borderId="30" xfId="0" applyNumberFormat="1" applyFont="1" applyFill="1" applyBorder="1" applyAlignment="1">
      <alignment horizontal="right" wrapText="1"/>
    </xf>
    <xf numFmtId="0" fontId="46" fillId="0" borderId="0" xfId="0" applyFont="1"/>
    <xf numFmtId="0" fontId="47" fillId="0" borderId="15" xfId="0" applyFont="1" applyBorder="1"/>
    <xf numFmtId="0" fontId="46" fillId="0" borderId="16" xfId="0" applyFont="1" applyBorder="1"/>
    <xf numFmtId="0" fontId="48" fillId="7" borderId="1" xfId="0" applyFont="1" applyFill="1" applyBorder="1" applyAlignment="1">
      <alignment horizontal="left" vertical="center"/>
    </xf>
    <xf numFmtId="179" fontId="48" fillId="7" borderId="1" xfId="0" applyNumberFormat="1" applyFont="1" applyFill="1" applyBorder="1" applyAlignment="1">
      <alignment horizontal="center" vertical="center"/>
    </xf>
    <xf numFmtId="0" fontId="22" fillId="0" borderId="1" xfId="0" applyFont="1" applyBorder="1"/>
    <xf numFmtId="174" fontId="22" fillId="0" borderId="1" xfId="0" applyNumberFormat="1" applyFont="1" applyBorder="1" applyAlignment="1">
      <alignment horizontal="right" vertical="center"/>
    </xf>
    <xf numFmtId="0" fontId="49" fillId="0" borderId="0" xfId="0" applyFont="1"/>
    <xf numFmtId="0" fontId="46" fillId="0" borderId="15" xfId="0" applyFont="1" applyBorder="1"/>
    <xf numFmtId="179" fontId="46" fillId="0" borderId="0" xfId="0" applyNumberFormat="1" applyFont="1"/>
    <xf numFmtId="179" fontId="46" fillId="0" borderId="16" xfId="0" applyNumberFormat="1" applyFont="1" applyBorder="1"/>
    <xf numFmtId="9" fontId="46" fillId="0" borderId="0" xfId="0" applyNumberFormat="1" applyFont="1"/>
    <xf numFmtId="0" fontId="0" fillId="0" borderId="15" xfId="0" applyBorder="1"/>
    <xf numFmtId="166" fontId="22" fillId="0" borderId="1" xfId="0" applyNumberFormat="1" applyFont="1" applyBorder="1" applyAlignment="1">
      <alignment horizontal="right" vertical="center"/>
    </xf>
    <xf numFmtId="0" fontId="21" fillId="0" borderId="3" xfId="0" applyFont="1" applyBorder="1"/>
    <xf numFmtId="166" fontId="27" fillId="0" borderId="18" xfId="0" applyNumberFormat="1" applyFont="1" applyBorder="1"/>
    <xf numFmtId="0" fontId="27" fillId="0" borderId="1" xfId="0" applyFont="1" applyBorder="1"/>
    <xf numFmtId="166" fontId="27" fillId="0" borderId="32" xfId="0" applyNumberFormat="1" applyFont="1" applyBorder="1"/>
    <xf numFmtId="0" fontId="1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166" fontId="0" fillId="0" borderId="0" xfId="0" applyNumberFormat="1"/>
    <xf numFmtId="0" fontId="21" fillId="0" borderId="1" xfId="0" applyFont="1" applyBorder="1" applyAlignment="1">
      <alignment horizontal="left" vertical="center"/>
    </xf>
    <xf numFmtId="166" fontId="21" fillId="0" borderId="32" xfId="0" applyNumberFormat="1" applyFont="1" applyBorder="1"/>
    <xf numFmtId="166" fontId="21" fillId="0" borderId="1" xfId="0" applyNumberFormat="1" applyFont="1" applyBorder="1"/>
    <xf numFmtId="0" fontId="21" fillId="0" borderId="0" xfId="0" applyFont="1"/>
    <xf numFmtId="166" fontId="22" fillId="0" borderId="32" xfId="0" applyNumberFormat="1" applyFont="1" applyBorder="1"/>
    <xf numFmtId="180" fontId="22" fillId="0" borderId="1" xfId="0" applyNumberFormat="1" applyFont="1" applyBorder="1"/>
    <xf numFmtId="0" fontId="50" fillId="0" borderId="1" xfId="0" applyFont="1" applyBorder="1" applyAlignment="1">
      <alignment horizontal="left" vertical="center"/>
    </xf>
    <xf numFmtId="0" fontId="51" fillId="16" borderId="1" xfId="0" applyFont="1" applyFill="1" applyBorder="1" applyAlignment="1">
      <alignment horizontal="left" vertical="center"/>
    </xf>
    <xf numFmtId="0" fontId="51" fillId="16" borderId="1" xfId="0" applyFont="1" applyFill="1" applyBorder="1" applyAlignment="1">
      <alignment horizontal="center" vertical="center"/>
    </xf>
    <xf numFmtId="0" fontId="52" fillId="17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180" fontId="29" fillId="0" borderId="1" xfId="0" applyNumberFormat="1" applyFont="1" applyBorder="1"/>
    <xf numFmtId="166" fontId="29" fillId="0" borderId="1" xfId="0" applyNumberFormat="1" applyFont="1" applyBorder="1"/>
    <xf numFmtId="0" fontId="50" fillId="9" borderId="11" xfId="0" applyFont="1" applyFill="1" applyBorder="1"/>
    <xf numFmtId="166" fontId="21" fillId="9" borderId="17" xfId="0" applyNumberFormat="1" applyFont="1" applyFill="1" applyBorder="1"/>
    <xf numFmtId="166" fontId="0" fillId="0" borderId="11" xfId="0" applyNumberFormat="1" applyBorder="1"/>
    <xf numFmtId="181" fontId="29" fillId="0" borderId="1" xfId="0" applyNumberFormat="1" applyFont="1" applyBorder="1"/>
    <xf numFmtId="0" fontId="52" fillId="17" borderId="1" xfId="0" applyFont="1" applyFill="1" applyBorder="1" applyAlignment="1">
      <alignment horizontal="center" vertical="center"/>
    </xf>
    <xf numFmtId="0" fontId="29" fillId="0" borderId="21" xfId="0" applyFont="1" applyBorder="1" applyAlignment="1">
      <alignment horizontal="left" vertical="center"/>
    </xf>
    <xf numFmtId="180" fontId="8" fillId="0" borderId="21" xfId="0" applyNumberFormat="1" applyFont="1" applyBorder="1"/>
    <xf numFmtId="0" fontId="14" fillId="0" borderId="32" xfId="0" applyFont="1" applyBorder="1"/>
    <xf numFmtId="180" fontId="8" fillId="0" borderId="1" xfId="0" applyNumberFormat="1" applyFont="1" applyBorder="1"/>
    <xf numFmtId="0" fontId="29" fillId="0" borderId="33" xfId="0" applyFont="1" applyBorder="1" applyAlignment="1">
      <alignment horizontal="left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52" fillId="18" borderId="1" xfId="0" applyFont="1" applyFill="1" applyBorder="1" applyAlignment="1">
      <alignment horizontal="center" vertical="center"/>
    </xf>
    <xf numFmtId="0" fontId="2" fillId="0" borderId="1" xfId="0" applyFont="1" applyBorder="1"/>
    <xf numFmtId="182" fontId="22" fillId="0" borderId="1" xfId="0" applyNumberFormat="1" applyFont="1" applyBorder="1" applyAlignment="1">
      <alignment horizontal="right" vertical="center"/>
    </xf>
    <xf numFmtId="166" fontId="21" fillId="0" borderId="1" xfId="0" applyNumberFormat="1" applyFont="1" applyBorder="1" applyAlignment="1">
      <alignment horizontal="right" vertical="center"/>
    </xf>
    <xf numFmtId="0" fontId="54" fillId="19" borderId="1" xfId="0" applyFont="1" applyFill="1" applyBorder="1"/>
    <xf numFmtId="174" fontId="54" fillId="19" borderId="1" xfId="0" applyNumberFormat="1" applyFont="1" applyFill="1" applyBorder="1" applyAlignment="1">
      <alignment horizontal="right" vertical="center"/>
    </xf>
    <xf numFmtId="166" fontId="54" fillId="19" borderId="1" xfId="0" applyNumberFormat="1" applyFont="1" applyFill="1" applyBorder="1" applyAlignment="1">
      <alignment horizontal="right" vertical="center"/>
    </xf>
    <xf numFmtId="182" fontId="54" fillId="19" borderId="1" xfId="0" applyNumberFormat="1" applyFont="1" applyFill="1" applyBorder="1" applyAlignment="1">
      <alignment horizontal="right"/>
    </xf>
    <xf numFmtId="166" fontId="54" fillId="19" borderId="1" xfId="0" applyNumberFormat="1" applyFont="1" applyFill="1" applyBorder="1" applyAlignment="1">
      <alignment horizontal="right"/>
    </xf>
    <xf numFmtId="166" fontId="21" fillId="0" borderId="0" xfId="0" applyNumberFormat="1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55" fillId="11" borderId="0" xfId="0" applyFont="1" applyFill="1"/>
    <xf numFmtId="174" fontId="19" fillId="0" borderId="1" xfId="0" applyNumberFormat="1" applyFont="1" applyBorder="1" applyAlignment="1">
      <alignment horizontal="right" vertical="center"/>
    </xf>
    <xf numFmtId="174" fontId="27" fillId="0" borderId="1" xfId="0" applyNumberFormat="1" applyFont="1" applyBorder="1" applyAlignment="1">
      <alignment horizontal="right" vertical="center"/>
    </xf>
    <xf numFmtId="0" fontId="43" fillId="16" borderId="1" xfId="0" applyFont="1" applyFill="1" applyBorder="1" applyAlignment="1">
      <alignment horizontal="left"/>
    </xf>
    <xf numFmtId="171" fontId="2" fillId="12" borderId="1" xfId="0" applyNumberFormat="1" applyFont="1" applyFill="1" applyBorder="1"/>
    <xf numFmtId="0" fontId="56" fillId="0" borderId="1" xfId="0" applyFont="1" applyBorder="1"/>
    <xf numFmtId="0" fontId="11" fillId="0" borderId="1" xfId="0" applyFont="1" applyBorder="1"/>
    <xf numFmtId="166" fontId="26" fillId="0" borderId="1" xfId="0" applyNumberFormat="1" applyFont="1" applyBorder="1" applyAlignment="1">
      <alignment horizontal="right"/>
    </xf>
    <xf numFmtId="0" fontId="37" fillId="16" borderId="1" xfId="0" applyFont="1" applyFill="1" applyBorder="1" applyAlignment="1">
      <alignment horizontal="left"/>
    </xf>
    <xf numFmtId="10" fontId="2" fillId="12" borderId="1" xfId="0" applyNumberFormat="1" applyFont="1" applyFill="1" applyBorder="1"/>
    <xf numFmtId="0" fontId="48" fillId="0" borderId="0" xfId="0" applyFont="1" applyAlignment="1">
      <alignment horizontal="center" vertical="center"/>
    </xf>
    <xf numFmtId="0" fontId="37" fillId="16" borderId="15" xfId="0" applyFont="1" applyFill="1" applyBorder="1"/>
    <xf numFmtId="10" fontId="2" fillId="12" borderId="36" xfId="0" applyNumberFormat="1" applyFont="1" applyFill="1" applyBorder="1"/>
    <xf numFmtId="0" fontId="37" fillId="16" borderId="37" xfId="0" applyFont="1" applyFill="1" applyBorder="1"/>
    <xf numFmtId="10" fontId="2" fillId="12" borderId="22" xfId="0" applyNumberFormat="1" applyFont="1" applyFill="1" applyBorder="1"/>
    <xf numFmtId="166" fontId="27" fillId="0" borderId="0" xfId="0" applyNumberFormat="1" applyFont="1"/>
    <xf numFmtId="0" fontId="37" fillId="0" borderId="0" xfId="0" applyFont="1"/>
    <xf numFmtId="10" fontId="2" fillId="12" borderId="38" xfId="0" applyNumberFormat="1" applyFont="1" applyFill="1" applyBorder="1"/>
    <xf numFmtId="10" fontId="2" fillId="12" borderId="32" xfId="0" applyNumberFormat="1" applyFont="1" applyFill="1" applyBorder="1"/>
    <xf numFmtId="10" fontId="24" fillId="12" borderId="39" xfId="0" applyNumberFormat="1" applyFont="1" applyFill="1" applyBorder="1"/>
    <xf numFmtId="0" fontId="37" fillId="16" borderId="3" xfId="0" applyFont="1" applyFill="1" applyBorder="1"/>
    <xf numFmtId="10" fontId="24" fillId="12" borderId="32" xfId="0" applyNumberFormat="1" applyFont="1" applyFill="1" applyBorder="1"/>
    <xf numFmtId="0" fontId="57" fillId="19" borderId="0" xfId="0" applyFont="1" applyFill="1"/>
    <xf numFmtId="0" fontId="15" fillId="20" borderId="15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6" xfId="0" applyFont="1" applyBorder="1" applyAlignment="1">
      <alignment horizontal="right"/>
    </xf>
    <xf numFmtId="0" fontId="58" fillId="0" borderId="1" xfId="0" applyFont="1" applyBorder="1"/>
    <xf numFmtId="10" fontId="2" fillId="12" borderId="0" xfId="0" applyNumberFormat="1" applyFont="1" applyFill="1"/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10" fontId="2" fillId="12" borderId="40" xfId="0" applyNumberFormat="1" applyFont="1" applyFill="1" applyBorder="1"/>
    <xf numFmtId="9" fontId="1" fillId="0" borderId="0" xfId="1"/>
    <xf numFmtId="10" fontId="1" fillId="0" borderId="0" xfId="1" applyNumberFormat="1"/>
    <xf numFmtId="174" fontId="0" fillId="0" borderId="0" xfId="0" applyNumberFormat="1"/>
    <xf numFmtId="0" fontId="0" fillId="0" borderId="40" xfId="0" applyBorder="1"/>
    <xf numFmtId="10" fontId="1" fillId="0" borderId="40" xfId="1" applyNumberFormat="1" applyBorder="1"/>
    <xf numFmtId="0" fontId="0" fillId="0" borderId="0" xfId="0" applyAlignment="1">
      <alignment vertical="center"/>
    </xf>
    <xf numFmtId="0" fontId="63" fillId="22" borderId="0" xfId="0" applyFont="1" applyFill="1" applyAlignment="1">
      <alignment horizontal="center" vertical="center"/>
    </xf>
    <xf numFmtId="0" fontId="64" fillId="23" borderId="0" xfId="0" applyFont="1" applyFill="1"/>
    <xf numFmtId="0" fontId="63" fillId="22" borderId="0" xfId="0" applyFont="1" applyFill="1" applyAlignment="1">
      <alignment horizontal="left" vertical="center"/>
    </xf>
    <xf numFmtId="0" fontId="65" fillId="0" borderId="0" xfId="0" applyFont="1" applyAlignment="1">
      <alignment vertical="center"/>
    </xf>
    <xf numFmtId="0" fontId="0" fillId="0" borderId="37" xfId="0" applyBorder="1"/>
    <xf numFmtId="0" fontId="66" fillId="24" borderId="12" xfId="0" applyFont="1" applyFill="1" applyBorder="1" applyAlignment="1">
      <alignment horizontal="left" vertical="center"/>
    </xf>
    <xf numFmtId="10" fontId="67" fillId="25" borderId="14" xfId="0" applyNumberFormat="1" applyFont="1" applyFill="1" applyBorder="1" applyAlignment="1">
      <alignment horizontal="right" vertical="center"/>
    </xf>
    <xf numFmtId="0" fontId="68" fillId="0" borderId="1" xfId="0" applyFont="1" applyBorder="1" applyAlignment="1">
      <alignment vertical="center"/>
    </xf>
    <xf numFmtId="43" fontId="0" fillId="0" borderId="0" xfId="0" applyNumberFormat="1"/>
    <xf numFmtId="184" fontId="66" fillId="0" borderId="41" xfId="0" applyNumberFormat="1" applyFont="1" applyBorder="1" applyAlignment="1">
      <alignment horizontal="right" vertical="center"/>
    </xf>
    <xf numFmtId="0" fontId="66" fillId="24" borderId="15" xfId="0" applyFont="1" applyFill="1" applyBorder="1" applyAlignment="1">
      <alignment horizontal="left" vertical="center"/>
    </xf>
    <xf numFmtId="10" fontId="67" fillId="25" borderId="16" xfId="0" applyNumberFormat="1" applyFont="1" applyFill="1" applyBorder="1" applyAlignment="1">
      <alignment horizontal="right" vertical="center"/>
    </xf>
    <xf numFmtId="0" fontId="66" fillId="0" borderId="1" xfId="0" applyFont="1" applyBorder="1" applyAlignment="1">
      <alignment vertical="center"/>
    </xf>
    <xf numFmtId="166" fontId="66" fillId="0" borderId="1" xfId="0" applyNumberFormat="1" applyFont="1" applyBorder="1" applyAlignment="1">
      <alignment horizontal="right" vertical="center"/>
    </xf>
    <xf numFmtId="166" fontId="66" fillId="0" borderId="0" xfId="0" applyNumberFormat="1" applyFont="1" applyAlignment="1">
      <alignment horizontal="right" vertical="center"/>
    </xf>
    <xf numFmtId="10" fontId="0" fillId="0" borderId="13" xfId="0" applyNumberFormat="1" applyBorder="1"/>
    <xf numFmtId="0" fontId="66" fillId="24" borderId="11" xfId="0" applyFont="1" applyFill="1" applyBorder="1" applyAlignment="1">
      <alignment horizontal="left" vertical="center"/>
    </xf>
    <xf numFmtId="10" fontId="67" fillId="25" borderId="22" xfId="0" applyNumberFormat="1" applyFont="1" applyFill="1" applyBorder="1" applyAlignment="1">
      <alignment horizontal="right" vertical="center"/>
    </xf>
    <xf numFmtId="0" fontId="0" fillId="0" borderId="17" xfId="0" applyBorder="1"/>
    <xf numFmtId="0" fontId="0" fillId="0" borderId="3" xfId="0" applyBorder="1" applyAlignment="1">
      <alignment horizontal="left"/>
    </xf>
    <xf numFmtId="10" fontId="0" fillId="0" borderId="2" xfId="0" applyNumberFormat="1" applyBorder="1"/>
    <xf numFmtId="0" fontId="69" fillId="0" borderId="1" xfId="0" applyFont="1" applyBorder="1" applyAlignment="1">
      <alignment vertical="center"/>
    </xf>
    <xf numFmtId="166" fontId="69" fillId="0" borderId="1" xfId="0" applyNumberFormat="1" applyFont="1" applyBorder="1" applyAlignment="1">
      <alignment horizontal="right" vertical="center"/>
    </xf>
    <xf numFmtId="166" fontId="66" fillId="0" borderId="32" xfId="0" applyNumberFormat="1" applyFont="1" applyBorder="1" applyAlignment="1">
      <alignment horizontal="right" vertical="center"/>
    </xf>
    <xf numFmtId="0" fontId="66" fillId="0" borderId="0" xfId="0" applyFont="1" applyAlignment="1">
      <alignment horizontal="left" vertical="center"/>
    </xf>
    <xf numFmtId="10" fontId="67" fillId="0" borderId="0" xfId="0" applyNumberFormat="1" applyFont="1" applyAlignment="1">
      <alignment horizontal="right" vertical="center"/>
    </xf>
    <xf numFmtId="184" fontId="69" fillId="0" borderId="1" xfId="0" applyNumberFormat="1" applyFont="1" applyBorder="1" applyAlignment="1">
      <alignment horizontal="right" vertical="center"/>
    </xf>
    <xf numFmtId="184" fontId="66" fillId="0" borderId="0" xfId="0" applyNumberFormat="1" applyFont="1" applyAlignment="1">
      <alignment horizontal="right" vertical="center"/>
    </xf>
    <xf numFmtId="184" fontId="66" fillId="0" borderId="1" xfId="0" applyNumberFormat="1" applyFont="1" applyBorder="1" applyAlignment="1">
      <alignment horizontal="right" vertical="center"/>
    </xf>
    <xf numFmtId="184" fontId="66" fillId="0" borderId="38" xfId="0" applyNumberFormat="1" applyFont="1" applyBorder="1" applyAlignment="1">
      <alignment horizontal="right" vertical="center"/>
    </xf>
    <xf numFmtId="184" fontId="70" fillId="0" borderId="1" xfId="0" applyNumberFormat="1" applyFont="1" applyBorder="1" applyAlignment="1">
      <alignment horizontal="right" vertical="center"/>
    </xf>
    <xf numFmtId="184" fontId="66" fillId="0" borderId="32" xfId="0" applyNumberFormat="1" applyFont="1" applyBorder="1" applyAlignment="1">
      <alignment horizontal="right" vertical="center"/>
    </xf>
    <xf numFmtId="0" fontId="71" fillId="0" borderId="1" xfId="0" applyFont="1" applyBorder="1" applyAlignment="1">
      <alignment vertical="center"/>
    </xf>
    <xf numFmtId="0" fontId="72" fillId="26" borderId="1" xfId="0" applyFont="1" applyFill="1" applyBorder="1" applyAlignment="1">
      <alignment vertical="center"/>
    </xf>
    <xf numFmtId="184" fontId="70" fillId="26" borderId="1" xfId="0" applyNumberFormat="1" applyFont="1" applyFill="1" applyBorder="1" applyAlignment="1">
      <alignment horizontal="right" vertical="center"/>
    </xf>
    <xf numFmtId="184" fontId="66" fillId="26" borderId="1" xfId="0" applyNumberFormat="1" applyFont="1" applyFill="1" applyBorder="1" applyAlignment="1">
      <alignment horizontal="right" vertical="center"/>
    </xf>
    <xf numFmtId="0" fontId="72" fillId="0" borderId="1" xfId="0" applyFont="1" applyBorder="1" applyAlignment="1">
      <alignment vertical="center"/>
    </xf>
    <xf numFmtId="184" fontId="72" fillId="0" borderId="1" xfId="0" applyNumberFormat="1" applyFont="1" applyBorder="1" applyAlignment="1">
      <alignment horizontal="right" vertical="center"/>
    </xf>
    <xf numFmtId="184" fontId="72" fillId="0" borderId="0" xfId="0" applyNumberFormat="1" applyFont="1" applyAlignment="1">
      <alignment horizontal="right" vertical="center"/>
    </xf>
    <xf numFmtId="184" fontId="72" fillId="0" borderId="32" xfId="0" applyNumberFormat="1" applyFont="1" applyBorder="1" applyAlignment="1">
      <alignment horizontal="right" vertical="center"/>
    </xf>
    <xf numFmtId="184" fontId="72" fillId="27" borderId="0" xfId="0" applyNumberFormat="1" applyFont="1" applyFill="1" applyAlignment="1">
      <alignment horizontal="right" vertical="center"/>
    </xf>
    <xf numFmtId="0" fontId="73" fillId="0" borderId="0" xfId="0" applyFont="1" applyAlignment="1">
      <alignment horizontal="right" vertical="center"/>
    </xf>
    <xf numFmtId="2" fontId="66" fillId="0" borderId="1" xfId="0" applyNumberFormat="1" applyFont="1" applyBorder="1" applyAlignment="1">
      <alignment horizontal="right" vertical="center"/>
    </xf>
    <xf numFmtId="0" fontId="74" fillId="26" borderId="1" xfId="0" applyFont="1" applyFill="1" applyBorder="1" applyAlignment="1">
      <alignment vertical="center"/>
    </xf>
    <xf numFmtId="184" fontId="74" fillId="26" borderId="1" xfId="0" applyNumberFormat="1" applyFont="1" applyFill="1" applyBorder="1" applyAlignment="1">
      <alignment horizontal="right" vertical="center"/>
    </xf>
    <xf numFmtId="3" fontId="67" fillId="0" borderId="0" xfId="0" applyNumberFormat="1" applyFont="1" applyAlignment="1">
      <alignment horizontal="right" vertical="center"/>
    </xf>
    <xf numFmtId="0" fontId="70" fillId="0" borderId="1" xfId="0" applyFont="1" applyBorder="1" applyAlignment="1">
      <alignment vertical="center"/>
    </xf>
    <xf numFmtId="1" fontId="70" fillId="0" borderId="1" xfId="0" applyNumberFormat="1" applyFont="1" applyBorder="1" applyAlignment="1">
      <alignment horizontal="right" vertical="center"/>
    </xf>
    <xf numFmtId="4" fontId="70" fillId="0" borderId="1" xfId="0" applyNumberFormat="1" applyFont="1" applyBorder="1" applyAlignment="1">
      <alignment horizontal="right" vertical="center"/>
    </xf>
    <xf numFmtId="4" fontId="67" fillId="0" borderId="0" xfId="0" applyNumberFormat="1" applyFont="1" applyAlignment="1">
      <alignment horizontal="right" vertical="center"/>
    </xf>
    <xf numFmtId="0" fontId="74" fillId="0" borderId="1" xfId="0" applyFont="1" applyBorder="1" applyAlignment="1">
      <alignment vertical="center"/>
    </xf>
    <xf numFmtId="4" fontId="74" fillId="0" borderId="1" xfId="0" applyNumberFormat="1" applyFont="1" applyBorder="1" applyAlignment="1">
      <alignment horizontal="right" vertical="center"/>
    </xf>
    <xf numFmtId="0" fontId="76" fillId="0" borderId="0" xfId="0" applyFont="1"/>
    <xf numFmtId="0" fontId="80" fillId="0" borderId="19" xfId="0" applyFont="1" applyBorder="1"/>
    <xf numFmtId="4" fontId="81" fillId="0" borderId="19" xfId="0" applyNumberFormat="1" applyFont="1" applyBorder="1" applyAlignment="1">
      <alignment horizontal="center" vertical="center" wrapText="1"/>
    </xf>
    <xf numFmtId="3" fontId="81" fillId="0" borderId="19" xfId="0" applyNumberFormat="1" applyFont="1" applyBorder="1" applyAlignment="1">
      <alignment horizontal="center" vertical="center" wrapText="1"/>
    </xf>
    <xf numFmtId="170" fontId="81" fillId="0" borderId="19" xfId="0" applyNumberFormat="1" applyFont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0" fontId="78" fillId="30" borderId="20" xfId="0" applyFont="1" applyFill="1" applyBorder="1" applyAlignment="1">
      <alignment horizontal="center" vertical="center" wrapText="1"/>
    </xf>
    <xf numFmtId="0" fontId="78" fillId="30" borderId="19" xfId="0" applyFont="1" applyFill="1" applyBorder="1" applyAlignment="1">
      <alignment horizontal="center" vertical="center" wrapText="1"/>
    </xf>
    <xf numFmtId="0" fontId="83" fillId="0" borderId="19" xfId="0" applyFont="1" applyBorder="1" applyAlignment="1">
      <alignment horizontal="left" vertical="center" wrapText="1"/>
    </xf>
    <xf numFmtId="4" fontId="83" fillId="0" borderId="19" xfId="0" applyNumberFormat="1" applyFont="1" applyBorder="1" applyAlignment="1">
      <alignment horizontal="center" vertical="center" wrapText="1"/>
    </xf>
    <xf numFmtId="172" fontId="81" fillId="0" borderId="19" xfId="0" applyNumberFormat="1" applyFont="1" applyBorder="1" applyAlignment="1">
      <alignment horizontal="center" vertical="center" wrapText="1"/>
    </xf>
    <xf numFmtId="9" fontId="81" fillId="0" borderId="19" xfId="0" applyNumberFormat="1" applyFont="1" applyBorder="1" applyAlignment="1">
      <alignment horizontal="center" vertical="center" wrapText="1"/>
    </xf>
    <xf numFmtId="173" fontId="85" fillId="0" borderId="40" xfId="0" applyNumberFormat="1" applyFont="1" applyBorder="1" applyAlignment="1">
      <alignment horizontal="center" vertical="center" wrapText="1"/>
    </xf>
    <xf numFmtId="173" fontId="84" fillId="0" borderId="40" xfId="0" applyNumberFormat="1" applyFont="1" applyBorder="1" applyAlignment="1">
      <alignment horizontal="center" vertical="center" wrapText="1"/>
    </xf>
    <xf numFmtId="172" fontId="84" fillId="0" borderId="40" xfId="0" applyNumberFormat="1" applyFont="1" applyBorder="1" applyAlignment="1">
      <alignment horizontal="center" vertical="center" wrapText="1"/>
    </xf>
    <xf numFmtId="0" fontId="78" fillId="0" borderId="0" xfId="0" applyFont="1" applyAlignment="1">
      <alignment vertical="center" wrapText="1"/>
    </xf>
    <xf numFmtId="0" fontId="78" fillId="0" borderId="0" xfId="0" applyFont="1" applyAlignment="1">
      <alignment horizontal="center" vertical="center" wrapText="1"/>
    </xf>
    <xf numFmtId="0" fontId="68" fillId="0" borderId="0" xfId="0" applyFont="1" applyAlignment="1">
      <alignment vertical="center"/>
    </xf>
    <xf numFmtId="0" fontId="86" fillId="0" borderId="0" xfId="0" applyFont="1" applyAlignment="1">
      <alignment horizontal="left" vertical="center"/>
    </xf>
    <xf numFmtId="0" fontId="75" fillId="31" borderId="1" xfId="0" applyFont="1" applyFill="1" applyBorder="1" applyAlignment="1">
      <alignment vertical="center"/>
    </xf>
    <xf numFmtId="0" fontId="60" fillId="0" borderId="0" xfId="0" applyFont="1" applyAlignment="1">
      <alignment vertical="center"/>
    </xf>
    <xf numFmtId="0" fontId="89" fillId="0" borderId="0" xfId="0" applyFont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70" fillId="0" borderId="1" xfId="0" applyFont="1" applyBorder="1" applyAlignment="1">
      <alignment horizontal="left" vertical="center"/>
    </xf>
    <xf numFmtId="0" fontId="70" fillId="0" borderId="1" xfId="0" applyFont="1" applyBorder="1" applyAlignment="1">
      <alignment horizontal="center" vertical="center"/>
    </xf>
    <xf numFmtId="171" fontId="70" fillId="0" borderId="1" xfId="0" applyNumberFormat="1" applyFont="1" applyBorder="1" applyAlignment="1">
      <alignment horizontal="right" vertical="center"/>
    </xf>
    <xf numFmtId="0" fontId="74" fillId="0" borderId="1" xfId="0" applyFont="1" applyBorder="1" applyAlignment="1">
      <alignment horizontal="left" vertical="center"/>
    </xf>
    <xf numFmtId="0" fontId="74" fillId="0" borderId="1" xfId="0" applyFont="1" applyBorder="1" applyAlignment="1">
      <alignment horizontal="center" vertical="center"/>
    </xf>
    <xf numFmtId="2" fontId="70" fillId="0" borderId="1" xfId="0" applyNumberFormat="1" applyFont="1" applyBorder="1" applyAlignment="1">
      <alignment horizontal="right" vertical="center"/>
    </xf>
    <xf numFmtId="183" fontId="70" fillId="0" borderId="1" xfId="0" applyNumberFormat="1" applyFont="1" applyBorder="1" applyAlignment="1">
      <alignment horizontal="right" vertical="center"/>
    </xf>
    <xf numFmtId="0" fontId="17" fillId="31" borderId="1" xfId="0" applyFont="1" applyFill="1" applyBorder="1"/>
    <xf numFmtId="10" fontId="70" fillId="0" borderId="1" xfId="0" applyNumberFormat="1" applyFont="1" applyBorder="1" applyAlignment="1">
      <alignment horizontal="right" vertical="center"/>
    </xf>
    <xf numFmtId="0" fontId="91" fillId="0" borderId="38" xfId="0" applyFont="1" applyBorder="1" applyAlignment="1">
      <alignment horizontal="left" vertical="center"/>
    </xf>
    <xf numFmtId="10" fontId="89" fillId="0" borderId="38" xfId="0" applyNumberFormat="1" applyFont="1" applyBorder="1" applyAlignment="1">
      <alignment horizontal="right" vertical="center"/>
    </xf>
    <xf numFmtId="0" fontId="91" fillId="0" borderId="31" xfId="0" applyFont="1" applyBorder="1" applyAlignment="1">
      <alignment horizontal="left" vertical="center"/>
    </xf>
    <xf numFmtId="0" fontId="75" fillId="31" borderId="32" xfId="0" applyFont="1" applyFill="1" applyBorder="1" applyAlignment="1">
      <alignment vertical="center"/>
    </xf>
    <xf numFmtId="0" fontId="70" fillId="0" borderId="43" xfId="0" applyFont="1" applyBorder="1" applyAlignment="1">
      <alignment vertical="center"/>
    </xf>
    <xf numFmtId="0" fontId="70" fillId="0" borderId="44" xfId="0" applyFont="1" applyBorder="1" applyAlignment="1">
      <alignment horizontal="left" vertical="center"/>
    </xf>
    <xf numFmtId="0" fontId="70" fillId="0" borderId="45" xfId="0" applyFont="1" applyBorder="1" applyAlignment="1">
      <alignment horizontal="left" vertical="center"/>
    </xf>
    <xf numFmtId="0" fontId="75" fillId="31" borderId="46" xfId="0" applyFont="1" applyFill="1" applyBorder="1" applyAlignment="1">
      <alignment vertical="center"/>
    </xf>
    <xf numFmtId="0" fontId="75" fillId="31" borderId="47" xfId="0" applyFont="1" applyFill="1" applyBorder="1" applyAlignment="1">
      <alignment vertical="center"/>
    </xf>
    <xf numFmtId="0" fontId="68" fillId="0" borderId="48" xfId="0" applyFont="1" applyBorder="1" applyAlignment="1">
      <alignment vertical="center"/>
    </xf>
    <xf numFmtId="173" fontId="84" fillId="0" borderId="49" xfId="0" applyNumberFormat="1" applyFont="1" applyBorder="1" applyAlignment="1">
      <alignment vertical="center"/>
    </xf>
    <xf numFmtId="0" fontId="69" fillId="0" borderId="50" xfId="0" applyFont="1" applyBorder="1" applyAlignment="1">
      <alignment horizontal="left" vertical="center"/>
    </xf>
    <xf numFmtId="173" fontId="69" fillId="0" borderId="51" xfId="0" applyNumberFormat="1" applyFont="1" applyBorder="1" applyAlignment="1">
      <alignment horizontal="right" vertical="center"/>
    </xf>
    <xf numFmtId="0" fontId="66" fillId="0" borderId="1" xfId="0" applyFont="1" applyBorder="1" applyAlignment="1">
      <alignment horizontal="left" vertical="center"/>
    </xf>
    <xf numFmtId="10" fontId="89" fillId="0" borderId="52" xfId="0" applyNumberFormat="1" applyFont="1" applyBorder="1" applyAlignment="1">
      <alignment horizontal="right" vertical="center"/>
    </xf>
    <xf numFmtId="0" fontId="75" fillId="31" borderId="11" xfId="0" applyFont="1" applyFill="1" applyBorder="1" applyAlignment="1">
      <alignment vertical="center"/>
    </xf>
    <xf numFmtId="10" fontId="70" fillId="0" borderId="3" xfId="0" applyNumberFormat="1" applyFont="1" applyBorder="1" applyAlignment="1">
      <alignment horizontal="right" vertical="center"/>
    </xf>
    <xf numFmtId="183" fontId="70" fillId="0" borderId="3" xfId="0" applyNumberFormat="1" applyFont="1" applyBorder="1" applyAlignment="1">
      <alignment horizontal="right" vertical="center"/>
    </xf>
    <xf numFmtId="10" fontId="70" fillId="0" borderId="53" xfId="0" applyNumberFormat="1" applyFont="1" applyBorder="1" applyAlignment="1">
      <alignment vertical="center"/>
    </xf>
    <xf numFmtId="10" fontId="70" fillId="0" borderId="20" xfId="0" applyNumberFormat="1" applyFont="1" applyBorder="1" applyAlignment="1">
      <alignment horizontal="right" vertical="center"/>
    </xf>
    <xf numFmtId="10" fontId="70" fillId="0" borderId="54" xfId="0" applyNumberFormat="1" applyFont="1" applyBorder="1" applyAlignment="1">
      <alignment horizontal="right" vertical="center"/>
    </xf>
    <xf numFmtId="0" fontId="60" fillId="31" borderId="3" xfId="0" applyFont="1" applyFill="1" applyBorder="1" applyAlignment="1">
      <alignment vertical="center"/>
    </xf>
    <xf numFmtId="183" fontId="87" fillId="0" borderId="3" xfId="0" applyNumberFormat="1" applyFont="1" applyBorder="1" applyAlignment="1">
      <alignment horizontal="right" vertical="center"/>
    </xf>
    <xf numFmtId="183" fontId="66" fillId="0" borderId="3" xfId="0" applyNumberFormat="1" applyFont="1" applyBorder="1" applyAlignment="1">
      <alignment horizontal="right" vertical="center"/>
    </xf>
    <xf numFmtId="0" fontId="70" fillId="0" borderId="0" xfId="0" applyFont="1" applyAlignment="1">
      <alignment vertical="center"/>
    </xf>
    <xf numFmtId="0" fontId="88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165" fontId="12" fillId="6" borderId="0" xfId="0" applyNumberFormat="1" applyFont="1" applyFill="1" applyAlignment="1">
      <alignment horizontal="center"/>
    </xf>
    <xf numFmtId="0" fontId="77" fillId="8" borderId="0" xfId="0" applyFont="1" applyFill="1" applyAlignment="1">
      <alignment horizontal="center" vertical="center" wrapText="1"/>
    </xf>
    <xf numFmtId="0" fontId="84" fillId="0" borderId="40" xfId="0" applyFont="1" applyBorder="1" applyAlignment="1">
      <alignment horizontal="center" vertical="center" wrapText="1"/>
    </xf>
    <xf numFmtId="0" fontId="78" fillId="30" borderId="20" xfId="0" applyFont="1" applyFill="1" applyBorder="1" applyAlignment="1">
      <alignment horizontal="center" vertical="center" wrapText="1"/>
    </xf>
    <xf numFmtId="0" fontId="78" fillId="30" borderId="42" xfId="0" applyFont="1" applyFill="1" applyBorder="1" applyAlignment="1">
      <alignment horizontal="center" vertical="center" wrapText="1"/>
    </xf>
    <xf numFmtId="0" fontId="31" fillId="0" borderId="0" xfId="0" applyFont="1"/>
    <xf numFmtId="0" fontId="2" fillId="0" borderId="0" xfId="0" applyFont="1" applyAlignment="1">
      <alignment horizontal="center"/>
    </xf>
    <xf numFmtId="0" fontId="33" fillId="0" borderId="23" xfId="0" applyFont="1" applyBorder="1" applyAlignment="1">
      <alignment horizontal="center"/>
    </xf>
    <xf numFmtId="0" fontId="48" fillId="7" borderId="0" xfId="0" applyFont="1" applyFill="1"/>
    <xf numFmtId="0" fontId="19" fillId="0" borderId="1" xfId="0" applyFont="1" applyBorder="1" applyAlignment="1">
      <alignment horizontal="left"/>
    </xf>
    <xf numFmtId="0" fontId="0" fillId="0" borderId="0" xfId="0"/>
    <xf numFmtId="0" fontId="19" fillId="0" borderId="15" xfId="0" applyFont="1" applyBorder="1" applyAlignment="1">
      <alignment horizontal="center" vertical="center"/>
    </xf>
    <xf numFmtId="10" fontId="24" fillId="0" borderId="0" xfId="0" applyNumberFormat="1" applyFont="1" applyAlignment="1">
      <alignment horizontal="center"/>
    </xf>
    <xf numFmtId="0" fontId="53" fillId="7" borderId="1" xfId="0" applyFont="1" applyFill="1" applyBorder="1"/>
    <xf numFmtId="0" fontId="75" fillId="31" borderId="3" xfId="0" applyFont="1" applyFill="1" applyBorder="1" applyAlignment="1">
      <alignment horizontal="center" vertical="center"/>
    </xf>
    <xf numFmtId="0" fontId="75" fillId="31" borderId="37" xfId="0" applyFont="1" applyFill="1" applyBorder="1" applyAlignment="1">
      <alignment horizontal="center" vertical="center"/>
    </xf>
    <xf numFmtId="0" fontId="75" fillId="31" borderId="2" xfId="0" applyFont="1" applyFill="1" applyBorder="1" applyAlignment="1">
      <alignment horizontal="center" vertical="center"/>
    </xf>
    <xf numFmtId="0" fontId="59" fillId="21" borderId="0" xfId="0" applyFont="1" applyFill="1" applyAlignment="1">
      <alignment horizontal="left" vertical="center"/>
    </xf>
    <xf numFmtId="0" fontId="75" fillId="28" borderId="17" xfId="0" applyFont="1" applyFill="1" applyBorder="1" applyAlignment="1">
      <alignment horizontal="left" vertical="center"/>
    </xf>
    <xf numFmtId="0" fontId="3" fillId="3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left" vertical="center" wrapText="1"/>
    </xf>
    <xf numFmtId="0" fontId="92" fillId="0" borderId="0" xfId="0" applyFont="1"/>
    <xf numFmtId="0" fontId="75" fillId="33" borderId="3" xfId="0" applyFont="1" applyFill="1" applyBorder="1" applyAlignment="1">
      <alignment horizontal="center" vertical="center" wrapText="1"/>
    </xf>
    <xf numFmtId="0" fontId="93" fillId="34" borderId="4" xfId="0" applyFont="1" applyFill="1" applyBorder="1" applyAlignment="1">
      <alignment horizontal="center" vertical="center" wrapText="1"/>
    </xf>
    <xf numFmtId="0" fontId="93" fillId="34" borderId="5" xfId="0" applyFont="1" applyFill="1" applyBorder="1" applyAlignment="1">
      <alignment horizontal="center" vertical="center" wrapText="1"/>
    </xf>
    <xf numFmtId="0" fontId="93" fillId="34" borderId="6" xfId="0" applyFont="1" applyFill="1" applyBorder="1" applyAlignment="1">
      <alignment horizontal="center" vertical="center" wrapText="1"/>
    </xf>
    <xf numFmtId="0" fontId="94" fillId="33" borderId="1" xfId="0" applyFont="1" applyFill="1" applyBorder="1" applyAlignment="1">
      <alignment horizontal="center" vertical="center" wrapText="1"/>
    </xf>
    <xf numFmtId="0" fontId="93" fillId="34" borderId="51" xfId="0" applyFont="1" applyFill="1" applyBorder="1" applyAlignment="1">
      <alignment horizontal="center" vertical="center" wrapText="1"/>
    </xf>
    <xf numFmtId="0" fontId="93" fillId="34" borderId="55" xfId="0" applyFont="1" applyFill="1" applyBorder="1" applyAlignment="1">
      <alignment horizontal="center" vertical="center" wrapText="1"/>
    </xf>
    <xf numFmtId="0" fontId="93" fillId="34" borderId="50" xfId="0" applyFont="1" applyFill="1" applyBorder="1" applyAlignment="1">
      <alignment horizontal="center" vertical="center" wrapText="1"/>
    </xf>
    <xf numFmtId="0" fontId="93" fillId="34" borderId="56" xfId="0" applyFont="1" applyFill="1" applyBorder="1" applyAlignment="1">
      <alignment horizontal="center" vertical="center" wrapText="1"/>
    </xf>
    <xf numFmtId="0" fontId="93" fillId="34" borderId="57" xfId="0" applyFont="1" applyFill="1" applyBorder="1" applyAlignment="1">
      <alignment horizontal="center" vertical="center" wrapText="1"/>
    </xf>
    <xf numFmtId="0" fontId="93" fillId="34" borderId="58" xfId="0" applyFont="1" applyFill="1" applyBorder="1" applyAlignment="1">
      <alignment horizontal="center" vertical="center" wrapText="1"/>
    </xf>
    <xf numFmtId="0" fontId="93" fillId="34" borderId="59" xfId="0" applyFont="1" applyFill="1" applyBorder="1" applyAlignment="1">
      <alignment horizontal="center" vertical="center" wrapText="1"/>
    </xf>
    <xf numFmtId="0" fontId="93" fillId="34" borderId="60" xfId="0" applyFont="1" applyFill="1" applyBorder="1" applyAlignment="1">
      <alignment horizontal="center" vertical="center" wrapText="1"/>
    </xf>
    <xf numFmtId="0" fontId="95" fillId="31" borderId="3" xfId="0" applyFont="1" applyFill="1" applyBorder="1" applyAlignment="1">
      <alignment horizontal="center" vertical="center"/>
    </xf>
    <xf numFmtId="0" fontId="95" fillId="31" borderId="37" xfId="0" applyFont="1" applyFill="1" applyBorder="1" applyAlignment="1">
      <alignment horizontal="center" vertical="center"/>
    </xf>
    <xf numFmtId="0" fontId="95" fillId="31" borderId="2" xfId="0" applyFont="1" applyFill="1" applyBorder="1" applyAlignment="1">
      <alignment horizontal="center" vertical="center"/>
    </xf>
    <xf numFmtId="0" fontId="12" fillId="35" borderId="1" xfId="0" applyFont="1" applyFill="1" applyBorder="1"/>
    <xf numFmtId="164" fontId="12" fillId="35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9" fontId="11" fillId="0" borderId="1" xfId="0" applyNumberFormat="1" applyFont="1" applyBorder="1"/>
    <xf numFmtId="0" fontId="98" fillId="31" borderId="1" xfId="0" applyFont="1" applyFill="1" applyBorder="1" applyAlignment="1">
      <alignment horizontal="center" vertical="center"/>
    </xf>
    <xf numFmtId="0" fontId="12" fillId="35" borderId="1" xfId="0" applyFont="1" applyFill="1" applyBorder="1" applyAlignment="1">
      <alignment horizontal="center"/>
    </xf>
    <xf numFmtId="165" fontId="11" fillId="0" borderId="1" xfId="0" applyNumberFormat="1" applyFont="1" applyBorder="1"/>
    <xf numFmtId="9" fontId="0" fillId="0" borderId="1" xfId="0" applyNumberFormat="1" applyBorder="1"/>
    <xf numFmtId="165" fontId="12" fillId="4" borderId="1" xfId="0" applyNumberFormat="1" applyFont="1" applyFill="1" applyBorder="1"/>
    <xf numFmtId="165" fontId="12" fillId="5" borderId="1" xfId="0" applyNumberFormat="1" applyFont="1" applyFill="1" applyBorder="1"/>
    <xf numFmtId="10" fontId="0" fillId="0" borderId="1" xfId="0" applyNumberFormat="1" applyBorder="1"/>
    <xf numFmtId="164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0" fontId="11" fillId="0" borderId="1" xfId="0" applyNumberFormat="1" applyFont="1" applyBorder="1"/>
    <xf numFmtId="0" fontId="95" fillId="31" borderId="1" xfId="0" applyFont="1" applyFill="1" applyBorder="1" applyAlignment="1">
      <alignment horizontal="center" vertical="center"/>
    </xf>
    <xf numFmtId="0" fontId="97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 wrapText="1"/>
    </xf>
    <xf numFmtId="0" fontId="99" fillId="31" borderId="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left" vertical="center"/>
    </xf>
    <xf numFmtId="0" fontId="6" fillId="16" borderId="13" xfId="0" applyFont="1" applyFill="1" applyBorder="1" applyAlignment="1">
      <alignment horizontal="center" vertical="center"/>
    </xf>
    <xf numFmtId="0" fontId="96" fillId="16" borderId="13" xfId="0" applyFont="1" applyFill="1" applyBorder="1"/>
    <xf numFmtId="0" fontId="20" fillId="16" borderId="1" xfId="0" applyFont="1" applyFill="1" applyBorder="1" applyAlignment="1">
      <alignment horizontal="left" vertical="center"/>
    </xf>
    <xf numFmtId="0" fontId="17" fillId="16" borderId="15" xfId="0" applyFont="1" applyFill="1" applyBorder="1"/>
    <xf numFmtId="165" fontId="97" fillId="31" borderId="1" xfId="0" applyNumberFormat="1" applyFont="1" applyFill="1" applyBorder="1" applyAlignment="1">
      <alignment vertical="center"/>
    </xf>
    <xf numFmtId="165" fontId="97" fillId="31" borderId="1" xfId="0" applyNumberFormat="1" applyFont="1" applyFill="1" applyBorder="1" applyAlignment="1">
      <alignment horizontal="center" vertical="center"/>
    </xf>
    <xf numFmtId="165" fontId="97" fillId="31" borderId="17" xfId="0" applyNumberFormat="1" applyFont="1" applyFill="1" applyBorder="1" applyAlignment="1">
      <alignment horizontal="center"/>
    </xf>
    <xf numFmtId="164" fontId="12" fillId="35" borderId="1" xfId="0" applyNumberFormat="1" applyFont="1" applyFill="1" applyBorder="1"/>
    <xf numFmtId="0" fontId="100" fillId="29" borderId="1" xfId="0" applyFont="1" applyFill="1" applyBorder="1" applyAlignment="1">
      <alignment horizontal="center" vertical="center" wrapText="1"/>
    </xf>
    <xf numFmtId="0" fontId="101" fillId="7" borderId="19" xfId="0" applyFont="1" applyFill="1" applyBorder="1" applyAlignment="1">
      <alignment horizontal="center" wrapText="1"/>
    </xf>
    <xf numFmtId="0" fontId="81" fillId="0" borderId="19" xfId="0" applyFont="1" applyFill="1" applyBorder="1" applyAlignment="1">
      <alignment horizontal="left" vertical="center" wrapText="1"/>
    </xf>
    <xf numFmtId="4" fontId="81" fillId="0" borderId="19" xfId="0" applyNumberFormat="1" applyFont="1" applyFill="1" applyBorder="1" applyAlignment="1">
      <alignment horizontal="center" vertical="center" wrapText="1"/>
    </xf>
    <xf numFmtId="3" fontId="81" fillId="0" borderId="19" xfId="0" applyNumberFormat="1" applyFont="1" applyFill="1" applyBorder="1" applyAlignment="1">
      <alignment horizontal="center" vertical="center" wrapText="1"/>
    </xf>
    <xf numFmtId="170" fontId="81" fillId="0" borderId="19" xfId="0" applyNumberFormat="1" applyFont="1" applyFill="1" applyBorder="1" applyAlignment="1">
      <alignment horizontal="center" vertical="center" wrapText="1"/>
    </xf>
    <xf numFmtId="171" fontId="81" fillId="0" borderId="19" xfId="0" applyNumberFormat="1" applyFont="1" applyFill="1" applyBorder="1" applyAlignment="1">
      <alignment horizontal="center" vertical="center" wrapText="1"/>
    </xf>
    <xf numFmtId="1" fontId="81" fillId="0" borderId="19" xfId="0" applyNumberFormat="1" applyFont="1" applyFill="1" applyBorder="1" applyAlignment="1">
      <alignment horizontal="center" vertical="center" wrapText="1"/>
    </xf>
    <xf numFmtId="0" fontId="76" fillId="0" borderId="19" xfId="0" applyFont="1" applyFill="1" applyBorder="1"/>
    <xf numFmtId="0" fontId="79" fillId="0" borderId="19" xfId="0" applyFont="1" applyFill="1" applyBorder="1" applyAlignment="1">
      <alignment horizontal="left" vertical="center" wrapText="1"/>
    </xf>
    <xf numFmtId="4" fontId="80" fillId="0" borderId="19" xfId="0" applyNumberFormat="1" applyFont="1" applyFill="1" applyBorder="1" applyAlignment="1">
      <alignment horizontal="center" vertical="center" wrapText="1"/>
    </xf>
    <xf numFmtId="170" fontId="80" fillId="0" borderId="19" xfId="0" applyNumberFormat="1" applyFont="1" applyFill="1" applyBorder="1" applyAlignment="1">
      <alignment horizontal="center" vertical="center" wrapText="1"/>
    </xf>
    <xf numFmtId="171" fontId="80" fillId="0" borderId="19" xfId="0" applyNumberFormat="1" applyFont="1" applyFill="1" applyBorder="1" applyAlignment="1">
      <alignment horizontal="center" vertical="center" wrapText="1"/>
    </xf>
    <xf numFmtId="10" fontId="80" fillId="0" borderId="19" xfId="0" applyNumberFormat="1" applyFont="1" applyFill="1" applyBorder="1" applyAlignment="1">
      <alignment horizontal="center" vertical="center" wrapText="1"/>
    </xf>
    <xf numFmtId="3" fontId="80" fillId="0" borderId="19" xfId="0" applyNumberFormat="1" applyFont="1" applyFill="1" applyBorder="1" applyAlignment="1">
      <alignment horizontal="center" vertical="center" wrapText="1"/>
    </xf>
    <xf numFmtId="1" fontId="83" fillId="10" borderId="19" xfId="0" applyNumberFormat="1" applyFont="1" applyFill="1" applyBorder="1" applyAlignment="1">
      <alignment horizontal="center" vertical="center" wrapText="1"/>
    </xf>
    <xf numFmtId="0" fontId="83" fillId="10" borderId="19" xfId="0" applyFont="1" applyFill="1" applyBorder="1" applyAlignment="1">
      <alignment horizontal="left" vertical="center" wrapText="1"/>
    </xf>
    <xf numFmtId="4" fontId="83" fillId="10" borderId="19" xfId="0" applyNumberFormat="1" applyFont="1" applyFill="1" applyBorder="1" applyAlignment="1">
      <alignment horizontal="center" vertical="center" wrapText="1"/>
    </xf>
    <xf numFmtId="3" fontId="83" fillId="10" borderId="19" xfId="0" applyNumberFormat="1" applyFont="1" applyFill="1" applyBorder="1" applyAlignment="1">
      <alignment horizontal="center" vertical="center" wrapText="1"/>
    </xf>
    <xf numFmtId="170" fontId="83" fillId="10" borderId="19" xfId="0" applyNumberFormat="1" applyFont="1" applyFill="1" applyBorder="1" applyAlignment="1">
      <alignment horizontal="center" vertical="center" wrapText="1"/>
    </xf>
    <xf numFmtId="171" fontId="83" fillId="10" borderId="19" xfId="0" applyNumberFormat="1" applyFont="1" applyFill="1" applyBorder="1" applyAlignment="1">
      <alignment horizontal="center" vertical="center" wrapText="1"/>
    </xf>
    <xf numFmtId="0" fontId="36" fillId="31" borderId="1" xfId="0" applyFont="1" applyFill="1" applyBorder="1" applyAlignment="1">
      <alignment horizontal="center" vertical="center"/>
    </xf>
    <xf numFmtId="0" fontId="51" fillId="31" borderId="1" xfId="0" applyFont="1" applyFill="1" applyBorder="1" applyAlignment="1">
      <alignment horizontal="left" vertical="center"/>
    </xf>
    <xf numFmtId="0" fontId="51" fillId="31" borderId="1" xfId="0" applyFont="1" applyFill="1" applyBorder="1" applyAlignment="1">
      <alignment horizontal="center" vertical="center"/>
    </xf>
    <xf numFmtId="0" fontId="102" fillId="36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7" fillId="31" borderId="1" xfId="0" applyFont="1" applyFill="1" applyBorder="1" applyAlignment="1">
      <alignment vertical="center"/>
    </xf>
    <xf numFmtId="0" fontId="37" fillId="31" borderId="1" xfId="0" applyFont="1" applyFill="1" applyBorder="1" applyAlignment="1">
      <alignment horizontal="left" vertical="center" indent="1"/>
    </xf>
    <xf numFmtId="0" fontId="37" fillId="31" borderId="1" xfId="0" applyFont="1" applyFill="1" applyBorder="1" applyAlignment="1">
      <alignment horizontal="left" vertical="center"/>
    </xf>
    <xf numFmtId="0" fontId="37" fillId="31" borderId="1" xfId="0" applyFont="1" applyFill="1" applyBorder="1" applyAlignment="1">
      <alignment horizontal="right" vertical="center" wrapText="1"/>
    </xf>
    <xf numFmtId="0" fontId="28" fillId="31" borderId="31" xfId="0" applyFont="1" applyFill="1" applyBorder="1" applyAlignment="1">
      <alignment horizontal="center" vertical="center"/>
    </xf>
    <xf numFmtId="0" fontId="36" fillId="36" borderId="1" xfId="0" applyFont="1" applyFill="1" applyBorder="1" applyAlignment="1">
      <alignment horizontal="center" vertical="center"/>
    </xf>
    <xf numFmtId="0" fontId="52" fillId="29" borderId="1" xfId="0" applyFont="1" applyFill="1" applyBorder="1" applyAlignment="1">
      <alignment horizontal="left" vertical="center"/>
    </xf>
    <xf numFmtId="0" fontId="0" fillId="29" borderId="1" xfId="0" applyFill="1" applyBorder="1"/>
    <xf numFmtId="0" fontId="103" fillId="36" borderId="3" xfId="0" applyFont="1" applyFill="1" applyBorder="1" applyAlignment="1">
      <alignment horizontal="center" vertical="center"/>
    </xf>
    <xf numFmtId="0" fontId="25" fillId="0" borderId="0" xfId="0" applyFont="1" applyFill="1" applyAlignment="1"/>
    <xf numFmtId="0" fontId="104" fillId="29" borderId="1" xfId="0" applyFont="1" applyFill="1" applyBorder="1" applyAlignment="1">
      <alignment horizontal="center" vertical="center"/>
    </xf>
    <xf numFmtId="0" fontId="105" fillId="37" borderId="1" xfId="0" applyFont="1" applyFill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106" fillId="31" borderId="1" xfId="0" applyFont="1" applyFill="1" applyBorder="1" applyAlignment="1">
      <alignment horizontal="center" vertical="center"/>
    </xf>
    <xf numFmtId="0" fontId="107" fillId="38" borderId="0" xfId="0" applyFont="1" applyFill="1" applyAlignment="1">
      <alignment vertical="center"/>
    </xf>
    <xf numFmtId="0" fontId="107" fillId="38" borderId="0" xfId="0" applyFont="1" applyFill="1" applyAlignment="1">
      <alignment horizontal="center" vertical="center"/>
    </xf>
    <xf numFmtId="0" fontId="17" fillId="31" borderId="0" xfId="0" applyFont="1" applyFill="1"/>
  </cellXfs>
  <cellStyles count="2">
    <cellStyle name="Normal" xfId="0" builtinId="0"/>
    <cellStyle name="Percent" xfId="1" builtinId="5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7F7F7"/>
      <rgbColor rgb="FFD6E4F0"/>
      <rgbColor rgb="FF006400"/>
      <rgbColor rgb="FF008000"/>
      <rgbColor rgb="FF1F3864"/>
      <rgbColor rgb="FF375623"/>
      <rgbColor rgb="FF2F5496"/>
      <rgbColor rgb="FF227A8F"/>
      <rgbColor rgb="FFBFBFBF"/>
      <rgbColor rgb="FF808080"/>
      <rgbColor rgb="FFD6DCE4"/>
      <rgbColor rgb="FF7D3C4A"/>
      <rgbColor rgb="FFFFF2CC"/>
      <rgbColor rgb="FFEBF3FB"/>
      <rgbColor rgb="FF1F4E79"/>
      <rgbColor rgb="FFF3A276"/>
      <rgbColor rgb="FF0275D8"/>
      <rgbColor rgb="FFBDD7EE"/>
      <rgbColor rgb="FF2B4A76"/>
      <rgbColor rgb="FFF8F8FC"/>
      <rgbColor rgb="FFEDEDED"/>
      <rgbColor rgb="FFD9E1F2"/>
      <rgbColor rgb="FF16515F"/>
      <rgbColor rgb="FF006600"/>
      <rgbColor rgb="FF2E75B6"/>
      <rgbColor rgb="FF0000CC"/>
      <rgbColor rgb="FFD4DFEF"/>
      <rgbColor rgb="FFEBF0FA"/>
      <rgbColor rgb="FFC6EFCE"/>
      <rgbColor rgb="FFE2EFDA"/>
      <rgbColor rgb="FF7ACBE0"/>
      <rgbColor rgb="FFD9D9D9"/>
      <rgbColor rgb="FFD8D8D8"/>
      <rgbColor rgb="FFFCE4D6"/>
      <rgbColor rgb="FF2E74B5"/>
      <rgbColor rgb="FF33994F"/>
      <rgbColor rgb="FF92D050"/>
      <rgbColor rgb="FFDDDDDD"/>
      <rgbColor rgb="FFFF8119"/>
      <rgbColor rgb="FFDAE2F3"/>
      <rgbColor rgb="FF5B5C5D"/>
      <rgbColor rgb="FF999999"/>
      <rgbColor rgb="FF002060"/>
      <rgbColor rgb="FF32996A"/>
      <rgbColor rgb="FF0F0F0F"/>
      <rgbColor rgb="FF21232B"/>
      <rgbColor rgb="FF833C00"/>
      <rgbColor rgb="FFDA1F28"/>
      <rgbColor rgb="FF24316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2000" b="0" strike="noStrike" spc="-1">
                <a:solidFill>
                  <a:srgbClr val="595959"/>
                </a:solidFill>
                <a:latin typeface="Cambria"/>
              </a:defRPr>
            </a:pPr>
            <a:r>
              <a:rPr lang="en-IN" sz="2000" b="0" strike="noStrike" spc="-1">
                <a:solidFill>
                  <a:srgbClr val="595959"/>
                </a:solidFill>
                <a:latin typeface="Cambria"/>
              </a:rPr>
              <a:t>Sale Growth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Forecasting!$D$4</c:f>
              <c:strCache>
                <c:ptCount val="1"/>
                <c:pt idx="0">
                  <c:v>Sales (INR Cr.)</c:v>
                </c:pt>
              </c:strCache>
            </c:strRef>
          </c:tx>
          <c:spPr>
            <a:solidFill>
              <a:srgbClr val="2DA2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Forecasting!$B$5:$C$14</c:f>
              <c:multiLvlStrCache>
                <c:ptCount val="10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2029</c:v>
                  </c:pt>
                  <c:pt idx="8">
                    <c:v>2030</c:v>
                  </c:pt>
                  <c:pt idx="9">
                    <c:v>2031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Forecasting!$D$5:$D$14</c:f>
              <c:numCache>
                <c:formatCode>#,##0.00;\(#,##0.00\);\-</c:formatCode>
                <c:ptCount val="10"/>
                <c:pt idx="0">
                  <c:v>10888.68</c:v>
                </c:pt>
                <c:pt idx="1">
                  <c:v>11529.89</c:v>
                </c:pt>
                <c:pt idx="2">
                  <c:v>12404.01</c:v>
                </c:pt>
                <c:pt idx="3">
                  <c:v>12563.09</c:v>
                </c:pt>
                <c:pt idx="4">
                  <c:v>13192.57</c:v>
                </c:pt>
                <c:pt idx="5">
                  <c:v>13807.941999999999</c:v>
                </c:pt>
                <c:pt idx="6">
                  <c:v>14372.039999999999</c:v>
                </c:pt>
                <c:pt idx="7">
                  <c:v>14936.137999999999</c:v>
                </c:pt>
                <c:pt idx="8">
                  <c:v>15500.235999999999</c:v>
                </c:pt>
                <c:pt idx="9">
                  <c:v>16064.333999999999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A-4B6A-9504-E1C6A166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83784417"/>
        <c:axId val="52407030"/>
      </c:barChart>
      <c:lineChart>
        <c:grouping val="standard"/>
        <c:varyColors val="0"/>
        <c:ser>
          <c:idx val="1"/>
          <c:order val="1"/>
          <c:tx>
            <c:strRef>
              <c:f>Forecasting!$E$4</c:f>
              <c:strCache>
                <c:ptCount val="1"/>
                <c:pt idx="0">
                  <c:v>Sales Growth</c:v>
                </c:pt>
              </c:strCache>
            </c:strRef>
          </c:tx>
          <c:spPr>
            <a:ln w="38160" cap="rnd">
              <a:solidFill>
                <a:srgbClr val="DA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Forecasting!$B$5:$C$14</c:f>
              <c:multiLvlStrCache>
                <c:ptCount val="10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2029</c:v>
                  </c:pt>
                  <c:pt idx="8">
                    <c:v>2030</c:v>
                  </c:pt>
                  <c:pt idx="9">
                    <c:v>2031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Forecasting!$E$5:$E$14</c:f>
              <c:numCache>
                <c:formatCode>0.0%;\(0.0%\);\-</c:formatCode>
                <c:ptCount val="10"/>
                <c:pt idx="1">
                  <c:v>5.8887762336665261E-2</c:v>
                </c:pt>
                <c:pt idx="2">
                  <c:v>7.5813385903941821E-2</c:v>
                </c:pt>
                <c:pt idx="3">
                  <c:v>1.2824884855784591E-2</c:v>
                </c:pt>
                <c:pt idx="4">
                  <c:v>5.0105507482633538E-2</c:v>
                </c:pt>
                <c:pt idx="5">
                  <c:v>4.6645346585237002E-2</c:v>
                </c:pt>
                <c:pt idx="6">
                  <c:v>4.0853155379708239E-2</c:v>
                </c:pt>
                <c:pt idx="7">
                  <c:v>3.9249682021480492E-2</c:v>
                </c:pt>
                <c:pt idx="8">
                  <c:v>3.7767326466854989E-2</c:v>
                </c:pt>
                <c:pt idx="9">
                  <c:v>3.6392865244116335E-2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A-4B6A-9504-E1C6A166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44388"/>
        <c:axId val="69262990"/>
      </c:lineChart>
      <c:catAx>
        <c:axId val="837844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2407030"/>
        <c:crosses val="autoZero"/>
        <c:auto val="1"/>
        <c:lblAlgn val="ctr"/>
        <c:lblOffset val="100"/>
        <c:noMultiLvlLbl val="0"/>
      </c:catAx>
      <c:valAx>
        <c:axId val="524070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;\-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3784417"/>
        <c:crosses val="autoZero"/>
        <c:crossBetween val="between"/>
      </c:valAx>
      <c:catAx>
        <c:axId val="38443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262990"/>
        <c:crosses val="autoZero"/>
        <c:auto val="1"/>
        <c:lblAlgn val="ctr"/>
        <c:lblOffset val="100"/>
        <c:noMultiLvlLbl val="0"/>
      </c:catAx>
      <c:valAx>
        <c:axId val="6926299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844388"/>
        <c:crosses val="max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71550</xdr:colOff>
      <xdr:row>28</xdr:row>
      <xdr:rowOff>136319</xdr:rowOff>
    </xdr:from>
    <xdr:to>
      <xdr:col>3</xdr:col>
      <xdr:colOff>146581</xdr:colOff>
      <xdr:row>47</xdr:row>
      <xdr:rowOff>61650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1550" y="6226073"/>
          <a:ext cx="6164785" cy="328770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1197131</xdr:colOff>
      <xdr:row>1</xdr:row>
      <xdr:rowOff>83278</xdr:rowOff>
    </xdr:from>
    <xdr:to>
      <xdr:col>2</xdr:col>
      <xdr:colOff>2779427</xdr:colOff>
      <xdr:row>1</xdr:row>
      <xdr:rowOff>3064333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AD0C2-DC1E-A6A1-A219-6616A85C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688" y="499671"/>
          <a:ext cx="3424837" cy="2981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32040</xdr:rowOff>
    </xdr:from>
    <xdr:to>
      <xdr:col>13</xdr:col>
      <xdr:colOff>313200</xdr:colOff>
      <xdr:row>18</xdr:row>
      <xdr:rowOff>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2040"/>
          <a:ext cx="8735040" cy="3240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9720</xdr:colOff>
      <xdr:row>10</xdr:row>
      <xdr:rowOff>1080</xdr:rowOff>
    </xdr:from>
    <xdr:to>
      <xdr:col>20</xdr:col>
      <xdr:colOff>15840</xdr:colOff>
      <xdr:row>20</xdr:row>
      <xdr:rowOff>129240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03880" y="2163240"/>
          <a:ext cx="4875120" cy="184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536400</xdr:colOff>
      <xdr:row>15</xdr:row>
      <xdr:rowOff>111960</xdr:rowOff>
    </xdr:from>
    <xdr:to>
      <xdr:col>10</xdr:col>
      <xdr:colOff>371880</xdr:colOff>
      <xdr:row>29</xdr:row>
      <xdr:rowOff>142200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bur_India_DCF_Valuation-NAINA.xlsx" TargetMode="External"/><Relationship Id="rId2" Type="http://schemas.openxmlformats.org/officeDocument/2006/relationships/externalLinkPath" Target="file:///C:\Users\naina\Downloads\Dabur_India_DCF_Valuation-NAINA.xlsx" TargetMode="External"/><Relationship Id="rId1" Type="http://schemas.openxmlformats.org/officeDocument/2006/relationships/externalLinkPath" Target="/Users/naina/Downloads/Dabur_India_DCF_Valuation-NA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any Overview"/>
      <sheetName val="Promoters"/>
      <sheetName val="Public"/>
      <sheetName val="Balance Sheet"/>
      <sheetName val="Profit &amp; Loss"/>
      <sheetName val="Quarters"/>
      <sheetName val="Cash Flow"/>
      <sheetName val="Stock Analysis"/>
      <sheetName val="Ratio Analysis"/>
      <sheetName val="Data Sheet"/>
      <sheetName val="Peer Comps"/>
      <sheetName val="Fixed Asset Schedule"/>
      <sheetName val="Changes in Working Capital"/>
      <sheetName val="Beta Calculation"/>
      <sheetName val="Rm"/>
      <sheetName val="WACC"/>
      <sheetName val="FCFF"/>
      <sheetName val="Assumptions"/>
      <sheetName val="HistoricalFS"/>
      <sheetName val="Forecasting"/>
      <sheetName val="Growth Scenarios"/>
      <sheetName val="DCF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G7">
            <v>83.039999999999964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/>
        </a:gradFill>
        <a:blipFill rotWithShape="1">
          <a:srcRect/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d.docs.live.net/Dividend%20Yield" TargetMode="External"/><Relationship Id="rId1" Type="http://schemas.openxmlformats.org/officeDocument/2006/relationships/hyperlink" Target="https://primeinvestor.in/nifty-50-returns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COLPAL/" TargetMode="External"/><Relationship Id="rId2" Type="http://schemas.openxmlformats.org/officeDocument/2006/relationships/hyperlink" Target="https://www.screener.in/company/DABUR/consolidated/" TargetMode="External"/><Relationship Id="rId1" Type="http://schemas.openxmlformats.org/officeDocument/2006/relationships/hyperlink" Target="https://www.screener.in/company/GODREJCP/consolidated/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w.screener.in/company/GILLETTE/" TargetMode="External"/><Relationship Id="rId4" Type="http://schemas.openxmlformats.org/officeDocument/2006/relationships/hyperlink" Target="https://www.screener.in/company/PGHH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7"/>
  <sheetViews>
    <sheetView showGridLines="0" zoomScale="61" zoomScaleNormal="61" workbookViewId="0">
      <selection activeCell="B1" sqref="B1:C1"/>
    </sheetView>
  </sheetViews>
  <sheetFormatPr defaultColWidth="8.6328125" defaultRowHeight="14" x14ac:dyDescent="0.3"/>
  <cols>
    <col min="1" max="1" width="2.36328125" style="2" customWidth="1"/>
    <col min="2" max="2" width="26.36328125" style="3" customWidth="1"/>
    <col min="3" max="3" width="58.36328125" style="3" customWidth="1"/>
    <col min="4" max="16384" width="8.6328125" style="2"/>
  </cols>
  <sheetData>
    <row r="1" spans="2:3" ht="33" customHeight="1" x14ac:dyDescent="0.3">
      <c r="B1" s="401" t="s">
        <v>0</v>
      </c>
      <c r="C1" s="401"/>
    </row>
    <row r="2" spans="2:3" ht="261" customHeight="1" x14ac:dyDescent="0.35">
      <c r="B2" s="403" t="s">
        <v>1</v>
      </c>
      <c r="C2" s="4"/>
    </row>
    <row r="3" spans="2:3" s="5" customFormat="1" ht="19.5" customHeight="1" x14ac:dyDescent="0.35">
      <c r="B3" s="402" t="s">
        <v>2</v>
      </c>
      <c r="C3" s="402" t="s">
        <v>3</v>
      </c>
    </row>
    <row r="4" spans="2:3" ht="13.5" customHeight="1" x14ac:dyDescent="0.3">
      <c r="B4" s="6" t="s">
        <v>4</v>
      </c>
      <c r="C4" s="6" t="s">
        <v>5</v>
      </c>
    </row>
    <row r="5" spans="2:3" ht="13.5" customHeight="1" x14ac:dyDescent="0.3">
      <c r="B5" s="6" t="s">
        <v>6</v>
      </c>
      <c r="C5" s="6" t="s">
        <v>7</v>
      </c>
    </row>
    <row r="6" spans="2:3" ht="13.5" customHeight="1" x14ac:dyDescent="0.3">
      <c r="B6" s="6" t="s">
        <v>8</v>
      </c>
      <c r="C6" s="6">
        <v>1884</v>
      </c>
    </row>
    <row r="7" spans="2:3" ht="13.5" customHeight="1" x14ac:dyDescent="0.3">
      <c r="B7" s="6" t="s">
        <v>9</v>
      </c>
      <c r="C7" s="6" t="s">
        <v>10</v>
      </c>
    </row>
    <row r="8" spans="2:3" ht="13.5" customHeight="1" x14ac:dyDescent="0.3">
      <c r="B8" s="6" t="s">
        <v>11</v>
      </c>
      <c r="C8" s="6" t="s">
        <v>12</v>
      </c>
    </row>
    <row r="9" spans="2:3" ht="27.75" customHeight="1" x14ac:dyDescent="0.3">
      <c r="B9" s="6" t="s">
        <v>13</v>
      </c>
      <c r="C9" s="6" t="s">
        <v>14</v>
      </c>
    </row>
    <row r="10" spans="2:3" ht="26.25" customHeight="1" x14ac:dyDescent="0.3">
      <c r="B10" s="6" t="s">
        <v>15</v>
      </c>
      <c r="C10" s="6" t="s">
        <v>16</v>
      </c>
    </row>
    <row r="11" spans="2:3" ht="13.5" customHeight="1" x14ac:dyDescent="0.3">
      <c r="B11" s="6" t="s">
        <v>17</v>
      </c>
      <c r="C11" s="6" t="s">
        <v>18</v>
      </c>
    </row>
    <row r="12" spans="2:3" ht="13.5" customHeight="1" x14ac:dyDescent="0.3">
      <c r="B12" s="6" t="s">
        <v>19</v>
      </c>
      <c r="C12" s="6" t="s">
        <v>20</v>
      </c>
    </row>
    <row r="13" spans="2:3" ht="27.75" customHeight="1" x14ac:dyDescent="0.3">
      <c r="B13" s="6" t="s">
        <v>21</v>
      </c>
      <c r="C13" s="6" t="s">
        <v>22</v>
      </c>
    </row>
    <row r="14" spans="2:3" ht="13.5" customHeight="1" x14ac:dyDescent="0.3">
      <c r="B14" s="6" t="s">
        <v>23</v>
      </c>
      <c r="C14" s="6" t="s">
        <v>24</v>
      </c>
    </row>
    <row r="15" spans="2:3" ht="13.5" customHeight="1" x14ac:dyDescent="0.3">
      <c r="B15" s="6" t="s">
        <v>25</v>
      </c>
      <c r="C15" s="6" t="s">
        <v>26</v>
      </c>
    </row>
    <row r="16" spans="2:3" ht="13.5" customHeight="1" x14ac:dyDescent="0.3">
      <c r="B16" s="6" t="s">
        <v>27</v>
      </c>
      <c r="C16" s="6" t="s">
        <v>28</v>
      </c>
    </row>
    <row r="17" spans="2:3" ht="13.5" customHeight="1" x14ac:dyDescent="0.3">
      <c r="B17" s="6" t="s">
        <v>29</v>
      </c>
      <c r="C17" s="6" t="s">
        <v>30</v>
      </c>
    </row>
    <row r="18" spans="2:3" ht="13.5" customHeight="1" x14ac:dyDescent="0.3">
      <c r="B18" s="6" t="s">
        <v>31</v>
      </c>
      <c r="C18" s="6" t="s">
        <v>32</v>
      </c>
    </row>
    <row r="19" spans="2:3" ht="27.75" customHeight="1" x14ac:dyDescent="0.3">
      <c r="B19" s="6" t="s">
        <v>33</v>
      </c>
      <c r="C19" s="7">
        <v>0.17199999999999999</v>
      </c>
    </row>
    <row r="20" spans="2:3" ht="13.5" customHeight="1" x14ac:dyDescent="0.3">
      <c r="B20" s="6" t="s">
        <v>34</v>
      </c>
      <c r="C20" s="6" t="s">
        <v>35</v>
      </c>
    </row>
    <row r="21" spans="2:3" ht="13.5" customHeight="1" x14ac:dyDescent="0.3">
      <c r="B21" s="6" t="s">
        <v>36</v>
      </c>
      <c r="C21" s="6" t="s">
        <v>37</v>
      </c>
    </row>
    <row r="22" spans="2:3" ht="13.5" customHeight="1" x14ac:dyDescent="0.3">
      <c r="B22" s="6" t="s">
        <v>38</v>
      </c>
      <c r="C22" s="6" t="s">
        <v>39</v>
      </c>
    </row>
    <row r="23" spans="2:3" ht="13.5" customHeight="1" x14ac:dyDescent="0.3">
      <c r="B23" s="6" t="s">
        <v>40</v>
      </c>
      <c r="C23" s="6" t="s">
        <v>41</v>
      </c>
    </row>
    <row r="24" spans="2:3" ht="13.5" customHeight="1" x14ac:dyDescent="0.3">
      <c r="B24" s="6" t="s">
        <v>42</v>
      </c>
      <c r="C24" s="6" t="s">
        <v>43</v>
      </c>
    </row>
    <row r="25" spans="2:3" ht="27.75" customHeight="1" x14ac:dyDescent="0.3">
      <c r="B25" s="6" t="s">
        <v>44</v>
      </c>
      <c r="C25" s="6" t="s">
        <v>45</v>
      </c>
    </row>
    <row r="27" spans="2:3" ht="13.5" customHeight="1" x14ac:dyDescent="0.3">
      <c r="B27" s="8" t="s">
        <v>46</v>
      </c>
      <c r="C27" s="9" t="s">
        <v>47</v>
      </c>
    </row>
  </sheetData>
  <mergeCells count="1">
    <mergeCell ref="B1:C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8"/>
  <sheetViews>
    <sheetView showGridLines="0" zoomScale="95" zoomScaleNormal="95" workbookViewId="0">
      <selection activeCell="I4" sqref="I4"/>
    </sheetView>
  </sheetViews>
  <sheetFormatPr defaultColWidth="8.7265625" defaultRowHeight="14" x14ac:dyDescent="0.3"/>
  <cols>
    <col min="1" max="1" width="3.81640625" style="2" customWidth="1"/>
    <col min="2" max="2" width="17.1796875" style="2" customWidth="1"/>
    <col min="3" max="3" width="18.7265625" style="2" customWidth="1"/>
    <col min="4" max="4" width="9.54296875" style="2" customWidth="1"/>
    <col min="5" max="5" width="4.1796875" style="2" customWidth="1"/>
    <col min="6" max="16384" width="8.7265625" style="2"/>
  </cols>
  <sheetData>
    <row r="2" spans="2:5" ht="27.75" customHeight="1" x14ac:dyDescent="0.3">
      <c r="B2" s="404" t="s">
        <v>48</v>
      </c>
      <c r="C2" s="404"/>
      <c r="D2" s="404"/>
      <c r="E2" s="404"/>
    </row>
    <row r="3" spans="2:5" ht="29.25" customHeight="1" x14ac:dyDescent="0.3">
      <c r="B3" s="405" t="s">
        <v>49</v>
      </c>
      <c r="C3" s="405" t="s">
        <v>50</v>
      </c>
      <c r="D3" s="406" t="s">
        <v>51</v>
      </c>
      <c r="E3" s="406"/>
    </row>
    <row r="4" spans="2:5" ht="13.5" customHeight="1" x14ac:dyDescent="0.3">
      <c r="B4" s="405"/>
      <c r="C4" s="405"/>
      <c r="D4" s="407" t="s">
        <v>52</v>
      </c>
      <c r="E4" s="407" t="s">
        <v>53</v>
      </c>
    </row>
    <row r="5" spans="2:5" ht="14.25" customHeight="1" x14ac:dyDescent="0.3">
      <c r="B5" s="405"/>
      <c r="C5" s="405"/>
      <c r="D5" s="405"/>
      <c r="E5" s="405"/>
    </row>
    <row r="6" spans="2:5" ht="15" customHeight="1" x14ac:dyDescent="0.3">
      <c r="B6" s="10" t="s">
        <v>54</v>
      </c>
      <c r="C6" s="11">
        <v>0</v>
      </c>
      <c r="D6" s="11" t="s">
        <v>55</v>
      </c>
      <c r="E6" s="11">
        <v>0</v>
      </c>
    </row>
    <row r="7" spans="2:5" ht="18.75" customHeight="1" x14ac:dyDescent="0.3">
      <c r="B7" s="10" t="s">
        <v>56</v>
      </c>
      <c r="C7" s="11">
        <v>0.09</v>
      </c>
      <c r="D7" s="12">
        <v>1570625</v>
      </c>
      <c r="E7" s="11">
        <v>0.09</v>
      </c>
    </row>
    <row r="8" spans="2:5" ht="27.75" customHeight="1" x14ac:dyDescent="0.3">
      <c r="B8" s="10" t="s">
        <v>57</v>
      </c>
      <c r="C8" s="11">
        <v>0</v>
      </c>
      <c r="D8" s="12">
        <v>30000</v>
      </c>
      <c r="E8" s="11">
        <v>0</v>
      </c>
    </row>
    <row r="9" spans="2:5" ht="27.75" customHeight="1" x14ac:dyDescent="0.3">
      <c r="B9" s="10" t="s">
        <v>58</v>
      </c>
      <c r="C9" s="11">
        <v>0</v>
      </c>
      <c r="D9" s="12">
        <v>30000</v>
      </c>
      <c r="E9" s="11">
        <v>0</v>
      </c>
    </row>
    <row r="10" spans="2:5" ht="18.75" customHeight="1" x14ac:dyDescent="0.3">
      <c r="B10" s="10" t="s">
        <v>59</v>
      </c>
      <c r="C10" s="11">
        <v>0</v>
      </c>
      <c r="D10" s="12">
        <v>30000</v>
      </c>
      <c r="E10" s="11">
        <v>0</v>
      </c>
    </row>
    <row r="11" spans="2:5" ht="15" customHeight="1" x14ac:dyDescent="0.3">
      <c r="B11" s="10" t="s">
        <v>60</v>
      </c>
      <c r="C11" s="11">
        <v>0</v>
      </c>
      <c r="D11" s="12">
        <v>15000</v>
      </c>
      <c r="E11" s="11">
        <v>0</v>
      </c>
    </row>
    <row r="12" spans="2:5" ht="15" customHeight="1" x14ac:dyDescent="0.3">
      <c r="B12" s="10" t="s">
        <v>61</v>
      </c>
      <c r="C12" s="11">
        <v>0.04</v>
      </c>
      <c r="D12" s="12">
        <v>677995</v>
      </c>
      <c r="E12" s="11">
        <v>0.04</v>
      </c>
    </row>
    <row r="13" spans="2:5" ht="15" customHeight="1" x14ac:dyDescent="0.3">
      <c r="B13" s="10" t="s">
        <v>62</v>
      </c>
      <c r="C13" s="11">
        <v>0.03</v>
      </c>
      <c r="D13" s="12">
        <v>597630</v>
      </c>
      <c r="E13" s="11">
        <v>0.03</v>
      </c>
    </row>
    <row r="14" spans="2:5" ht="15" customHeight="1" x14ac:dyDescent="0.3">
      <c r="B14" s="10" t="s">
        <v>63</v>
      </c>
      <c r="C14" s="11">
        <v>0</v>
      </c>
      <c r="D14" s="12">
        <v>30000</v>
      </c>
      <c r="E14" s="11">
        <v>0</v>
      </c>
    </row>
    <row r="15" spans="2:5" ht="15" customHeight="1" x14ac:dyDescent="0.3">
      <c r="B15" s="10" t="s">
        <v>64</v>
      </c>
      <c r="C15" s="11">
        <v>0.01</v>
      </c>
      <c r="D15" s="12">
        <v>154000</v>
      </c>
      <c r="E15" s="11">
        <v>0.01</v>
      </c>
    </row>
    <row r="16" spans="2:5" ht="15" customHeight="1" x14ac:dyDescent="0.3">
      <c r="B16" s="10" t="s">
        <v>65</v>
      </c>
      <c r="C16" s="11">
        <v>0</v>
      </c>
      <c r="D16" s="12">
        <v>6000</v>
      </c>
      <c r="E16" s="11">
        <v>0</v>
      </c>
    </row>
    <row r="17" spans="2:5" ht="15" customHeight="1" x14ac:dyDescent="0.3">
      <c r="B17" s="10" t="s">
        <v>66</v>
      </c>
      <c r="C17" s="11">
        <v>0</v>
      </c>
      <c r="D17" s="11" t="s">
        <v>55</v>
      </c>
      <c r="E17" s="11">
        <v>0</v>
      </c>
    </row>
    <row r="18" spans="2:5" ht="15" customHeight="1" x14ac:dyDescent="0.3">
      <c r="B18" s="10" t="s">
        <v>67</v>
      </c>
      <c r="C18" s="11">
        <v>0</v>
      </c>
      <c r="D18" s="11" t="s">
        <v>55</v>
      </c>
      <c r="E18" s="11">
        <v>0</v>
      </c>
    </row>
    <row r="19" spans="2:5" ht="15" customHeight="1" x14ac:dyDescent="0.3">
      <c r="B19" s="10" t="s">
        <v>68</v>
      </c>
      <c r="C19" s="11">
        <v>0</v>
      </c>
      <c r="D19" s="11" t="s">
        <v>55</v>
      </c>
      <c r="E19" s="11">
        <v>0</v>
      </c>
    </row>
    <row r="20" spans="2:5" ht="15" customHeight="1" x14ac:dyDescent="0.3">
      <c r="B20" s="10" t="s">
        <v>69</v>
      </c>
      <c r="C20" s="11">
        <v>0</v>
      </c>
      <c r="D20" s="11" t="s">
        <v>55</v>
      </c>
      <c r="E20" s="11">
        <v>0</v>
      </c>
    </row>
    <row r="21" spans="2:5" ht="15" customHeight="1" x14ac:dyDescent="0.3">
      <c r="B21" s="10" t="s">
        <v>70</v>
      </c>
      <c r="C21" s="11">
        <v>0</v>
      </c>
      <c r="D21" s="11" t="s">
        <v>55</v>
      </c>
      <c r="E21" s="11">
        <v>0</v>
      </c>
    </row>
    <row r="22" spans="2:5" ht="15" customHeight="1" x14ac:dyDescent="0.3">
      <c r="B22" s="10" t="s">
        <v>71</v>
      </c>
      <c r="C22" s="11">
        <v>0</v>
      </c>
      <c r="D22" s="11" t="s">
        <v>55</v>
      </c>
      <c r="E22" s="11">
        <v>0</v>
      </c>
    </row>
    <row r="23" spans="2:5" ht="15" customHeight="1" x14ac:dyDescent="0.3">
      <c r="B23" s="10" t="s">
        <v>72</v>
      </c>
      <c r="C23" s="11">
        <v>0</v>
      </c>
      <c r="D23" s="11" t="s">
        <v>55</v>
      </c>
      <c r="E23" s="11">
        <v>0</v>
      </c>
    </row>
    <row r="24" spans="2:5" ht="15" customHeight="1" x14ac:dyDescent="0.3">
      <c r="B24" s="10" t="s">
        <v>73</v>
      </c>
      <c r="C24" s="11">
        <v>0</v>
      </c>
      <c r="D24" s="11" t="s">
        <v>55</v>
      </c>
      <c r="E24" s="11">
        <v>0</v>
      </c>
    </row>
    <row r="25" spans="2:5" ht="15" customHeight="1" x14ac:dyDescent="0.3">
      <c r="B25" s="10" t="s">
        <v>74</v>
      </c>
      <c r="C25" s="11">
        <v>0</v>
      </c>
      <c r="D25" s="11" t="s">
        <v>55</v>
      </c>
      <c r="E25" s="11">
        <v>0</v>
      </c>
    </row>
    <row r="26" spans="2:5" ht="15" customHeight="1" x14ac:dyDescent="0.3">
      <c r="B26" s="10" t="s">
        <v>75</v>
      </c>
      <c r="C26" s="11">
        <v>0</v>
      </c>
      <c r="D26" s="11" t="s">
        <v>55</v>
      </c>
      <c r="E26" s="11">
        <v>0</v>
      </c>
    </row>
    <row r="27" spans="2:5" ht="15" customHeight="1" x14ac:dyDescent="0.3">
      <c r="B27" s="10" t="s">
        <v>76</v>
      </c>
      <c r="C27" s="11">
        <v>0</v>
      </c>
      <c r="D27" s="11" t="s">
        <v>55</v>
      </c>
      <c r="E27" s="11">
        <v>0</v>
      </c>
    </row>
    <row r="28" spans="2:5" ht="15" customHeight="1" x14ac:dyDescent="0.3">
      <c r="B28" s="10" t="s">
        <v>77</v>
      </c>
      <c r="C28" s="11">
        <v>0</v>
      </c>
      <c r="D28" s="11" t="s">
        <v>55</v>
      </c>
      <c r="E28" s="11">
        <v>0</v>
      </c>
    </row>
    <row r="29" spans="2:5" ht="15" customHeight="1" x14ac:dyDescent="0.3">
      <c r="B29" s="10" t="s">
        <v>78</v>
      </c>
      <c r="C29" s="11">
        <v>0</v>
      </c>
      <c r="D29" s="11" t="s">
        <v>55</v>
      </c>
      <c r="E29" s="11">
        <v>0</v>
      </c>
    </row>
    <row r="30" spans="2:5" ht="18.75" customHeight="1" x14ac:dyDescent="0.3">
      <c r="B30" s="10" t="s">
        <v>79</v>
      </c>
      <c r="C30" s="11">
        <v>0</v>
      </c>
      <c r="D30" s="11" t="s">
        <v>55</v>
      </c>
      <c r="E30" s="11">
        <v>0</v>
      </c>
    </row>
    <row r="31" spans="2:5" ht="15" customHeight="1" x14ac:dyDescent="0.3">
      <c r="B31" s="10" t="s">
        <v>80</v>
      </c>
      <c r="C31" s="11">
        <v>0</v>
      </c>
      <c r="D31" s="11" t="s">
        <v>55</v>
      </c>
      <c r="E31" s="11">
        <v>0</v>
      </c>
    </row>
    <row r="32" spans="2:5" ht="15" customHeight="1" x14ac:dyDescent="0.3">
      <c r="B32" s="10" t="s">
        <v>81</v>
      </c>
      <c r="C32" s="11">
        <v>66.09</v>
      </c>
      <c r="D32" s="12">
        <v>1172228360</v>
      </c>
      <c r="E32" s="11">
        <v>66.09</v>
      </c>
    </row>
    <row r="33" spans="2:5" ht="18.75" customHeight="1" x14ac:dyDescent="0.3">
      <c r="B33" s="10" t="s">
        <v>82</v>
      </c>
      <c r="C33" s="11">
        <v>12.28</v>
      </c>
      <c r="D33" s="12">
        <v>217794000</v>
      </c>
      <c r="E33" s="11">
        <v>12.28</v>
      </c>
    </row>
    <row r="34" spans="2:5" ht="27.75" customHeight="1" x14ac:dyDescent="0.3">
      <c r="B34" s="10" t="s">
        <v>83</v>
      </c>
      <c r="C34" s="11">
        <v>8.99</v>
      </c>
      <c r="D34" s="12">
        <v>159405604</v>
      </c>
      <c r="E34" s="11">
        <v>8.99</v>
      </c>
    </row>
    <row r="35" spans="2:5" ht="15" customHeight="1" x14ac:dyDescent="0.3">
      <c r="B35" s="10" t="s">
        <v>84</v>
      </c>
      <c r="C35" s="11">
        <v>11.79</v>
      </c>
      <c r="D35" s="12">
        <v>209083800</v>
      </c>
      <c r="E35" s="11">
        <v>11.79</v>
      </c>
    </row>
    <row r="36" spans="2:5" ht="18.75" customHeight="1" x14ac:dyDescent="0.3">
      <c r="B36" s="10" t="s">
        <v>85</v>
      </c>
      <c r="C36" s="11">
        <v>0</v>
      </c>
      <c r="D36" s="12">
        <v>15000</v>
      </c>
      <c r="E36" s="11">
        <v>0</v>
      </c>
    </row>
    <row r="37" spans="2:5" ht="18.75" customHeight="1" x14ac:dyDescent="0.3">
      <c r="B37" s="10" t="s">
        <v>86</v>
      </c>
      <c r="C37" s="11">
        <v>2.99</v>
      </c>
      <c r="D37" s="12">
        <v>53012986</v>
      </c>
      <c r="E37" s="11">
        <v>2.99</v>
      </c>
    </row>
    <row r="38" spans="2:5" ht="18.75" customHeight="1" x14ac:dyDescent="0.3">
      <c r="B38" s="10" t="s">
        <v>87</v>
      </c>
      <c r="C38" s="11">
        <v>5.98</v>
      </c>
      <c r="D38" s="12">
        <v>106147503</v>
      </c>
      <c r="E38" s="11">
        <v>5.98</v>
      </c>
    </row>
    <row r="39" spans="2:5" ht="18.75" customHeight="1" x14ac:dyDescent="0.3">
      <c r="B39" s="10" t="s">
        <v>88</v>
      </c>
      <c r="C39" s="11">
        <v>10.9</v>
      </c>
      <c r="D39" s="12">
        <v>193379980</v>
      </c>
      <c r="E39" s="11">
        <v>10.9</v>
      </c>
    </row>
    <row r="40" spans="2:5" ht="18.75" customHeight="1" x14ac:dyDescent="0.3">
      <c r="B40" s="10" t="s">
        <v>89</v>
      </c>
      <c r="C40" s="11">
        <v>1</v>
      </c>
      <c r="D40" s="12">
        <v>17670995</v>
      </c>
      <c r="E40" s="11">
        <v>1</v>
      </c>
    </row>
    <row r="41" spans="2:5" ht="18.75" customHeight="1" x14ac:dyDescent="0.3">
      <c r="B41" s="10" t="s">
        <v>90</v>
      </c>
      <c r="C41" s="11">
        <v>1.49</v>
      </c>
      <c r="D41" s="12">
        <v>26506492</v>
      </c>
      <c r="E41" s="11">
        <v>1.49</v>
      </c>
    </row>
    <row r="42" spans="2:5" ht="18.75" customHeight="1" x14ac:dyDescent="0.3">
      <c r="B42" s="10" t="s">
        <v>91</v>
      </c>
      <c r="C42" s="11">
        <v>10.67</v>
      </c>
      <c r="D42" s="12">
        <v>189212000</v>
      </c>
      <c r="E42" s="11">
        <v>10.67</v>
      </c>
    </row>
    <row r="43" spans="2:5" ht="18.75" customHeight="1" x14ac:dyDescent="0.3">
      <c r="B43" s="10" t="s">
        <v>92</v>
      </c>
      <c r="C43" s="11">
        <v>0</v>
      </c>
      <c r="D43" s="11" t="s">
        <v>55</v>
      </c>
      <c r="E43" s="11">
        <v>0</v>
      </c>
    </row>
    <row r="44" spans="2:5" ht="27.75" customHeight="1" x14ac:dyDescent="0.3">
      <c r="B44" s="10" t="s">
        <v>93</v>
      </c>
      <c r="C44" s="11">
        <v>0</v>
      </c>
      <c r="D44" s="11" t="s">
        <v>55</v>
      </c>
      <c r="E44" s="11">
        <v>0</v>
      </c>
    </row>
    <row r="45" spans="2:5" ht="18.75" customHeight="1" x14ac:dyDescent="0.3">
      <c r="B45" s="10" t="s">
        <v>94</v>
      </c>
      <c r="C45" s="11">
        <v>0</v>
      </c>
      <c r="D45" s="11" t="s">
        <v>55</v>
      </c>
      <c r="E45" s="11">
        <v>0</v>
      </c>
    </row>
    <row r="46" spans="2:5" ht="15" customHeight="1" x14ac:dyDescent="0.3">
      <c r="B46" s="10" t="s">
        <v>95</v>
      </c>
      <c r="C46" s="11">
        <v>0</v>
      </c>
      <c r="D46" s="11" t="s">
        <v>55</v>
      </c>
      <c r="E46" s="11">
        <v>0</v>
      </c>
    </row>
    <row r="47" spans="2:5" ht="15" customHeight="1" x14ac:dyDescent="0.3">
      <c r="B47" s="10" t="s">
        <v>96</v>
      </c>
      <c r="C47" s="11">
        <v>0</v>
      </c>
      <c r="D47" s="11" t="s">
        <v>55</v>
      </c>
      <c r="E47" s="11">
        <v>0</v>
      </c>
    </row>
    <row r="48" spans="2:5" ht="15" customHeight="1" x14ac:dyDescent="0.3">
      <c r="B48" s="10" t="s">
        <v>97</v>
      </c>
      <c r="C48" s="11">
        <v>0</v>
      </c>
      <c r="D48" s="11" t="s">
        <v>55</v>
      </c>
      <c r="E48" s="11">
        <v>0</v>
      </c>
    </row>
    <row r="49" spans="2:5" ht="15" customHeight="1" x14ac:dyDescent="0.3">
      <c r="B49" s="10" t="s">
        <v>98</v>
      </c>
      <c r="C49" s="11">
        <v>0</v>
      </c>
      <c r="D49" s="11" t="s">
        <v>55</v>
      </c>
      <c r="E49" s="11">
        <v>0</v>
      </c>
    </row>
    <row r="50" spans="2:5" ht="18.75" customHeight="1" x14ac:dyDescent="0.3">
      <c r="B50" s="10" t="s">
        <v>99</v>
      </c>
      <c r="C50" s="11">
        <v>0</v>
      </c>
      <c r="D50" s="11" t="s">
        <v>55</v>
      </c>
      <c r="E50" s="11">
        <v>0</v>
      </c>
    </row>
    <row r="51" spans="2:5" ht="18.75" customHeight="1" x14ac:dyDescent="0.3">
      <c r="B51" s="10" t="s">
        <v>100</v>
      </c>
      <c r="C51" s="11">
        <v>0</v>
      </c>
      <c r="D51" s="11" t="s">
        <v>55</v>
      </c>
      <c r="E51" s="11">
        <v>0</v>
      </c>
    </row>
    <row r="52" spans="2:5" ht="18.75" customHeight="1" x14ac:dyDescent="0.3">
      <c r="B52" s="10" t="s">
        <v>101</v>
      </c>
      <c r="C52" s="11">
        <v>0</v>
      </c>
      <c r="D52" s="11" t="s">
        <v>55</v>
      </c>
      <c r="E52" s="11">
        <v>0</v>
      </c>
    </row>
    <row r="53" spans="2:5" ht="18.75" customHeight="1" x14ac:dyDescent="0.3">
      <c r="B53" s="10" t="s">
        <v>102</v>
      </c>
      <c r="C53" s="11">
        <v>0</v>
      </c>
      <c r="D53" s="11" t="s">
        <v>55</v>
      </c>
      <c r="E53" s="11">
        <v>0</v>
      </c>
    </row>
    <row r="54" spans="2:5" ht="15" customHeight="1" x14ac:dyDescent="0.3">
      <c r="B54" s="10" t="s">
        <v>103</v>
      </c>
      <c r="C54" s="11">
        <v>0</v>
      </c>
      <c r="D54" s="11" t="s">
        <v>55</v>
      </c>
      <c r="E54" s="11">
        <v>0</v>
      </c>
    </row>
    <row r="55" spans="2:5" ht="18.75" customHeight="1" x14ac:dyDescent="0.3">
      <c r="B55" s="10" t="s">
        <v>104</v>
      </c>
      <c r="C55" s="11">
        <v>0</v>
      </c>
      <c r="D55" s="11" t="s">
        <v>55</v>
      </c>
      <c r="E55" s="11">
        <v>0</v>
      </c>
    </row>
    <row r="56" spans="2:5" ht="18.75" customHeight="1" x14ac:dyDescent="0.3">
      <c r="B56" s="10" t="s">
        <v>105</v>
      </c>
      <c r="C56" s="11">
        <v>0</v>
      </c>
      <c r="D56" s="11" t="s">
        <v>55</v>
      </c>
      <c r="E56" s="11">
        <v>0</v>
      </c>
    </row>
    <row r="57" spans="2:5" ht="18.75" customHeight="1" x14ac:dyDescent="0.3">
      <c r="B57" s="10" t="s">
        <v>106</v>
      </c>
      <c r="C57" s="11">
        <v>0</v>
      </c>
      <c r="D57" s="11" t="s">
        <v>55</v>
      </c>
      <c r="E57" s="11">
        <v>0</v>
      </c>
    </row>
    <row r="58" spans="2:5" ht="15" customHeight="1" x14ac:dyDescent="0.3">
      <c r="B58" s="10" t="s">
        <v>107</v>
      </c>
      <c r="C58" s="11">
        <v>0</v>
      </c>
      <c r="D58" s="11" t="s">
        <v>55</v>
      </c>
      <c r="E58" s="11">
        <v>0</v>
      </c>
    </row>
    <row r="59" spans="2:5" ht="15" customHeight="1" x14ac:dyDescent="0.3">
      <c r="B59" s="10" t="s">
        <v>108</v>
      </c>
      <c r="C59" s="11">
        <v>0</v>
      </c>
      <c r="D59" s="11" t="s">
        <v>55</v>
      </c>
      <c r="E59" s="11">
        <v>0</v>
      </c>
    </row>
    <row r="60" spans="2:5" ht="15" customHeight="1" x14ac:dyDescent="0.3">
      <c r="B60" s="10" t="s">
        <v>109</v>
      </c>
      <c r="C60" s="11">
        <v>0</v>
      </c>
      <c r="D60" s="11" t="s">
        <v>55</v>
      </c>
      <c r="E60" s="11">
        <v>0</v>
      </c>
    </row>
    <row r="61" spans="2:5" ht="15" customHeight="1" x14ac:dyDescent="0.3">
      <c r="B61" s="10" t="s">
        <v>110</v>
      </c>
      <c r="C61" s="11">
        <v>0</v>
      </c>
      <c r="D61" s="11" t="s">
        <v>55</v>
      </c>
      <c r="E61" s="11">
        <v>0</v>
      </c>
    </row>
    <row r="62" spans="2:5" ht="18.75" customHeight="1" x14ac:dyDescent="0.3">
      <c r="B62" s="10" t="s">
        <v>111</v>
      </c>
      <c r="C62" s="11">
        <v>0</v>
      </c>
      <c r="D62" s="11" t="s">
        <v>55</v>
      </c>
      <c r="E62" s="11">
        <v>0</v>
      </c>
    </row>
    <row r="63" spans="2:5" ht="15" customHeight="1" x14ac:dyDescent="0.3">
      <c r="B63" s="10" t="s">
        <v>112</v>
      </c>
      <c r="C63" s="11">
        <v>0</v>
      </c>
      <c r="D63" s="11" t="s">
        <v>55</v>
      </c>
      <c r="E63" s="11">
        <v>0</v>
      </c>
    </row>
    <row r="64" spans="2:5" ht="18.75" customHeight="1" x14ac:dyDescent="0.3">
      <c r="B64" s="10" t="s">
        <v>113</v>
      </c>
      <c r="C64" s="11">
        <v>0</v>
      </c>
      <c r="D64" s="11" t="s">
        <v>55</v>
      </c>
      <c r="E64" s="11">
        <v>0</v>
      </c>
    </row>
    <row r="65" spans="2:5" ht="18.75" customHeight="1" x14ac:dyDescent="0.3">
      <c r="B65" s="10" t="s">
        <v>114</v>
      </c>
      <c r="C65" s="11">
        <v>0</v>
      </c>
      <c r="D65" s="11" t="s">
        <v>55</v>
      </c>
      <c r="E65" s="11">
        <v>0</v>
      </c>
    </row>
    <row r="66" spans="2:5" ht="18.75" customHeight="1" x14ac:dyDescent="0.3">
      <c r="B66" s="10" t="s">
        <v>115</v>
      </c>
      <c r="C66" s="11">
        <v>0</v>
      </c>
      <c r="D66" s="11" t="s">
        <v>55</v>
      </c>
      <c r="E66" s="11">
        <v>0</v>
      </c>
    </row>
    <row r="67" spans="2:5" ht="18.75" customHeight="1" x14ac:dyDescent="0.3">
      <c r="B67" s="10" t="s">
        <v>116</v>
      </c>
      <c r="C67" s="11">
        <v>0</v>
      </c>
      <c r="D67" s="11" t="s">
        <v>55</v>
      </c>
      <c r="E67" s="11">
        <v>0</v>
      </c>
    </row>
    <row r="68" spans="2:5" ht="15" customHeight="1" x14ac:dyDescent="0.3">
      <c r="B68" s="10" t="s">
        <v>117</v>
      </c>
      <c r="C68" s="11">
        <v>0</v>
      </c>
      <c r="D68" s="11" t="s">
        <v>55</v>
      </c>
      <c r="E68" s="11">
        <v>0</v>
      </c>
    </row>
    <row r="69" spans="2:5" ht="18.75" customHeight="1" x14ac:dyDescent="0.3">
      <c r="B69" s="10" t="s">
        <v>118</v>
      </c>
      <c r="C69" s="11">
        <v>0</v>
      </c>
      <c r="D69" s="11" t="s">
        <v>55</v>
      </c>
      <c r="E69" s="11">
        <v>0</v>
      </c>
    </row>
    <row r="70" spans="2:5" ht="18.75" customHeight="1" x14ac:dyDescent="0.3">
      <c r="B70" s="10" t="s">
        <v>119</v>
      </c>
      <c r="C70" s="11">
        <v>0</v>
      </c>
      <c r="D70" s="11" t="s">
        <v>55</v>
      </c>
      <c r="E70" s="11">
        <v>0</v>
      </c>
    </row>
    <row r="71" spans="2:5" ht="15" customHeight="1" x14ac:dyDescent="0.3">
      <c r="B71" s="10" t="s">
        <v>120</v>
      </c>
      <c r="C71" s="11">
        <v>0</v>
      </c>
      <c r="D71" s="11" t="s">
        <v>55</v>
      </c>
      <c r="E71" s="11">
        <v>0</v>
      </c>
    </row>
    <row r="72" spans="2:5" ht="18.75" customHeight="1" x14ac:dyDescent="0.3">
      <c r="B72" s="10" t="s">
        <v>121</v>
      </c>
      <c r="C72" s="11">
        <v>0</v>
      </c>
      <c r="D72" s="11" t="s">
        <v>55</v>
      </c>
      <c r="E72" s="11">
        <v>0</v>
      </c>
    </row>
    <row r="73" spans="2:5" ht="18.75" customHeight="1" x14ac:dyDescent="0.3">
      <c r="B73" s="10" t="s">
        <v>122</v>
      </c>
      <c r="C73" s="11">
        <v>0</v>
      </c>
      <c r="D73" s="11" t="s">
        <v>55</v>
      </c>
      <c r="E73" s="11">
        <v>0</v>
      </c>
    </row>
    <row r="74" spans="2:5" ht="18.75" customHeight="1" x14ac:dyDescent="0.3">
      <c r="B74" s="10" t="s">
        <v>123</v>
      </c>
      <c r="C74" s="11">
        <v>0</v>
      </c>
      <c r="D74" s="11" t="s">
        <v>55</v>
      </c>
      <c r="E74" s="11">
        <v>0</v>
      </c>
    </row>
    <row r="75" spans="2:5" ht="18.75" customHeight="1" x14ac:dyDescent="0.3">
      <c r="B75" s="10" t="s">
        <v>124</v>
      </c>
      <c r="C75" s="11">
        <v>0</v>
      </c>
      <c r="D75" s="11" t="s">
        <v>55</v>
      </c>
      <c r="E75" s="11">
        <v>0</v>
      </c>
    </row>
    <row r="76" spans="2:5" ht="18.75" customHeight="1" x14ac:dyDescent="0.3">
      <c r="B76" s="10" t="s">
        <v>125</v>
      </c>
      <c r="C76" s="11">
        <v>0</v>
      </c>
      <c r="D76" s="11" t="s">
        <v>55</v>
      </c>
      <c r="E76" s="11">
        <v>0</v>
      </c>
    </row>
    <row r="77" spans="2:5" ht="18.75" customHeight="1" x14ac:dyDescent="0.3">
      <c r="B77" s="10" t="s">
        <v>126</v>
      </c>
      <c r="C77" s="11">
        <v>0</v>
      </c>
      <c r="D77" s="11" t="s">
        <v>55</v>
      </c>
      <c r="E77" s="11">
        <v>0</v>
      </c>
    </row>
    <row r="78" spans="2:5" ht="18.75" customHeight="1" x14ac:dyDescent="0.3">
      <c r="B78" s="10" t="s">
        <v>127</v>
      </c>
      <c r="C78" s="11">
        <v>0</v>
      </c>
      <c r="D78" s="11" t="s">
        <v>55</v>
      </c>
      <c r="E78" s="11">
        <v>0</v>
      </c>
    </row>
    <row r="79" spans="2:5" ht="15" customHeight="1" x14ac:dyDescent="0.3">
      <c r="B79" s="10" t="s">
        <v>128</v>
      </c>
      <c r="C79" s="11">
        <v>0</v>
      </c>
      <c r="D79" s="11" t="s">
        <v>55</v>
      </c>
      <c r="E79" s="11">
        <v>0</v>
      </c>
    </row>
    <row r="80" spans="2:5" ht="18.75" customHeight="1" x14ac:dyDescent="0.3">
      <c r="B80" s="10" t="s">
        <v>129</v>
      </c>
      <c r="C80" s="11">
        <v>0</v>
      </c>
      <c r="D80" s="11" t="s">
        <v>55</v>
      </c>
      <c r="E80" s="11">
        <v>0</v>
      </c>
    </row>
    <row r="81" spans="2:5" ht="18.75" customHeight="1" x14ac:dyDescent="0.3">
      <c r="B81" s="10" t="s">
        <v>130</v>
      </c>
      <c r="C81" s="11">
        <v>0</v>
      </c>
      <c r="D81" s="11" t="s">
        <v>55</v>
      </c>
      <c r="E81" s="11">
        <v>0</v>
      </c>
    </row>
    <row r="82" spans="2:5" ht="18.75" customHeight="1" x14ac:dyDescent="0.3">
      <c r="B82" s="10" t="s">
        <v>131</v>
      </c>
      <c r="C82" s="11">
        <v>0</v>
      </c>
      <c r="D82" s="11" t="s">
        <v>55</v>
      </c>
      <c r="E82" s="11">
        <v>0</v>
      </c>
    </row>
    <row r="83" spans="2:5" ht="18.75" customHeight="1" x14ac:dyDescent="0.3">
      <c r="B83" s="10" t="s">
        <v>132</v>
      </c>
      <c r="C83" s="11">
        <v>0</v>
      </c>
      <c r="D83" s="11" t="s">
        <v>55</v>
      </c>
      <c r="E83" s="11">
        <v>0</v>
      </c>
    </row>
    <row r="84" spans="2:5" ht="18.75" customHeight="1" x14ac:dyDescent="0.3">
      <c r="B84" s="10" t="s">
        <v>133</v>
      </c>
      <c r="C84" s="11">
        <v>0</v>
      </c>
      <c r="D84" s="11" t="s">
        <v>55</v>
      </c>
      <c r="E84" s="11">
        <v>0</v>
      </c>
    </row>
    <row r="85" spans="2:5" ht="18.75" customHeight="1" x14ac:dyDescent="0.3">
      <c r="B85" s="10" t="s">
        <v>134</v>
      </c>
      <c r="C85" s="11">
        <v>0</v>
      </c>
      <c r="D85" s="11" t="s">
        <v>55</v>
      </c>
      <c r="E85" s="11">
        <v>0</v>
      </c>
    </row>
    <row r="86" spans="2:5" ht="18.75" customHeight="1" x14ac:dyDescent="0.3">
      <c r="B86" s="10" t="s">
        <v>135</v>
      </c>
      <c r="C86" s="11">
        <v>0</v>
      </c>
      <c r="D86" s="11" t="s">
        <v>55</v>
      </c>
      <c r="E86" s="11">
        <v>0</v>
      </c>
    </row>
    <row r="87" spans="2:5" ht="15" customHeight="1" x14ac:dyDescent="0.3">
      <c r="B87" s="10" t="s">
        <v>136</v>
      </c>
      <c r="C87" s="11">
        <v>0</v>
      </c>
      <c r="D87" s="11" t="s">
        <v>55</v>
      </c>
      <c r="E87" s="11">
        <v>0</v>
      </c>
    </row>
    <row r="88" spans="2:5" ht="15" customHeight="1" x14ac:dyDescent="0.3">
      <c r="B88" s="10" t="s">
        <v>137</v>
      </c>
      <c r="C88" s="11">
        <v>0</v>
      </c>
      <c r="D88" s="11" t="s">
        <v>55</v>
      </c>
      <c r="E88" s="11">
        <v>0</v>
      </c>
    </row>
    <row r="89" spans="2:5" ht="18.75" customHeight="1" x14ac:dyDescent="0.3">
      <c r="B89" s="10" t="s">
        <v>138</v>
      </c>
      <c r="C89" s="11">
        <v>0</v>
      </c>
      <c r="D89" s="11" t="s">
        <v>55</v>
      </c>
      <c r="E89" s="11">
        <v>0</v>
      </c>
    </row>
    <row r="90" spans="2:5" ht="18.75" customHeight="1" x14ac:dyDescent="0.3">
      <c r="B90" s="10" t="s">
        <v>139</v>
      </c>
      <c r="C90" s="11">
        <v>0</v>
      </c>
      <c r="D90" s="11" t="s">
        <v>55</v>
      </c>
      <c r="E90" s="11">
        <v>0</v>
      </c>
    </row>
    <row r="91" spans="2:5" ht="18.75" customHeight="1" x14ac:dyDescent="0.3">
      <c r="B91" s="10" t="s">
        <v>140</v>
      </c>
      <c r="C91" s="11">
        <v>0</v>
      </c>
      <c r="D91" s="11" t="s">
        <v>55</v>
      </c>
      <c r="E91" s="11">
        <v>0</v>
      </c>
    </row>
    <row r="92" spans="2:5" ht="18.75" customHeight="1" x14ac:dyDescent="0.3">
      <c r="B92" s="10" t="s">
        <v>141</v>
      </c>
      <c r="C92" s="11">
        <v>0</v>
      </c>
      <c r="D92" s="11" t="s">
        <v>55</v>
      </c>
      <c r="E92" s="11">
        <v>0</v>
      </c>
    </row>
    <row r="93" spans="2:5" ht="18.75" customHeight="1" x14ac:dyDescent="0.3">
      <c r="B93" s="10" t="s">
        <v>142</v>
      </c>
      <c r="C93" s="11">
        <v>0</v>
      </c>
      <c r="D93" s="11" t="s">
        <v>55</v>
      </c>
      <c r="E93" s="11">
        <v>0</v>
      </c>
    </row>
    <row r="94" spans="2:5" ht="18.75" customHeight="1" x14ac:dyDescent="0.3">
      <c r="B94" s="10" t="s">
        <v>143</v>
      </c>
      <c r="C94" s="11">
        <v>0</v>
      </c>
      <c r="D94" s="11" t="s">
        <v>55</v>
      </c>
      <c r="E94" s="11">
        <v>0</v>
      </c>
    </row>
    <row r="95" spans="2:5" ht="15" customHeight="1" x14ac:dyDescent="0.3">
      <c r="B95" s="10" t="s">
        <v>144</v>
      </c>
      <c r="C95" s="11">
        <v>0</v>
      </c>
      <c r="D95" s="11" t="s">
        <v>55</v>
      </c>
      <c r="E95" s="11">
        <v>0</v>
      </c>
    </row>
    <row r="96" spans="2:5" ht="27.75" customHeight="1" x14ac:dyDescent="0.3">
      <c r="B96" s="10" t="s">
        <v>145</v>
      </c>
      <c r="C96" s="11">
        <v>0</v>
      </c>
      <c r="D96" s="11" t="s">
        <v>55</v>
      </c>
      <c r="E96" s="11">
        <v>0</v>
      </c>
    </row>
    <row r="97" spans="2:5" ht="15" customHeight="1" x14ac:dyDescent="0.3">
      <c r="B97" s="10" t="s">
        <v>146</v>
      </c>
      <c r="C97" s="11">
        <v>0</v>
      </c>
      <c r="D97" s="11" t="s">
        <v>55</v>
      </c>
      <c r="E97" s="11">
        <v>0</v>
      </c>
    </row>
    <row r="98" spans="2:5" ht="18.75" customHeight="1" x14ac:dyDescent="0.3">
      <c r="B98" s="10" t="s">
        <v>147</v>
      </c>
      <c r="C98" s="11">
        <v>0</v>
      </c>
      <c r="D98" s="11" t="s">
        <v>55</v>
      </c>
      <c r="E98" s="11">
        <v>0</v>
      </c>
    </row>
    <row r="99" spans="2:5" ht="18.75" customHeight="1" x14ac:dyDescent="0.3">
      <c r="B99" s="10" t="s">
        <v>148</v>
      </c>
      <c r="C99" s="11">
        <v>0</v>
      </c>
      <c r="D99" s="11" t="s">
        <v>55</v>
      </c>
      <c r="E99" s="11">
        <v>0</v>
      </c>
    </row>
    <row r="100" spans="2:5" ht="18.75" customHeight="1" x14ac:dyDescent="0.3">
      <c r="B100" s="10" t="s">
        <v>149</v>
      </c>
      <c r="C100" s="11">
        <v>0</v>
      </c>
      <c r="D100" s="11" t="s">
        <v>55</v>
      </c>
      <c r="E100" s="11">
        <v>0</v>
      </c>
    </row>
    <row r="101" spans="2:5" ht="18.75" customHeight="1" x14ac:dyDescent="0.3">
      <c r="B101" s="10" t="s">
        <v>150</v>
      </c>
      <c r="C101" s="11">
        <v>0</v>
      </c>
      <c r="D101" s="11" t="s">
        <v>55</v>
      </c>
      <c r="E101" s="11">
        <v>0</v>
      </c>
    </row>
    <row r="102" spans="2:5" ht="18.75" customHeight="1" x14ac:dyDescent="0.3">
      <c r="B102" s="10" t="s">
        <v>151</v>
      </c>
      <c r="C102" s="11">
        <v>0</v>
      </c>
      <c r="D102" s="11" t="s">
        <v>55</v>
      </c>
      <c r="E102" s="11">
        <v>0</v>
      </c>
    </row>
    <row r="103" spans="2:5" ht="27.75" customHeight="1" x14ac:dyDescent="0.3">
      <c r="B103" s="10" t="s">
        <v>152</v>
      </c>
      <c r="C103" s="11">
        <v>0</v>
      </c>
      <c r="D103" s="11" t="s">
        <v>55</v>
      </c>
      <c r="E103" s="11">
        <v>0</v>
      </c>
    </row>
    <row r="104" spans="2:5" ht="18.75" customHeight="1" x14ac:dyDescent="0.3">
      <c r="B104" s="10" t="s">
        <v>153</v>
      </c>
      <c r="C104" s="11">
        <v>0</v>
      </c>
      <c r="D104" s="11" t="s">
        <v>55</v>
      </c>
      <c r="E104" s="11">
        <v>0</v>
      </c>
    </row>
    <row r="105" spans="2:5" ht="18.75" customHeight="1" x14ac:dyDescent="0.3">
      <c r="B105" s="10" t="s">
        <v>154</v>
      </c>
      <c r="C105" s="11">
        <v>0</v>
      </c>
      <c r="D105" s="11" t="s">
        <v>55</v>
      </c>
      <c r="E105" s="11">
        <v>0</v>
      </c>
    </row>
    <row r="106" spans="2:5" ht="27.75" customHeight="1" x14ac:dyDescent="0.3">
      <c r="B106" s="10" t="s">
        <v>155</v>
      </c>
      <c r="C106" s="11">
        <v>0</v>
      </c>
      <c r="D106" s="11" t="s">
        <v>55</v>
      </c>
      <c r="E106" s="11">
        <v>0</v>
      </c>
    </row>
    <row r="107" spans="2:5" ht="18.75" customHeight="1" x14ac:dyDescent="0.3">
      <c r="B107" s="10" t="s">
        <v>156</v>
      </c>
      <c r="C107" s="11">
        <v>0</v>
      </c>
      <c r="D107" s="11" t="s">
        <v>55</v>
      </c>
      <c r="E107" s="11">
        <v>0</v>
      </c>
    </row>
    <row r="108" spans="2:5" ht="27.75" customHeight="1" x14ac:dyDescent="0.3">
      <c r="B108" s="10" t="s">
        <v>157</v>
      </c>
      <c r="C108" s="11">
        <v>0</v>
      </c>
      <c r="D108" s="11" t="s">
        <v>55</v>
      </c>
      <c r="E108" s="11">
        <v>0</v>
      </c>
    </row>
    <row r="109" spans="2:5" ht="27.75" customHeight="1" x14ac:dyDescent="0.3">
      <c r="B109" s="10" t="s">
        <v>158</v>
      </c>
      <c r="C109" s="11">
        <v>0</v>
      </c>
      <c r="D109" s="11" t="s">
        <v>55</v>
      </c>
      <c r="E109" s="11">
        <v>0</v>
      </c>
    </row>
    <row r="110" spans="2:5" ht="18.75" customHeight="1" x14ac:dyDescent="0.3">
      <c r="B110" s="10" t="s">
        <v>159</v>
      </c>
      <c r="C110" s="11">
        <v>0</v>
      </c>
      <c r="D110" s="11" t="s">
        <v>55</v>
      </c>
      <c r="E110" s="11">
        <v>0</v>
      </c>
    </row>
    <row r="111" spans="2:5" ht="18.75" customHeight="1" x14ac:dyDescent="0.3">
      <c r="B111" s="10" t="s">
        <v>160</v>
      </c>
      <c r="C111" s="11">
        <v>0</v>
      </c>
      <c r="D111" s="11" t="s">
        <v>55</v>
      </c>
      <c r="E111" s="11">
        <v>0</v>
      </c>
    </row>
    <row r="112" spans="2:5" ht="18.75" customHeight="1" x14ac:dyDescent="0.3">
      <c r="B112" s="10" t="s">
        <v>161</v>
      </c>
      <c r="C112" s="11">
        <v>0</v>
      </c>
      <c r="D112" s="11" t="s">
        <v>55</v>
      </c>
      <c r="E112" s="11">
        <v>0</v>
      </c>
    </row>
    <row r="113" spans="2:5" ht="18.75" customHeight="1" x14ac:dyDescent="0.3">
      <c r="B113" s="10" t="s">
        <v>162</v>
      </c>
      <c r="C113" s="11">
        <v>0</v>
      </c>
      <c r="D113" s="11" t="s">
        <v>55</v>
      </c>
      <c r="E113" s="11">
        <v>0</v>
      </c>
    </row>
    <row r="114" spans="2:5" ht="18.75" customHeight="1" x14ac:dyDescent="0.3">
      <c r="B114" s="10" t="s">
        <v>163</v>
      </c>
      <c r="C114" s="11">
        <v>0</v>
      </c>
      <c r="D114" s="11" t="s">
        <v>55</v>
      </c>
      <c r="E114" s="11">
        <v>0</v>
      </c>
    </row>
    <row r="115" spans="2:5" ht="18.75" customHeight="1" x14ac:dyDescent="0.3">
      <c r="B115" s="10" t="s">
        <v>164</v>
      </c>
      <c r="C115" s="11">
        <v>0</v>
      </c>
      <c r="D115" s="11" t="s">
        <v>55</v>
      </c>
      <c r="E115" s="11">
        <v>0</v>
      </c>
    </row>
    <row r="116" spans="2:5" ht="18.75" customHeight="1" x14ac:dyDescent="0.3">
      <c r="B116" s="10" t="s">
        <v>165</v>
      </c>
      <c r="C116" s="11">
        <v>0</v>
      </c>
      <c r="D116" s="11" t="s">
        <v>55</v>
      </c>
      <c r="E116" s="11">
        <v>0</v>
      </c>
    </row>
    <row r="117" spans="2:5" ht="18.75" customHeight="1" x14ac:dyDescent="0.3">
      <c r="B117" s="10" t="s">
        <v>166</v>
      </c>
      <c r="C117" s="11">
        <v>0</v>
      </c>
      <c r="D117" s="11" t="s">
        <v>55</v>
      </c>
      <c r="E117" s="11">
        <v>0</v>
      </c>
    </row>
    <row r="118" spans="2:5" ht="27.75" customHeight="1" x14ac:dyDescent="0.3">
      <c r="B118" s="10" t="s">
        <v>167</v>
      </c>
      <c r="C118" s="11">
        <v>0</v>
      </c>
      <c r="D118" s="11" t="s">
        <v>55</v>
      </c>
      <c r="E118" s="11">
        <v>0</v>
      </c>
    </row>
    <row r="119" spans="2:5" ht="18.75" customHeight="1" x14ac:dyDescent="0.3">
      <c r="B119" s="10" t="s">
        <v>168</v>
      </c>
      <c r="C119" s="11">
        <v>0</v>
      </c>
      <c r="D119" s="11" t="s">
        <v>55</v>
      </c>
      <c r="E119" s="11">
        <v>0</v>
      </c>
    </row>
    <row r="120" spans="2:5" ht="18.75" customHeight="1" x14ac:dyDescent="0.3">
      <c r="B120" s="10" t="s">
        <v>169</v>
      </c>
      <c r="C120" s="11">
        <v>0</v>
      </c>
      <c r="D120" s="11" t="s">
        <v>55</v>
      </c>
      <c r="E120" s="11">
        <v>0</v>
      </c>
    </row>
    <row r="121" spans="2:5" ht="18.75" customHeight="1" x14ac:dyDescent="0.3">
      <c r="B121" s="10" t="s">
        <v>170</v>
      </c>
      <c r="C121" s="11">
        <v>0</v>
      </c>
      <c r="D121" s="11" t="s">
        <v>55</v>
      </c>
      <c r="E121" s="11">
        <v>0</v>
      </c>
    </row>
    <row r="122" spans="2:5" ht="27.75" customHeight="1" x14ac:dyDescent="0.3">
      <c r="B122" s="10" t="s">
        <v>171</v>
      </c>
      <c r="C122" s="11">
        <v>0</v>
      </c>
      <c r="D122" s="11" t="s">
        <v>55</v>
      </c>
      <c r="E122" s="11">
        <v>0</v>
      </c>
    </row>
    <row r="123" spans="2:5" ht="18.75" customHeight="1" x14ac:dyDescent="0.3">
      <c r="B123" s="10" t="s">
        <v>172</v>
      </c>
      <c r="C123" s="11">
        <v>0</v>
      </c>
      <c r="D123" s="11" t="s">
        <v>55</v>
      </c>
      <c r="E123" s="11">
        <v>0</v>
      </c>
    </row>
    <row r="124" spans="2:5" ht="18.75" customHeight="1" x14ac:dyDescent="0.3">
      <c r="B124" s="10" t="s">
        <v>173</v>
      </c>
      <c r="C124" s="11">
        <v>0</v>
      </c>
      <c r="D124" s="11" t="s">
        <v>55</v>
      </c>
      <c r="E124" s="11">
        <v>0</v>
      </c>
    </row>
    <row r="125" spans="2:5" ht="15" customHeight="1" x14ac:dyDescent="0.3">
      <c r="B125" s="10" t="s">
        <v>174</v>
      </c>
      <c r="C125" s="11">
        <v>0</v>
      </c>
      <c r="D125" s="11" t="s">
        <v>55</v>
      </c>
      <c r="E125" s="11">
        <v>0</v>
      </c>
    </row>
    <row r="126" spans="2:5" ht="18.75" customHeight="1" x14ac:dyDescent="0.3">
      <c r="B126" s="10" t="s">
        <v>175</v>
      </c>
      <c r="C126" s="11">
        <v>0</v>
      </c>
      <c r="D126" s="11" t="s">
        <v>55</v>
      </c>
      <c r="E126" s="11">
        <v>0</v>
      </c>
    </row>
    <row r="127" spans="2:5" ht="18.75" customHeight="1" x14ac:dyDescent="0.3">
      <c r="B127" s="10" t="s">
        <v>176</v>
      </c>
      <c r="C127" s="11">
        <v>0</v>
      </c>
      <c r="D127" s="11" t="s">
        <v>55</v>
      </c>
      <c r="E127" s="11">
        <v>0</v>
      </c>
    </row>
    <row r="128" spans="2:5" ht="18.75" customHeight="1" x14ac:dyDescent="0.3">
      <c r="B128" s="10" t="s">
        <v>177</v>
      </c>
      <c r="C128" s="11">
        <v>0</v>
      </c>
      <c r="D128" s="11" t="s">
        <v>55</v>
      </c>
      <c r="E128" s="11">
        <v>0</v>
      </c>
    </row>
    <row r="129" spans="2:5" ht="18.75" customHeight="1" x14ac:dyDescent="0.3">
      <c r="B129" s="10" t="s">
        <v>178</v>
      </c>
      <c r="C129" s="11">
        <v>0</v>
      </c>
      <c r="D129" s="11" t="s">
        <v>55</v>
      </c>
      <c r="E129" s="11">
        <v>0</v>
      </c>
    </row>
    <row r="130" spans="2:5" ht="15" customHeight="1" x14ac:dyDescent="0.3">
      <c r="B130" s="10" t="s">
        <v>179</v>
      </c>
      <c r="C130" s="11">
        <v>0</v>
      </c>
      <c r="D130" s="11" t="s">
        <v>55</v>
      </c>
      <c r="E130" s="11">
        <v>0</v>
      </c>
    </row>
    <row r="131" spans="2:5" ht="15" customHeight="1" x14ac:dyDescent="0.3">
      <c r="B131" s="10" t="s">
        <v>180</v>
      </c>
      <c r="C131" s="11">
        <v>0</v>
      </c>
      <c r="D131" s="11" t="s">
        <v>55</v>
      </c>
      <c r="E131" s="11">
        <v>0</v>
      </c>
    </row>
    <row r="132" spans="2:5" ht="15" customHeight="1" x14ac:dyDescent="0.3">
      <c r="B132" s="10" t="s">
        <v>181</v>
      </c>
      <c r="C132" s="11">
        <v>0</v>
      </c>
      <c r="D132" s="11" t="s">
        <v>55</v>
      </c>
      <c r="E132" s="11">
        <v>0</v>
      </c>
    </row>
    <row r="133" spans="2:5" ht="15" customHeight="1" x14ac:dyDescent="0.3">
      <c r="B133" s="10" t="s">
        <v>182</v>
      </c>
      <c r="C133" s="11">
        <v>0</v>
      </c>
      <c r="D133" s="11" t="s">
        <v>55</v>
      </c>
      <c r="E133" s="11">
        <v>0</v>
      </c>
    </row>
    <row r="134" spans="2:5" ht="18.75" customHeight="1" x14ac:dyDescent="0.3">
      <c r="B134" s="10" t="s">
        <v>183</v>
      </c>
      <c r="C134" s="11">
        <v>0</v>
      </c>
      <c r="D134" s="11" t="s">
        <v>55</v>
      </c>
      <c r="E134" s="11">
        <v>0</v>
      </c>
    </row>
    <row r="135" spans="2:5" ht="18.75" customHeight="1" x14ac:dyDescent="0.3">
      <c r="B135" s="10" t="s">
        <v>184</v>
      </c>
      <c r="C135" s="11">
        <v>0</v>
      </c>
      <c r="D135" s="11" t="s">
        <v>55</v>
      </c>
      <c r="E135" s="11">
        <v>0</v>
      </c>
    </row>
    <row r="136" spans="2:5" ht="27.75" customHeight="1" x14ac:dyDescent="0.3">
      <c r="B136" s="10" t="s">
        <v>185</v>
      </c>
      <c r="C136" s="11">
        <v>0</v>
      </c>
      <c r="D136" s="11" t="s">
        <v>55</v>
      </c>
      <c r="E136" s="11">
        <v>0</v>
      </c>
    </row>
    <row r="137" spans="2:5" ht="18.75" customHeight="1" x14ac:dyDescent="0.3">
      <c r="B137" s="10" t="s">
        <v>186</v>
      </c>
      <c r="C137" s="11">
        <v>0</v>
      </c>
      <c r="D137" s="11" t="s">
        <v>55</v>
      </c>
      <c r="E137" s="11">
        <v>0</v>
      </c>
    </row>
    <row r="138" spans="2:5" ht="18.75" customHeight="1" x14ac:dyDescent="0.3">
      <c r="B138" s="10" t="s">
        <v>187</v>
      </c>
      <c r="C138" s="11">
        <v>0</v>
      </c>
      <c r="D138" s="11" t="s">
        <v>55</v>
      </c>
      <c r="E138" s="11">
        <v>0</v>
      </c>
    </row>
    <row r="139" spans="2:5" ht="15" customHeight="1" x14ac:dyDescent="0.3">
      <c r="B139" s="10" t="s">
        <v>188</v>
      </c>
      <c r="C139" s="11">
        <v>66.180000000000007</v>
      </c>
      <c r="D139" s="12">
        <v>1173798985</v>
      </c>
      <c r="E139" s="11">
        <v>66.180000000000007</v>
      </c>
    </row>
    <row r="140" spans="2:5" ht="15" customHeight="1" x14ac:dyDescent="0.3">
      <c r="B140" s="10" t="s">
        <v>189</v>
      </c>
      <c r="C140" s="11">
        <v>0</v>
      </c>
      <c r="D140" s="11" t="s">
        <v>55</v>
      </c>
      <c r="E140" s="11">
        <v>0</v>
      </c>
    </row>
    <row r="141" spans="2:5" ht="27.75" customHeight="1" x14ac:dyDescent="0.3">
      <c r="B141" s="10" t="s">
        <v>190</v>
      </c>
      <c r="C141" s="11">
        <v>7.0000000000000007E-2</v>
      </c>
      <c r="D141" s="12">
        <v>1206000</v>
      </c>
      <c r="E141" s="11">
        <v>7.0000000000000007E-2</v>
      </c>
    </row>
    <row r="142" spans="2:5" ht="15" customHeight="1" x14ac:dyDescent="0.3">
      <c r="B142" s="10" t="s">
        <v>191</v>
      </c>
      <c r="C142" s="11">
        <v>0</v>
      </c>
      <c r="D142" s="12">
        <v>15000</v>
      </c>
      <c r="E142" s="11">
        <v>0</v>
      </c>
    </row>
    <row r="143" spans="2:5" ht="15" customHeight="1" x14ac:dyDescent="0.3">
      <c r="B143" s="10" t="s">
        <v>192</v>
      </c>
      <c r="C143" s="11">
        <v>0</v>
      </c>
      <c r="D143" s="12">
        <v>30000</v>
      </c>
      <c r="E143" s="11">
        <v>0</v>
      </c>
    </row>
    <row r="144" spans="2:5" ht="15" customHeight="1" x14ac:dyDescent="0.3">
      <c r="B144" s="10" t="s">
        <v>193</v>
      </c>
      <c r="C144" s="11">
        <v>0.04</v>
      </c>
      <c r="D144" s="12">
        <v>660000</v>
      </c>
      <c r="E144" s="11">
        <v>0.04</v>
      </c>
    </row>
    <row r="145" spans="2:5" ht="15" customHeight="1" x14ac:dyDescent="0.3">
      <c r="B145" s="10" t="s">
        <v>194</v>
      </c>
      <c r="C145" s="11">
        <v>0</v>
      </c>
      <c r="D145" s="12">
        <v>80000</v>
      </c>
      <c r="E145" s="11">
        <v>0</v>
      </c>
    </row>
    <row r="146" spans="2:5" ht="15" customHeight="1" x14ac:dyDescent="0.3">
      <c r="B146" s="10" t="s">
        <v>195</v>
      </c>
      <c r="C146" s="11">
        <v>0</v>
      </c>
      <c r="D146" s="12">
        <v>21000</v>
      </c>
      <c r="E146" s="11">
        <v>0</v>
      </c>
    </row>
    <row r="147" spans="2:5" ht="15" customHeight="1" x14ac:dyDescent="0.3">
      <c r="B147" s="10" t="s">
        <v>196</v>
      </c>
      <c r="C147" s="11">
        <v>0.02</v>
      </c>
      <c r="D147" s="12">
        <v>300000</v>
      </c>
      <c r="E147" s="11">
        <v>0.02</v>
      </c>
    </row>
    <row r="148" spans="2:5" ht="15" customHeight="1" x14ac:dyDescent="0.3">
      <c r="B148" s="10" t="s">
        <v>197</v>
      </c>
      <c r="C148" s="11">
        <v>0.01</v>
      </c>
      <c r="D148" s="12">
        <v>100000</v>
      </c>
      <c r="E148" s="11">
        <v>0.01</v>
      </c>
    </row>
    <row r="149" spans="2:5" ht="15" customHeight="1" x14ac:dyDescent="0.3">
      <c r="B149" s="10" t="s">
        <v>198</v>
      </c>
      <c r="C149" s="11">
        <v>0</v>
      </c>
      <c r="D149" s="11" t="s">
        <v>55</v>
      </c>
      <c r="E149" s="11">
        <v>0</v>
      </c>
    </row>
    <row r="150" spans="2:5" ht="15" customHeight="1" x14ac:dyDescent="0.3">
      <c r="B150" s="10" t="s">
        <v>199</v>
      </c>
      <c r="C150" s="11">
        <v>0</v>
      </c>
      <c r="D150" s="11" t="s">
        <v>55</v>
      </c>
      <c r="E150" s="11">
        <v>0</v>
      </c>
    </row>
    <row r="151" spans="2:5" ht="15" customHeight="1" x14ac:dyDescent="0.3">
      <c r="B151" s="10" t="s">
        <v>200</v>
      </c>
      <c r="C151" s="11">
        <v>0</v>
      </c>
      <c r="D151" s="11" t="s">
        <v>55</v>
      </c>
      <c r="E151" s="11">
        <v>0</v>
      </c>
    </row>
    <row r="152" spans="2:5" ht="15" customHeight="1" x14ac:dyDescent="0.3">
      <c r="B152" s="10" t="s">
        <v>201</v>
      </c>
      <c r="C152" s="11">
        <v>0</v>
      </c>
      <c r="D152" s="11" t="s">
        <v>55</v>
      </c>
      <c r="E152" s="11">
        <v>0</v>
      </c>
    </row>
    <row r="153" spans="2:5" ht="15" customHeight="1" x14ac:dyDescent="0.3">
      <c r="B153" s="10" t="s">
        <v>202</v>
      </c>
      <c r="C153" s="11">
        <v>0</v>
      </c>
      <c r="D153" s="11" t="s">
        <v>55</v>
      </c>
      <c r="E153" s="11">
        <v>0</v>
      </c>
    </row>
    <row r="154" spans="2:5" ht="15" customHeight="1" x14ac:dyDescent="0.3">
      <c r="B154" s="10" t="s">
        <v>203</v>
      </c>
      <c r="C154" s="11">
        <v>0</v>
      </c>
      <c r="D154" s="11" t="s">
        <v>55</v>
      </c>
      <c r="E154" s="11">
        <v>0</v>
      </c>
    </row>
    <row r="155" spans="2:5" ht="15" customHeight="1" x14ac:dyDescent="0.3">
      <c r="B155" s="10" t="s">
        <v>204</v>
      </c>
      <c r="C155" s="11">
        <v>0</v>
      </c>
      <c r="D155" s="11" t="s">
        <v>55</v>
      </c>
      <c r="E155" s="11">
        <v>0</v>
      </c>
    </row>
    <row r="156" spans="2:5" ht="15" customHeight="1" x14ac:dyDescent="0.3">
      <c r="B156" s="10" t="s">
        <v>205</v>
      </c>
      <c r="C156" s="11">
        <v>0</v>
      </c>
      <c r="D156" s="11" t="s">
        <v>55</v>
      </c>
      <c r="E156" s="11">
        <v>0</v>
      </c>
    </row>
    <row r="157" spans="2:5" ht="15" customHeight="1" x14ac:dyDescent="0.3">
      <c r="B157" s="10" t="s">
        <v>206</v>
      </c>
      <c r="C157" s="11">
        <v>0</v>
      </c>
      <c r="D157" s="11" t="s">
        <v>55</v>
      </c>
      <c r="E157" s="11">
        <v>0</v>
      </c>
    </row>
    <row r="158" spans="2:5" ht="15" customHeight="1" x14ac:dyDescent="0.3">
      <c r="B158" s="10" t="s">
        <v>81</v>
      </c>
      <c r="C158" s="11">
        <v>0</v>
      </c>
      <c r="D158" s="11" t="s">
        <v>55</v>
      </c>
      <c r="E158" s="11">
        <v>0</v>
      </c>
    </row>
    <row r="159" spans="2:5" ht="18.75" customHeight="1" x14ac:dyDescent="0.3">
      <c r="B159" s="10" t="s">
        <v>207</v>
      </c>
      <c r="C159" s="11">
        <v>0</v>
      </c>
      <c r="D159" s="11" t="s">
        <v>55</v>
      </c>
      <c r="E159" s="11">
        <v>0</v>
      </c>
    </row>
    <row r="160" spans="2:5" ht="15" customHeight="1" x14ac:dyDescent="0.3">
      <c r="B160" s="10" t="s">
        <v>208</v>
      </c>
      <c r="C160" s="11">
        <v>0</v>
      </c>
      <c r="D160" s="11" t="s">
        <v>55</v>
      </c>
      <c r="E160" s="11">
        <v>0</v>
      </c>
    </row>
    <row r="161" spans="2:5" ht="18.75" customHeight="1" x14ac:dyDescent="0.3">
      <c r="B161" s="10" t="s">
        <v>209</v>
      </c>
      <c r="C161" s="11">
        <v>0</v>
      </c>
      <c r="D161" s="11" t="s">
        <v>55</v>
      </c>
      <c r="E161" s="11">
        <v>0</v>
      </c>
    </row>
    <row r="162" spans="2:5" ht="15" customHeight="1" x14ac:dyDescent="0.3">
      <c r="B162" s="10" t="s">
        <v>210</v>
      </c>
      <c r="C162" s="11">
        <v>0</v>
      </c>
      <c r="D162" s="11" t="s">
        <v>55</v>
      </c>
      <c r="E162" s="11">
        <v>0</v>
      </c>
    </row>
    <row r="163" spans="2:5" ht="15" customHeight="1" x14ac:dyDescent="0.3">
      <c r="B163" s="10" t="s">
        <v>211</v>
      </c>
      <c r="C163" s="11">
        <v>0</v>
      </c>
      <c r="D163" s="11" t="s">
        <v>55</v>
      </c>
      <c r="E163" s="11">
        <v>0</v>
      </c>
    </row>
    <row r="164" spans="2:5" ht="15" customHeight="1" x14ac:dyDescent="0.3">
      <c r="B164" s="10" t="s">
        <v>212</v>
      </c>
      <c r="C164" s="11">
        <v>0</v>
      </c>
      <c r="D164" s="11" t="s">
        <v>55</v>
      </c>
      <c r="E164" s="11">
        <v>0</v>
      </c>
    </row>
    <row r="165" spans="2:5" ht="15" customHeight="1" x14ac:dyDescent="0.3">
      <c r="B165" s="10" t="s">
        <v>213</v>
      </c>
      <c r="C165" s="11">
        <v>0</v>
      </c>
      <c r="D165" s="11" t="s">
        <v>55</v>
      </c>
      <c r="E165" s="11">
        <v>0</v>
      </c>
    </row>
    <row r="166" spans="2:5" ht="15" customHeight="1" x14ac:dyDescent="0.3">
      <c r="B166" s="10" t="s">
        <v>214</v>
      </c>
      <c r="C166" s="11">
        <v>7.0000000000000007E-2</v>
      </c>
      <c r="D166" s="12">
        <v>1206000</v>
      </c>
      <c r="E166" s="11">
        <v>7.0000000000000007E-2</v>
      </c>
    </row>
    <row r="167" spans="2:5" ht="15" customHeight="1" x14ac:dyDescent="0.3">
      <c r="B167" s="10" t="s">
        <v>215</v>
      </c>
      <c r="C167" s="11">
        <v>66.25</v>
      </c>
      <c r="D167" s="12">
        <v>1175004985</v>
      </c>
      <c r="E167" s="11">
        <v>66.25</v>
      </c>
    </row>
    <row r="168" spans="2:5" ht="14.25" customHeight="1" x14ac:dyDescent="0.3"/>
  </sheetData>
  <mergeCells count="6">
    <mergeCell ref="B2:E2"/>
    <mergeCell ref="B3:B5"/>
    <mergeCell ref="C3:C5"/>
    <mergeCell ref="D3:E3"/>
    <mergeCell ref="D4:D5"/>
    <mergeCell ref="E4:E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58"/>
  <sheetViews>
    <sheetView showGridLines="0" zoomScale="89" zoomScaleNormal="89" workbookViewId="0">
      <selection activeCell="M6" sqref="M6"/>
    </sheetView>
  </sheetViews>
  <sheetFormatPr defaultColWidth="8.7265625" defaultRowHeight="14" x14ac:dyDescent="0.3"/>
  <cols>
    <col min="1" max="1" width="2.81640625" style="2" customWidth="1"/>
    <col min="2" max="2" width="17.1796875" style="2" customWidth="1"/>
    <col min="3" max="3" width="8.1796875" style="2" customWidth="1"/>
    <col min="4" max="4" width="15.26953125" style="2" customWidth="1"/>
    <col min="5" max="5" width="14.7265625" style="2" customWidth="1"/>
    <col min="6" max="6" width="9.7265625" style="2" customWidth="1"/>
    <col min="7" max="7" width="12.7265625" style="2" customWidth="1"/>
    <col min="8" max="8" width="13.26953125" style="2" customWidth="1"/>
    <col min="9" max="9" width="19.81640625" style="2" customWidth="1"/>
    <col min="10" max="10" width="10" style="2" customWidth="1"/>
    <col min="11" max="11" width="16.90625" style="2" customWidth="1"/>
    <col min="12" max="16384" width="8.7265625" style="2"/>
  </cols>
  <sheetData>
    <row r="2" spans="2:11" ht="13.5" customHeight="1" x14ac:dyDescent="0.3">
      <c r="B2" s="408" t="s">
        <v>216</v>
      </c>
      <c r="C2" s="408"/>
      <c r="D2" s="408"/>
      <c r="E2" s="408"/>
      <c r="F2" s="408"/>
      <c r="G2" s="408"/>
      <c r="H2" s="408"/>
      <c r="I2" s="408"/>
      <c r="J2" s="408"/>
      <c r="K2" s="408"/>
    </row>
    <row r="3" spans="2:11" ht="13.5" customHeight="1" x14ac:dyDescent="0.3">
      <c r="B3" s="408"/>
      <c r="C3" s="408"/>
      <c r="D3" s="408"/>
      <c r="E3" s="408"/>
      <c r="F3" s="408"/>
      <c r="G3" s="408"/>
      <c r="H3" s="408"/>
      <c r="I3" s="408"/>
      <c r="J3" s="408"/>
      <c r="K3" s="408"/>
    </row>
    <row r="4" spans="2:11" ht="13.5" customHeight="1" x14ac:dyDescent="0.3">
      <c r="B4" s="409" t="s">
        <v>217</v>
      </c>
      <c r="C4" s="410" t="s">
        <v>218</v>
      </c>
      <c r="D4" s="410" t="s">
        <v>219</v>
      </c>
      <c r="E4" s="410" t="s">
        <v>220</v>
      </c>
      <c r="F4" s="410" t="s">
        <v>221</v>
      </c>
      <c r="G4" s="410" t="s">
        <v>222</v>
      </c>
      <c r="H4" s="410" t="s">
        <v>223</v>
      </c>
      <c r="I4" s="410" t="s">
        <v>224</v>
      </c>
      <c r="J4" s="410" t="s">
        <v>225</v>
      </c>
      <c r="K4" s="411" t="s">
        <v>226</v>
      </c>
    </row>
    <row r="5" spans="2:11" ht="13.5" customHeight="1" x14ac:dyDescent="0.3">
      <c r="B5" s="412"/>
      <c r="C5" s="406"/>
      <c r="D5" s="406"/>
      <c r="E5" s="406"/>
      <c r="F5" s="406"/>
      <c r="G5" s="406"/>
      <c r="H5" s="406"/>
      <c r="I5" s="406"/>
      <c r="J5" s="406"/>
      <c r="K5" s="413"/>
    </row>
    <row r="6" spans="2:11" ht="14.25" customHeight="1" x14ac:dyDescent="0.3">
      <c r="B6" s="414"/>
      <c r="C6" s="415"/>
      <c r="D6" s="415"/>
      <c r="E6" s="415"/>
      <c r="F6" s="415"/>
      <c r="G6" s="415"/>
      <c r="H6" s="415"/>
      <c r="I6" s="415"/>
      <c r="J6" s="415"/>
      <c r="K6" s="416"/>
    </row>
    <row r="7" spans="2:11" ht="13.5" customHeight="1" x14ac:dyDescent="0.3">
      <c r="B7" s="13" t="s">
        <v>227</v>
      </c>
      <c r="C7" s="14">
        <v>0</v>
      </c>
      <c r="D7" s="14">
        <v>0</v>
      </c>
      <c r="E7" s="14" t="s">
        <v>55</v>
      </c>
      <c r="F7" s="14">
        <v>0</v>
      </c>
      <c r="G7" s="14" t="s">
        <v>55</v>
      </c>
      <c r="H7" s="14">
        <v>0</v>
      </c>
      <c r="I7" s="14" t="s">
        <v>55</v>
      </c>
      <c r="J7" s="14">
        <v>0</v>
      </c>
      <c r="K7" s="14" t="s">
        <v>55</v>
      </c>
    </row>
    <row r="8" spans="2:11" ht="27.75" customHeight="1" x14ac:dyDescent="0.3">
      <c r="B8" s="13" t="s">
        <v>228</v>
      </c>
      <c r="C8" s="14">
        <v>0</v>
      </c>
      <c r="D8" s="14">
        <v>0</v>
      </c>
      <c r="E8" s="14" t="s">
        <v>55</v>
      </c>
      <c r="F8" s="14">
        <v>0</v>
      </c>
      <c r="G8" s="14" t="s">
        <v>55</v>
      </c>
      <c r="H8" s="14">
        <v>0</v>
      </c>
      <c r="I8" s="14" t="s">
        <v>55</v>
      </c>
      <c r="J8" s="14">
        <v>0</v>
      </c>
      <c r="K8" s="14" t="s">
        <v>55</v>
      </c>
    </row>
    <row r="9" spans="2:11" ht="13.5" customHeight="1" x14ac:dyDescent="0.3">
      <c r="B9" s="13" t="s">
        <v>229</v>
      </c>
      <c r="C9" s="14">
        <v>35</v>
      </c>
      <c r="D9" s="15">
        <v>125909430</v>
      </c>
      <c r="E9" s="15">
        <v>125909430</v>
      </c>
      <c r="F9" s="14">
        <v>7.1</v>
      </c>
      <c r="G9" s="15">
        <v>125909430</v>
      </c>
      <c r="H9" s="14">
        <v>7.1</v>
      </c>
      <c r="I9" s="15">
        <v>125909430</v>
      </c>
      <c r="J9" s="14">
        <v>7.09</v>
      </c>
      <c r="K9" s="15">
        <v>125909430</v>
      </c>
    </row>
    <row r="10" spans="2:11" ht="27.75" customHeight="1" x14ac:dyDescent="0.3">
      <c r="B10" s="13" t="s">
        <v>230</v>
      </c>
      <c r="C10" s="14">
        <v>1</v>
      </c>
      <c r="D10" s="15">
        <v>30784597</v>
      </c>
      <c r="E10" s="15">
        <v>30784597</v>
      </c>
      <c r="F10" s="14">
        <v>1.74</v>
      </c>
      <c r="G10" s="15">
        <v>30784597</v>
      </c>
      <c r="H10" s="14">
        <v>1.74</v>
      </c>
      <c r="I10" s="15">
        <v>30784597</v>
      </c>
      <c r="J10" s="14">
        <v>1.73</v>
      </c>
      <c r="K10" s="15">
        <v>30784597</v>
      </c>
    </row>
    <row r="11" spans="2:11" ht="69.75" customHeight="1" x14ac:dyDescent="0.3">
      <c r="B11" s="13" t="s">
        <v>231</v>
      </c>
      <c r="C11" s="14">
        <v>1</v>
      </c>
      <c r="D11" s="15">
        <v>45904492</v>
      </c>
      <c r="E11" s="15">
        <v>45904492</v>
      </c>
      <c r="F11" s="14">
        <v>2.59</v>
      </c>
      <c r="G11" s="15">
        <v>45904492</v>
      </c>
      <c r="H11" s="14">
        <v>2.59</v>
      </c>
      <c r="I11" s="15">
        <v>45904492</v>
      </c>
      <c r="J11" s="14">
        <v>2.58</v>
      </c>
      <c r="K11" s="15">
        <v>45904492</v>
      </c>
    </row>
    <row r="12" spans="2:11" ht="27.75" customHeight="1" x14ac:dyDescent="0.3">
      <c r="B12" s="13" t="s">
        <v>232</v>
      </c>
      <c r="C12" s="14">
        <v>0</v>
      </c>
      <c r="D12" s="14">
        <v>0</v>
      </c>
      <c r="E12" s="14" t="s">
        <v>55</v>
      </c>
      <c r="F12" s="14">
        <v>0</v>
      </c>
      <c r="G12" s="14" t="s">
        <v>55</v>
      </c>
      <c r="H12" s="14">
        <v>0</v>
      </c>
      <c r="I12" s="14" t="s">
        <v>55</v>
      </c>
      <c r="J12" s="14">
        <v>0</v>
      </c>
      <c r="K12" s="14" t="s">
        <v>55</v>
      </c>
    </row>
    <row r="13" spans="2:11" ht="42" customHeight="1" x14ac:dyDescent="0.3">
      <c r="B13" s="13" t="s">
        <v>233</v>
      </c>
      <c r="C13" s="14">
        <v>4</v>
      </c>
      <c r="D13" s="15">
        <v>259605</v>
      </c>
      <c r="E13" s="15">
        <v>259605</v>
      </c>
      <c r="F13" s="14">
        <v>0.01</v>
      </c>
      <c r="G13" s="15">
        <v>259605</v>
      </c>
      <c r="H13" s="14">
        <v>0.01</v>
      </c>
      <c r="I13" s="15">
        <v>259605</v>
      </c>
      <c r="J13" s="14">
        <v>0.01</v>
      </c>
      <c r="K13" s="15">
        <v>259605</v>
      </c>
    </row>
    <row r="14" spans="2:11" ht="13.5" customHeight="1" x14ac:dyDescent="0.3">
      <c r="B14" s="13" t="s">
        <v>234</v>
      </c>
      <c r="C14" s="14">
        <v>3</v>
      </c>
      <c r="D14" s="15">
        <v>974315</v>
      </c>
      <c r="E14" s="15">
        <v>974315</v>
      </c>
      <c r="F14" s="14">
        <v>0.05</v>
      </c>
      <c r="G14" s="15">
        <v>974315</v>
      </c>
      <c r="H14" s="14">
        <v>0.05</v>
      </c>
      <c r="I14" s="15">
        <v>974315</v>
      </c>
      <c r="J14" s="14">
        <v>0.05</v>
      </c>
      <c r="K14" s="15">
        <v>974315</v>
      </c>
    </row>
    <row r="15" spans="2:11" ht="27.75" customHeight="1" x14ac:dyDescent="0.3">
      <c r="B15" s="13" t="s">
        <v>235</v>
      </c>
      <c r="C15" s="14">
        <v>28</v>
      </c>
      <c r="D15" s="15">
        <v>177720958</v>
      </c>
      <c r="E15" s="15">
        <v>177720958</v>
      </c>
      <c r="F15" s="14">
        <v>10.02</v>
      </c>
      <c r="G15" s="15">
        <v>177720958</v>
      </c>
      <c r="H15" s="14">
        <v>10.02</v>
      </c>
      <c r="I15" s="15">
        <v>177720958</v>
      </c>
      <c r="J15" s="14">
        <v>10</v>
      </c>
      <c r="K15" s="15">
        <v>177720958</v>
      </c>
    </row>
    <row r="16" spans="2:11" ht="69.75" customHeight="1" x14ac:dyDescent="0.3">
      <c r="B16" s="13" t="s">
        <v>236</v>
      </c>
      <c r="C16" s="14">
        <v>1</v>
      </c>
      <c r="D16" s="15">
        <v>151981918</v>
      </c>
      <c r="E16" s="15">
        <v>151981918</v>
      </c>
      <c r="F16" s="14">
        <v>8.57</v>
      </c>
      <c r="G16" s="15">
        <v>151981918</v>
      </c>
      <c r="H16" s="14">
        <v>8.57</v>
      </c>
      <c r="I16" s="15">
        <v>151981918</v>
      </c>
      <c r="J16" s="14">
        <v>8.5500000000000007</v>
      </c>
      <c r="K16" s="15">
        <v>151981918</v>
      </c>
    </row>
    <row r="17" spans="2:11" ht="42" customHeight="1" x14ac:dyDescent="0.3">
      <c r="B17" s="13" t="s">
        <v>237</v>
      </c>
      <c r="C17" s="14">
        <v>1</v>
      </c>
      <c r="D17" s="15">
        <v>22462399</v>
      </c>
      <c r="E17" s="15">
        <v>22462399</v>
      </c>
      <c r="F17" s="14">
        <v>1.27</v>
      </c>
      <c r="G17" s="15">
        <v>22462399</v>
      </c>
      <c r="H17" s="14">
        <v>1.27</v>
      </c>
      <c r="I17" s="15">
        <v>22462399</v>
      </c>
      <c r="J17" s="14">
        <v>1.26</v>
      </c>
      <c r="K17" s="15">
        <v>22462399</v>
      </c>
    </row>
    <row r="18" spans="2:11" ht="55.5" customHeight="1" x14ac:dyDescent="0.3">
      <c r="B18" s="13" t="s">
        <v>238</v>
      </c>
      <c r="C18" s="14">
        <v>1</v>
      </c>
      <c r="D18" s="15">
        <v>22462399</v>
      </c>
      <c r="E18" s="15">
        <v>22462399</v>
      </c>
      <c r="F18" s="14">
        <v>1.27</v>
      </c>
      <c r="G18" s="15">
        <v>22462399</v>
      </c>
      <c r="H18" s="14">
        <v>1.27</v>
      </c>
      <c r="I18" s="15">
        <v>22462399</v>
      </c>
      <c r="J18" s="14">
        <v>1.26</v>
      </c>
      <c r="K18" s="15">
        <v>22462399</v>
      </c>
    </row>
    <row r="19" spans="2:11" ht="42" customHeight="1" x14ac:dyDescent="0.3">
      <c r="B19" s="13" t="s">
        <v>239</v>
      </c>
      <c r="C19" s="14">
        <v>0</v>
      </c>
      <c r="D19" s="14">
        <v>0</v>
      </c>
      <c r="E19" s="14" t="s">
        <v>55</v>
      </c>
      <c r="F19" s="14">
        <v>0</v>
      </c>
      <c r="G19" s="14" t="s">
        <v>55</v>
      </c>
      <c r="H19" s="14">
        <v>0</v>
      </c>
      <c r="I19" s="14" t="s">
        <v>55</v>
      </c>
      <c r="J19" s="14">
        <v>0</v>
      </c>
      <c r="K19" s="14" t="s">
        <v>55</v>
      </c>
    </row>
    <row r="20" spans="2:11" ht="27.75" customHeight="1" x14ac:dyDescent="0.3">
      <c r="B20" s="13" t="s">
        <v>240</v>
      </c>
      <c r="C20" s="14">
        <v>2</v>
      </c>
      <c r="D20" s="15">
        <v>1812410</v>
      </c>
      <c r="E20" s="15">
        <v>1812410</v>
      </c>
      <c r="F20" s="14">
        <v>0.1</v>
      </c>
      <c r="G20" s="15">
        <v>1812410</v>
      </c>
      <c r="H20" s="14">
        <v>0.1</v>
      </c>
      <c r="I20" s="15">
        <v>1812410</v>
      </c>
      <c r="J20" s="14">
        <v>0.1</v>
      </c>
      <c r="K20" s="15">
        <v>1812410</v>
      </c>
    </row>
    <row r="21" spans="2:11" ht="42" customHeight="1" x14ac:dyDescent="0.3">
      <c r="B21" s="13" t="s">
        <v>241</v>
      </c>
      <c r="C21" s="14">
        <v>8</v>
      </c>
      <c r="D21" s="15">
        <v>128500</v>
      </c>
      <c r="E21" s="15">
        <v>128500</v>
      </c>
      <c r="F21" s="14">
        <v>0.01</v>
      </c>
      <c r="G21" s="15">
        <v>128500</v>
      </c>
      <c r="H21" s="14">
        <v>0.01</v>
      </c>
      <c r="I21" s="15">
        <v>128500</v>
      </c>
      <c r="J21" s="14">
        <v>0.01</v>
      </c>
      <c r="K21" s="15">
        <v>128500</v>
      </c>
    </row>
    <row r="22" spans="2:11" ht="27.75" customHeight="1" x14ac:dyDescent="0.3">
      <c r="B22" s="13" t="s">
        <v>242</v>
      </c>
      <c r="C22" s="14">
        <v>0</v>
      </c>
      <c r="D22" s="14">
        <v>0</v>
      </c>
      <c r="E22" s="14" t="s">
        <v>55</v>
      </c>
      <c r="F22" s="14">
        <v>0</v>
      </c>
      <c r="G22" s="14" t="s">
        <v>55</v>
      </c>
      <c r="H22" s="14">
        <v>0</v>
      </c>
      <c r="I22" s="14" t="s">
        <v>55</v>
      </c>
      <c r="J22" s="14">
        <v>0</v>
      </c>
      <c r="K22" s="14" t="s">
        <v>55</v>
      </c>
    </row>
    <row r="23" spans="2:11" ht="42" customHeight="1" x14ac:dyDescent="0.3">
      <c r="B23" s="13" t="s">
        <v>243</v>
      </c>
      <c r="C23" s="14">
        <v>0</v>
      </c>
      <c r="D23" s="14">
        <v>0</v>
      </c>
      <c r="E23" s="14" t="s">
        <v>55</v>
      </c>
      <c r="F23" s="14">
        <v>0</v>
      </c>
      <c r="G23" s="14" t="s">
        <v>55</v>
      </c>
      <c r="H23" s="14">
        <v>0</v>
      </c>
      <c r="I23" s="14" t="s">
        <v>55</v>
      </c>
      <c r="J23" s="14">
        <v>0</v>
      </c>
      <c r="K23" s="14" t="s">
        <v>55</v>
      </c>
    </row>
    <row r="24" spans="2:11" ht="13.5" customHeight="1" x14ac:dyDescent="0.3">
      <c r="B24" s="13" t="s">
        <v>244</v>
      </c>
      <c r="C24" s="14">
        <v>81</v>
      </c>
      <c r="D24" s="15">
        <v>329267617</v>
      </c>
      <c r="E24" s="15">
        <v>329267617</v>
      </c>
      <c r="F24" s="14">
        <v>18.559999999999999</v>
      </c>
      <c r="G24" s="15">
        <v>329267617</v>
      </c>
      <c r="H24" s="14">
        <v>18.559999999999999</v>
      </c>
      <c r="I24" s="15">
        <v>329267617</v>
      </c>
      <c r="J24" s="14">
        <v>18.53</v>
      </c>
      <c r="K24" s="15">
        <v>329267617</v>
      </c>
    </row>
    <row r="25" spans="2:11" ht="27.75" customHeight="1" x14ac:dyDescent="0.3">
      <c r="B25" s="13" t="s">
        <v>245</v>
      </c>
      <c r="C25" s="14">
        <v>0</v>
      </c>
      <c r="D25" s="14">
        <v>0</v>
      </c>
      <c r="E25" s="14" t="s">
        <v>55</v>
      </c>
      <c r="F25" s="14">
        <v>0</v>
      </c>
      <c r="G25" s="14" t="s">
        <v>55</v>
      </c>
      <c r="H25" s="14">
        <v>0</v>
      </c>
      <c r="I25" s="14" t="s">
        <v>55</v>
      </c>
      <c r="J25" s="14">
        <v>0</v>
      </c>
      <c r="K25" s="14" t="s">
        <v>55</v>
      </c>
    </row>
    <row r="26" spans="2:11" ht="27.75" customHeight="1" x14ac:dyDescent="0.3">
      <c r="B26" s="13" t="s">
        <v>246</v>
      </c>
      <c r="C26" s="14">
        <v>0</v>
      </c>
      <c r="D26" s="14">
        <v>0</v>
      </c>
      <c r="E26" s="14" t="s">
        <v>55</v>
      </c>
      <c r="F26" s="14">
        <v>0</v>
      </c>
      <c r="G26" s="14" t="s">
        <v>55</v>
      </c>
      <c r="H26" s="14">
        <v>0</v>
      </c>
      <c r="I26" s="14" t="s">
        <v>55</v>
      </c>
      <c r="J26" s="14">
        <v>0</v>
      </c>
      <c r="K26" s="14" t="s">
        <v>55</v>
      </c>
    </row>
    <row r="27" spans="2:11" ht="42" customHeight="1" x14ac:dyDescent="0.3">
      <c r="B27" s="13" t="s">
        <v>247</v>
      </c>
      <c r="C27" s="14">
        <v>0</v>
      </c>
      <c r="D27" s="14">
        <v>0</v>
      </c>
      <c r="E27" s="14" t="s">
        <v>55</v>
      </c>
      <c r="F27" s="14">
        <v>0</v>
      </c>
      <c r="G27" s="14" t="s">
        <v>55</v>
      </c>
      <c r="H27" s="14">
        <v>0</v>
      </c>
      <c r="I27" s="14" t="s">
        <v>55</v>
      </c>
      <c r="J27" s="14">
        <v>0</v>
      </c>
      <c r="K27" s="14" t="s">
        <v>55</v>
      </c>
    </row>
    <row r="28" spans="2:11" ht="27.75" customHeight="1" x14ac:dyDescent="0.3">
      <c r="B28" s="13" t="s">
        <v>240</v>
      </c>
      <c r="C28" s="14">
        <v>0</v>
      </c>
      <c r="D28" s="14">
        <v>0</v>
      </c>
      <c r="E28" s="14" t="s">
        <v>55</v>
      </c>
      <c r="F28" s="14">
        <v>0</v>
      </c>
      <c r="G28" s="14" t="s">
        <v>55</v>
      </c>
      <c r="H28" s="14">
        <v>0</v>
      </c>
      <c r="I28" s="14" t="s">
        <v>55</v>
      </c>
      <c r="J28" s="14">
        <v>0</v>
      </c>
      <c r="K28" s="14" t="s">
        <v>55</v>
      </c>
    </row>
    <row r="29" spans="2:11" ht="55.5" customHeight="1" x14ac:dyDescent="0.3">
      <c r="B29" s="13" t="s">
        <v>248</v>
      </c>
      <c r="C29" s="14">
        <v>623</v>
      </c>
      <c r="D29" s="15">
        <v>172140677</v>
      </c>
      <c r="E29" s="15">
        <v>172140677</v>
      </c>
      <c r="F29" s="14">
        <v>9.7100000000000009</v>
      </c>
      <c r="G29" s="15">
        <v>172140677</v>
      </c>
      <c r="H29" s="14">
        <v>9.7100000000000009</v>
      </c>
      <c r="I29" s="15">
        <v>172140677</v>
      </c>
      <c r="J29" s="14">
        <v>9.69</v>
      </c>
      <c r="K29" s="15">
        <v>172140677</v>
      </c>
    </row>
    <row r="30" spans="2:11" ht="55.5" customHeight="1" x14ac:dyDescent="0.3">
      <c r="B30" s="13" t="s">
        <v>249</v>
      </c>
      <c r="C30" s="14">
        <v>32</v>
      </c>
      <c r="D30" s="15">
        <v>4798098</v>
      </c>
      <c r="E30" s="15">
        <v>4798098</v>
      </c>
      <c r="F30" s="14">
        <v>0.27</v>
      </c>
      <c r="G30" s="15">
        <v>4798098</v>
      </c>
      <c r="H30" s="14">
        <v>0.27</v>
      </c>
      <c r="I30" s="15">
        <v>4798098</v>
      </c>
      <c r="J30" s="14">
        <v>0.27</v>
      </c>
      <c r="K30" s="15">
        <v>4798098</v>
      </c>
    </row>
    <row r="31" spans="2:11" ht="69.75" customHeight="1" x14ac:dyDescent="0.3">
      <c r="B31" s="13" t="s">
        <v>250</v>
      </c>
      <c r="C31" s="14">
        <v>1</v>
      </c>
      <c r="D31" s="15">
        <v>6000</v>
      </c>
      <c r="E31" s="15">
        <v>6000</v>
      </c>
      <c r="F31" s="14">
        <v>0</v>
      </c>
      <c r="G31" s="15">
        <v>6000</v>
      </c>
      <c r="H31" s="14">
        <v>0</v>
      </c>
      <c r="I31" s="15">
        <v>6000</v>
      </c>
      <c r="J31" s="14">
        <v>0</v>
      </c>
      <c r="K31" s="14" t="s">
        <v>55</v>
      </c>
    </row>
    <row r="32" spans="2:11" ht="42" customHeight="1" x14ac:dyDescent="0.3">
      <c r="B32" s="13" t="s">
        <v>251</v>
      </c>
      <c r="C32" s="14">
        <v>1</v>
      </c>
      <c r="D32" s="15">
        <v>6000</v>
      </c>
      <c r="E32" s="15">
        <v>6000</v>
      </c>
      <c r="F32" s="14">
        <v>0</v>
      </c>
      <c r="G32" s="15">
        <v>6000</v>
      </c>
      <c r="H32" s="14">
        <v>0</v>
      </c>
      <c r="I32" s="15">
        <v>6000</v>
      </c>
      <c r="J32" s="14">
        <v>0</v>
      </c>
      <c r="K32" s="15">
        <v>6000</v>
      </c>
    </row>
    <row r="33" spans="2:11" ht="13.5" customHeight="1" x14ac:dyDescent="0.3">
      <c r="B33" s="13" t="s">
        <v>252</v>
      </c>
      <c r="C33" s="14">
        <v>1</v>
      </c>
      <c r="D33" s="15">
        <v>6000</v>
      </c>
      <c r="E33" s="15">
        <v>6000</v>
      </c>
      <c r="F33" s="14">
        <v>0</v>
      </c>
      <c r="G33" s="15">
        <v>6000</v>
      </c>
      <c r="H33" s="14">
        <v>0</v>
      </c>
      <c r="I33" s="15">
        <v>6000</v>
      </c>
      <c r="J33" s="14">
        <v>0</v>
      </c>
      <c r="K33" s="15">
        <v>6000</v>
      </c>
    </row>
    <row r="34" spans="2:11" ht="13.5" customHeight="1" x14ac:dyDescent="0.3">
      <c r="B34" s="13" t="s">
        <v>253</v>
      </c>
      <c r="C34" s="14">
        <v>657</v>
      </c>
      <c r="D34" s="15">
        <v>176950775</v>
      </c>
      <c r="E34" s="15">
        <v>176950775</v>
      </c>
      <c r="F34" s="14">
        <v>9.98</v>
      </c>
      <c r="G34" s="15">
        <v>176950775</v>
      </c>
      <c r="H34" s="14">
        <v>9.98</v>
      </c>
      <c r="I34" s="15">
        <v>176950775</v>
      </c>
      <c r="J34" s="14">
        <v>9.9600000000000009</v>
      </c>
      <c r="K34" s="15">
        <v>176944775</v>
      </c>
    </row>
    <row r="35" spans="2:11" ht="84" customHeight="1" x14ac:dyDescent="0.3">
      <c r="B35" s="13" t="s">
        <v>254</v>
      </c>
      <c r="C35" s="14">
        <v>0</v>
      </c>
      <c r="D35" s="14">
        <v>0</v>
      </c>
      <c r="E35" s="14" t="s">
        <v>55</v>
      </c>
      <c r="F35" s="14">
        <v>0</v>
      </c>
      <c r="G35" s="14" t="s">
        <v>55</v>
      </c>
      <c r="H35" s="14">
        <v>0</v>
      </c>
      <c r="I35" s="14" t="s">
        <v>55</v>
      </c>
      <c r="J35" s="14">
        <v>0</v>
      </c>
      <c r="K35" s="14" t="s">
        <v>55</v>
      </c>
    </row>
    <row r="36" spans="2:11" ht="55.5" customHeight="1" x14ac:dyDescent="0.3">
      <c r="B36" s="13" t="s">
        <v>255</v>
      </c>
      <c r="C36" s="14">
        <v>0</v>
      </c>
      <c r="D36" s="14">
        <v>0</v>
      </c>
      <c r="E36" s="14" t="s">
        <v>55</v>
      </c>
      <c r="F36" s="14">
        <v>0</v>
      </c>
      <c r="G36" s="14" t="s">
        <v>55</v>
      </c>
      <c r="H36" s="14">
        <v>0</v>
      </c>
      <c r="I36" s="14" t="s">
        <v>55</v>
      </c>
      <c r="J36" s="14">
        <v>0</v>
      </c>
      <c r="K36" s="14" t="s">
        <v>55</v>
      </c>
    </row>
    <row r="37" spans="2:11" ht="42" customHeight="1" x14ac:dyDescent="0.3">
      <c r="B37" s="13" t="s">
        <v>256</v>
      </c>
      <c r="C37" s="14">
        <v>0</v>
      </c>
      <c r="D37" s="14">
        <v>0</v>
      </c>
      <c r="E37" s="14" t="s">
        <v>55</v>
      </c>
      <c r="F37" s="14">
        <v>0</v>
      </c>
      <c r="G37" s="14" t="s">
        <v>55</v>
      </c>
      <c r="H37" s="14">
        <v>0</v>
      </c>
      <c r="I37" s="14" t="s">
        <v>55</v>
      </c>
      <c r="J37" s="14">
        <v>0</v>
      </c>
      <c r="K37" s="14" t="s">
        <v>55</v>
      </c>
    </row>
    <row r="38" spans="2:11" ht="97.5" customHeight="1" x14ac:dyDescent="0.3">
      <c r="B38" s="13" t="s">
        <v>257</v>
      </c>
      <c r="C38" s="14">
        <v>1</v>
      </c>
      <c r="D38" s="14">
        <v>238</v>
      </c>
      <c r="E38" s="14">
        <v>238</v>
      </c>
      <c r="F38" s="14">
        <v>0</v>
      </c>
      <c r="G38" s="14">
        <v>238</v>
      </c>
      <c r="H38" s="14">
        <v>0</v>
      </c>
      <c r="I38" s="14">
        <v>238</v>
      </c>
      <c r="J38" s="14">
        <v>0</v>
      </c>
      <c r="K38" s="14">
        <v>238</v>
      </c>
    </row>
    <row r="39" spans="2:11" ht="13.5" customHeight="1" x14ac:dyDescent="0.3">
      <c r="B39" s="13" t="s">
        <v>258</v>
      </c>
      <c r="C39" s="14">
        <v>1</v>
      </c>
      <c r="D39" s="14">
        <v>238</v>
      </c>
      <c r="E39" s="14">
        <v>238</v>
      </c>
      <c r="F39" s="14">
        <v>0</v>
      </c>
      <c r="G39" s="14">
        <v>238</v>
      </c>
      <c r="H39" s="14">
        <v>0</v>
      </c>
      <c r="I39" s="14">
        <v>238</v>
      </c>
      <c r="J39" s="14">
        <v>0</v>
      </c>
      <c r="K39" s="14">
        <v>238</v>
      </c>
    </row>
    <row r="40" spans="2:11" ht="27.75" customHeight="1" x14ac:dyDescent="0.3">
      <c r="B40" s="13" t="s">
        <v>259</v>
      </c>
      <c r="C40" s="14">
        <v>0</v>
      </c>
      <c r="D40" s="14">
        <v>0</v>
      </c>
      <c r="E40" s="14" t="s">
        <v>55</v>
      </c>
      <c r="F40" s="14">
        <v>0</v>
      </c>
      <c r="G40" s="14" t="s">
        <v>55</v>
      </c>
      <c r="H40" s="14">
        <v>0</v>
      </c>
      <c r="I40" s="14" t="s">
        <v>55</v>
      </c>
      <c r="J40" s="14">
        <v>0</v>
      </c>
      <c r="K40" s="14" t="s">
        <v>55</v>
      </c>
    </row>
    <row r="41" spans="2:11" ht="42" customHeight="1" x14ac:dyDescent="0.3">
      <c r="B41" s="13" t="s">
        <v>260</v>
      </c>
      <c r="C41" s="14">
        <v>0</v>
      </c>
      <c r="D41" s="14">
        <v>0</v>
      </c>
      <c r="E41" s="14" t="s">
        <v>55</v>
      </c>
      <c r="F41" s="14">
        <v>0</v>
      </c>
      <c r="G41" s="14" t="s">
        <v>55</v>
      </c>
      <c r="H41" s="14">
        <v>0</v>
      </c>
      <c r="I41" s="14" t="s">
        <v>55</v>
      </c>
      <c r="J41" s="14">
        <v>0</v>
      </c>
      <c r="K41" s="14" t="s">
        <v>55</v>
      </c>
    </row>
    <row r="42" spans="2:11" ht="97.5" customHeight="1" x14ac:dyDescent="0.3">
      <c r="B42" s="13" t="s">
        <v>261</v>
      </c>
      <c r="C42" s="14">
        <v>3</v>
      </c>
      <c r="D42" s="15">
        <v>4784865</v>
      </c>
      <c r="E42" s="15">
        <v>4784865</v>
      </c>
      <c r="F42" s="14">
        <v>0.27</v>
      </c>
      <c r="G42" s="15">
        <v>4784865</v>
      </c>
      <c r="H42" s="14">
        <v>0.27</v>
      </c>
      <c r="I42" s="15">
        <v>6819315</v>
      </c>
      <c r="J42" s="14">
        <v>0.38</v>
      </c>
      <c r="K42" s="15">
        <v>4784865</v>
      </c>
    </row>
    <row r="43" spans="2:11" ht="27.75" customHeight="1" x14ac:dyDescent="0.3">
      <c r="B43" s="13" t="s">
        <v>262</v>
      </c>
      <c r="C43" s="14">
        <v>3</v>
      </c>
      <c r="D43" s="15">
        <v>375082</v>
      </c>
      <c r="E43" s="15">
        <v>375082</v>
      </c>
      <c r="F43" s="14">
        <v>0.02</v>
      </c>
      <c r="G43" s="15">
        <v>375082</v>
      </c>
      <c r="H43" s="14">
        <v>0.02</v>
      </c>
      <c r="I43" s="15">
        <v>445282</v>
      </c>
      <c r="J43" s="14">
        <v>0.03</v>
      </c>
      <c r="K43" s="15">
        <v>375082</v>
      </c>
    </row>
    <row r="44" spans="2:11" ht="139.5" customHeight="1" x14ac:dyDescent="0.3">
      <c r="B44" s="13" t="s">
        <v>263</v>
      </c>
      <c r="C44" s="14">
        <v>0</v>
      </c>
      <c r="D44" s="14">
        <v>0</v>
      </c>
      <c r="E44" s="14" t="s">
        <v>55</v>
      </c>
      <c r="F44" s="14">
        <v>0</v>
      </c>
      <c r="G44" s="14" t="s">
        <v>55</v>
      </c>
      <c r="H44" s="14">
        <v>0</v>
      </c>
      <c r="I44" s="14" t="s">
        <v>55</v>
      </c>
      <c r="J44" s="14">
        <v>0</v>
      </c>
      <c r="K44" s="14" t="s">
        <v>55</v>
      </c>
    </row>
    <row r="45" spans="2:11" ht="139.5" customHeight="1" x14ac:dyDescent="0.3">
      <c r="B45" s="13" t="s">
        <v>264</v>
      </c>
      <c r="C45" s="14">
        <v>0</v>
      </c>
      <c r="D45" s="14">
        <v>0</v>
      </c>
      <c r="E45" s="14" t="s">
        <v>55</v>
      </c>
      <c r="F45" s="14">
        <v>0</v>
      </c>
      <c r="G45" s="14" t="s">
        <v>55</v>
      </c>
      <c r="H45" s="14">
        <v>0</v>
      </c>
      <c r="I45" s="14" t="s">
        <v>55</v>
      </c>
      <c r="J45" s="14">
        <v>0</v>
      </c>
      <c r="K45" s="14" t="s">
        <v>55</v>
      </c>
    </row>
    <row r="46" spans="2:11" ht="55.5" customHeight="1" x14ac:dyDescent="0.3">
      <c r="B46" s="13" t="s">
        <v>265</v>
      </c>
      <c r="C46" s="14">
        <v>1</v>
      </c>
      <c r="D46" s="15">
        <v>2964326</v>
      </c>
      <c r="E46" s="15">
        <v>2964326</v>
      </c>
      <c r="F46" s="14">
        <v>0.17</v>
      </c>
      <c r="G46" s="15">
        <v>2964326</v>
      </c>
      <c r="H46" s="14">
        <v>0.17</v>
      </c>
      <c r="I46" s="15">
        <v>2964326</v>
      </c>
      <c r="J46" s="14">
        <v>0.17</v>
      </c>
      <c r="K46" s="15">
        <v>2964326</v>
      </c>
    </row>
    <row r="47" spans="2:11" ht="69.75" customHeight="1" x14ac:dyDescent="0.3">
      <c r="B47" s="13" t="s">
        <v>266</v>
      </c>
      <c r="C47" s="15">
        <v>453934</v>
      </c>
      <c r="D47" s="15">
        <v>64638915</v>
      </c>
      <c r="E47" s="15">
        <v>64638915</v>
      </c>
      <c r="F47" s="14">
        <v>3.64</v>
      </c>
      <c r="G47" s="15">
        <v>64638915</v>
      </c>
      <c r="H47" s="14">
        <v>3.64</v>
      </c>
      <c r="I47" s="15">
        <v>65823100</v>
      </c>
      <c r="J47" s="14">
        <v>3.7</v>
      </c>
      <c r="K47" s="15">
        <v>63466139</v>
      </c>
    </row>
    <row r="48" spans="2:11" ht="84" customHeight="1" x14ac:dyDescent="0.3">
      <c r="B48" s="13" t="s">
        <v>267</v>
      </c>
      <c r="C48" s="14">
        <v>14</v>
      </c>
      <c r="D48" s="15">
        <v>8569664</v>
      </c>
      <c r="E48" s="15">
        <v>8569664</v>
      </c>
      <c r="F48" s="14">
        <v>0.48</v>
      </c>
      <c r="G48" s="15">
        <v>8569664</v>
      </c>
      <c r="H48" s="14">
        <v>0.48</v>
      </c>
      <c r="I48" s="15">
        <v>8569664</v>
      </c>
      <c r="J48" s="14">
        <v>0.48</v>
      </c>
      <c r="K48" s="15">
        <v>8569664</v>
      </c>
    </row>
    <row r="49" spans="2:11" ht="27.75" customHeight="1" x14ac:dyDescent="0.3">
      <c r="B49" s="13" t="s">
        <v>268</v>
      </c>
      <c r="C49" s="15">
        <v>10084</v>
      </c>
      <c r="D49" s="15">
        <v>4836932</v>
      </c>
      <c r="E49" s="15">
        <v>4836932</v>
      </c>
      <c r="F49" s="14">
        <v>0.27</v>
      </c>
      <c r="G49" s="15">
        <v>4836932</v>
      </c>
      <c r="H49" s="14">
        <v>0.27</v>
      </c>
      <c r="I49" s="15">
        <v>4836932</v>
      </c>
      <c r="J49" s="14">
        <v>0.27</v>
      </c>
      <c r="K49" s="15">
        <v>4523432</v>
      </c>
    </row>
    <row r="50" spans="2:11" ht="27.75" customHeight="1" x14ac:dyDescent="0.3">
      <c r="B50" s="13" t="s">
        <v>269</v>
      </c>
      <c r="C50" s="14">
        <v>2</v>
      </c>
      <c r="D50" s="15">
        <v>1919</v>
      </c>
      <c r="E50" s="15">
        <v>1919</v>
      </c>
      <c r="F50" s="14">
        <v>0</v>
      </c>
      <c r="G50" s="15">
        <v>1919</v>
      </c>
      <c r="H50" s="14">
        <v>0</v>
      </c>
      <c r="I50" s="15">
        <v>1919</v>
      </c>
      <c r="J50" s="14">
        <v>0</v>
      </c>
      <c r="K50" s="15">
        <v>1919</v>
      </c>
    </row>
    <row r="51" spans="2:11" ht="27.75" customHeight="1" x14ac:dyDescent="0.3">
      <c r="B51" s="13" t="s">
        <v>270</v>
      </c>
      <c r="C51" s="14">
        <v>1</v>
      </c>
      <c r="D51" s="15">
        <v>78000</v>
      </c>
      <c r="E51" s="15">
        <v>78000</v>
      </c>
      <c r="F51" s="14">
        <v>0</v>
      </c>
      <c r="G51" s="15">
        <v>78000</v>
      </c>
      <c r="H51" s="14">
        <v>0</v>
      </c>
      <c r="I51" s="15">
        <v>78000</v>
      </c>
      <c r="J51" s="14">
        <v>0</v>
      </c>
      <c r="K51" s="15">
        <v>78000</v>
      </c>
    </row>
    <row r="52" spans="2:11" ht="27.75" customHeight="1" x14ac:dyDescent="0.3">
      <c r="B52" s="13" t="s">
        <v>271</v>
      </c>
      <c r="C52" s="14">
        <v>928</v>
      </c>
      <c r="D52" s="15">
        <v>4421223</v>
      </c>
      <c r="E52" s="15">
        <v>4421223</v>
      </c>
      <c r="F52" s="14">
        <v>0.25</v>
      </c>
      <c r="G52" s="15">
        <v>4421223</v>
      </c>
      <c r="H52" s="14">
        <v>0.25</v>
      </c>
      <c r="I52" s="15">
        <v>4421223</v>
      </c>
      <c r="J52" s="14">
        <v>0.25</v>
      </c>
      <c r="K52" s="15">
        <v>4418223</v>
      </c>
    </row>
    <row r="53" spans="2:11" ht="27.75" customHeight="1" x14ac:dyDescent="0.3">
      <c r="B53" s="13" t="s">
        <v>81</v>
      </c>
      <c r="C53" s="15">
        <v>3889</v>
      </c>
      <c r="D53" s="15">
        <v>1795631</v>
      </c>
      <c r="E53" s="15">
        <v>1795631</v>
      </c>
      <c r="F53" s="14">
        <v>0.1</v>
      </c>
      <c r="G53" s="15">
        <v>1795631</v>
      </c>
      <c r="H53" s="14">
        <v>0.1</v>
      </c>
      <c r="I53" s="15">
        <v>1795631</v>
      </c>
      <c r="J53" s="14">
        <v>0.1</v>
      </c>
      <c r="K53" s="15">
        <v>1795631</v>
      </c>
    </row>
    <row r="54" spans="2:11" ht="13.5" customHeight="1" x14ac:dyDescent="0.3">
      <c r="B54" s="13" t="s">
        <v>272</v>
      </c>
      <c r="C54" s="15">
        <v>3871</v>
      </c>
      <c r="D54" s="15">
        <v>1685665</v>
      </c>
      <c r="E54" s="15">
        <v>1685665</v>
      </c>
      <c r="F54" s="14">
        <v>0.1</v>
      </c>
      <c r="G54" s="15">
        <v>1685665</v>
      </c>
      <c r="H54" s="14">
        <v>0.1</v>
      </c>
      <c r="I54" s="15">
        <v>1685665</v>
      </c>
      <c r="J54" s="14">
        <v>0.09</v>
      </c>
      <c r="K54" s="15">
        <v>1685665</v>
      </c>
    </row>
    <row r="55" spans="2:11" ht="26.25" customHeight="1" x14ac:dyDescent="0.3">
      <c r="B55" s="13" t="s">
        <v>273</v>
      </c>
      <c r="C55" s="14">
        <v>3</v>
      </c>
      <c r="D55" s="14">
        <v>735</v>
      </c>
      <c r="E55" s="14">
        <v>735</v>
      </c>
      <c r="F55" s="14">
        <v>0</v>
      </c>
      <c r="G55" s="14">
        <v>735</v>
      </c>
      <c r="H55" s="14">
        <v>0</v>
      </c>
      <c r="I55" s="14">
        <v>735</v>
      </c>
      <c r="J55" s="14">
        <v>0</v>
      </c>
      <c r="K55" s="14">
        <v>735</v>
      </c>
    </row>
    <row r="56" spans="2:11" ht="13.5" customHeight="1" x14ac:dyDescent="0.3">
      <c r="B56" s="13" t="s">
        <v>274</v>
      </c>
      <c r="C56" s="14">
        <v>15</v>
      </c>
      <c r="D56" s="15">
        <v>109231</v>
      </c>
      <c r="E56" s="15">
        <v>109231</v>
      </c>
      <c r="F56" s="14">
        <v>0.01</v>
      </c>
      <c r="G56" s="15">
        <v>109231</v>
      </c>
      <c r="H56" s="14">
        <v>0.01</v>
      </c>
      <c r="I56" s="15">
        <v>109231</v>
      </c>
      <c r="J56" s="14">
        <v>0.01</v>
      </c>
      <c r="K56" s="15">
        <v>109231</v>
      </c>
    </row>
    <row r="57" spans="2:11" ht="13.5" customHeight="1" x14ac:dyDescent="0.3">
      <c r="B57" s="13" t="s">
        <v>275</v>
      </c>
      <c r="C57" s="15">
        <v>468859</v>
      </c>
      <c r="D57" s="15">
        <v>92466557</v>
      </c>
      <c r="E57" s="15">
        <v>92466557</v>
      </c>
      <c r="F57" s="14">
        <v>5.21</v>
      </c>
      <c r="G57" s="15">
        <v>92466557</v>
      </c>
      <c r="H57" s="14">
        <v>5.21</v>
      </c>
      <c r="I57" s="15">
        <v>95755392</v>
      </c>
      <c r="J57" s="14">
        <v>5.39</v>
      </c>
      <c r="K57" s="15">
        <v>90977281</v>
      </c>
    </row>
    <row r="58" spans="2:11" ht="27.75" customHeight="1" x14ac:dyDescent="0.3">
      <c r="B58" s="13" t="s">
        <v>276</v>
      </c>
      <c r="C58" s="15">
        <v>469598</v>
      </c>
      <c r="D58" s="15">
        <v>598685187</v>
      </c>
      <c r="E58" s="15">
        <v>598685187</v>
      </c>
      <c r="F58" s="14">
        <v>33.75</v>
      </c>
      <c r="G58" s="15">
        <v>598685187</v>
      </c>
      <c r="H58" s="14">
        <v>33.75</v>
      </c>
      <c r="I58" s="15">
        <v>601974022</v>
      </c>
      <c r="J58" s="14">
        <v>33.880000000000003</v>
      </c>
      <c r="K58" s="15">
        <v>597189911</v>
      </c>
    </row>
  </sheetData>
  <mergeCells count="11">
    <mergeCell ref="B2:K3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24"/>
  <sheetViews>
    <sheetView showGridLines="0" zoomScale="59" zoomScaleNormal="77" workbookViewId="0">
      <selection activeCell="G28" sqref="G28"/>
    </sheetView>
  </sheetViews>
  <sheetFormatPr defaultColWidth="8.81640625" defaultRowHeight="14.5" x14ac:dyDescent="0.35"/>
  <cols>
    <col min="1" max="1" width="22.81640625" customWidth="1"/>
    <col min="2" max="2" width="13.453125" customWidth="1"/>
    <col min="3" max="11" width="15.453125" customWidth="1"/>
    <col min="12" max="12" width="10.6328125" bestFit="1" customWidth="1"/>
    <col min="13" max="13" width="23.453125" customWidth="1"/>
  </cols>
  <sheetData>
    <row r="1" spans="1:25" s="16" customFormat="1" ht="24.5" customHeight="1" x14ac:dyDescent="0.35">
      <c r="A1" s="417" t="str">
        <f>'Profit &amp; Loss'!A1</f>
        <v>DABUR INDIA LTD</v>
      </c>
      <c r="B1" s="418"/>
      <c r="C1" s="418"/>
      <c r="D1" s="418"/>
      <c r="E1" s="418"/>
      <c r="F1" s="418"/>
      <c r="G1" s="418"/>
      <c r="H1" s="418"/>
      <c r="I1" s="418"/>
      <c r="J1" s="418"/>
      <c r="K1" s="419"/>
    </row>
    <row r="2" spans="1:25" ht="14.25" customHeight="1" x14ac:dyDescent="0.35">
      <c r="G2" s="16"/>
      <c r="H2" s="16"/>
    </row>
    <row r="3" spans="1:25" ht="14.25" customHeight="1" x14ac:dyDescent="0.35">
      <c r="A3" s="420" t="s">
        <v>277</v>
      </c>
      <c r="B3" s="421">
        <f>'Data Sheet'!B53</f>
        <v>42825</v>
      </c>
      <c r="C3" s="421">
        <f>'Data Sheet'!C53</f>
        <v>43190</v>
      </c>
      <c r="D3" s="421">
        <f>'Data Sheet'!D53</f>
        <v>43555</v>
      </c>
      <c r="E3" s="421">
        <f>'Data Sheet'!E53</f>
        <v>43921</v>
      </c>
      <c r="F3" s="421">
        <f>'Data Sheet'!F53</f>
        <v>44286</v>
      </c>
      <c r="G3" s="421">
        <f>'Data Sheet'!G53</f>
        <v>44651</v>
      </c>
      <c r="H3" s="421">
        <f>'Data Sheet'!H53</f>
        <v>45016</v>
      </c>
      <c r="I3" s="421">
        <f>'Data Sheet'!I53</f>
        <v>45382</v>
      </c>
      <c r="J3" s="421">
        <f>'Data Sheet'!J53</f>
        <v>45747</v>
      </c>
      <c r="K3" s="421">
        <f>'Data Sheet'!K53</f>
        <v>46112</v>
      </c>
    </row>
    <row r="4" spans="1:25" ht="14.25" customHeight="1" x14ac:dyDescent="0.35">
      <c r="A4" s="37" t="s">
        <v>278</v>
      </c>
      <c r="B4" s="422">
        <f>'Data Sheet'!B54</f>
        <v>176.15</v>
      </c>
      <c r="C4" s="422">
        <f>'Data Sheet'!C54</f>
        <v>176.15</v>
      </c>
      <c r="D4" s="422">
        <f>'Data Sheet'!D54</f>
        <v>176.63</v>
      </c>
      <c r="E4" s="422">
        <f>'Data Sheet'!E54</f>
        <v>176.71</v>
      </c>
      <c r="F4" s="422">
        <f>'Data Sheet'!F54</f>
        <v>176.74</v>
      </c>
      <c r="G4" s="422">
        <f>'Data Sheet'!G54</f>
        <v>176.79</v>
      </c>
      <c r="H4" s="422">
        <f>'Data Sheet'!H54</f>
        <v>177.18</v>
      </c>
      <c r="I4" s="422">
        <f>'Data Sheet'!I54</f>
        <v>177.2</v>
      </c>
      <c r="J4" s="422">
        <f>'Data Sheet'!J54</f>
        <v>177.23</v>
      </c>
      <c r="K4" s="422">
        <f>'Data Sheet'!K54</f>
        <v>177.37</v>
      </c>
    </row>
    <row r="5" spans="1:25" ht="14.25" customHeight="1" x14ac:dyDescent="0.35">
      <c r="A5" s="37" t="s">
        <v>279</v>
      </c>
      <c r="B5" s="422">
        <f>'Data Sheet'!B55</f>
        <v>4671.24</v>
      </c>
      <c r="C5" s="422">
        <f>'Data Sheet'!C55</f>
        <v>5530.37</v>
      </c>
      <c r="D5" s="422">
        <f>'Data Sheet'!D55</f>
        <v>5455.05</v>
      </c>
      <c r="E5" s="422">
        <f>'Data Sheet'!E55</f>
        <v>6429.04</v>
      </c>
      <c r="F5" s="422">
        <f>'Data Sheet'!F55</f>
        <v>7486.79</v>
      </c>
      <c r="G5" s="422">
        <f>'Data Sheet'!G55</f>
        <v>8204.51</v>
      </c>
      <c r="H5" s="422">
        <f>'Data Sheet'!H55</f>
        <v>8796.08</v>
      </c>
      <c r="I5" s="422">
        <f>'Data Sheet'!I55</f>
        <v>9689.1</v>
      </c>
      <c r="J5" s="422">
        <f>'Data Sheet'!J55</f>
        <v>10623.46</v>
      </c>
      <c r="K5" s="422">
        <f>'Data Sheet'!K55</f>
        <v>11242.15</v>
      </c>
    </row>
    <row r="6" spans="1:25" ht="14.25" customHeight="1" x14ac:dyDescent="0.35">
      <c r="A6" s="37" t="s">
        <v>280</v>
      </c>
      <c r="B6" s="422">
        <f>'Data Sheet'!B56</f>
        <v>975</v>
      </c>
      <c r="C6" s="422">
        <f>'Data Sheet'!C56</f>
        <v>937.59</v>
      </c>
      <c r="D6" s="422">
        <f>'Data Sheet'!D56</f>
        <v>699.37</v>
      </c>
      <c r="E6" s="422">
        <f>'Data Sheet'!E56</f>
        <v>521.99</v>
      </c>
      <c r="F6" s="422">
        <f>'Data Sheet'!F56</f>
        <v>509.06</v>
      </c>
      <c r="G6" s="422">
        <f>'Data Sheet'!G56</f>
        <v>1030.0999999999999</v>
      </c>
      <c r="H6" s="422">
        <f>'Data Sheet'!H56</f>
        <v>1173.79</v>
      </c>
      <c r="I6" s="422">
        <f>'Data Sheet'!I56</f>
        <v>1365.09</v>
      </c>
      <c r="J6" s="422">
        <f>'Data Sheet'!J56</f>
        <v>950.37</v>
      </c>
      <c r="K6" s="422">
        <f>'Data Sheet'!K56</f>
        <v>1287.32</v>
      </c>
      <c r="L6" t="s">
        <v>720</v>
      </c>
      <c r="M6">
        <f>16+1047</f>
        <v>1063</v>
      </c>
    </row>
    <row r="7" spans="1:25" ht="14.25" customHeight="1" x14ac:dyDescent="0.35">
      <c r="A7" s="37" t="s">
        <v>281</v>
      </c>
      <c r="B7" s="422">
        <f>'Data Sheet'!B57</f>
        <v>1909.85</v>
      </c>
      <c r="C7" s="422">
        <f>'Data Sheet'!C57</f>
        <v>2057.52</v>
      </c>
      <c r="D7" s="422">
        <f>'Data Sheet'!D57</f>
        <v>2105.59</v>
      </c>
      <c r="E7" s="422">
        <f>'Data Sheet'!E57</f>
        <v>2208.84</v>
      </c>
      <c r="F7" s="422">
        <f>'Data Sheet'!F57</f>
        <v>2660.63</v>
      </c>
      <c r="G7" s="422">
        <f>'Data Sheet'!G57</f>
        <v>2872.46</v>
      </c>
      <c r="H7" s="422">
        <f>'Data Sheet'!H57</f>
        <v>3505.23</v>
      </c>
      <c r="I7" s="422">
        <f>'Data Sheet'!I57</f>
        <v>3884.97</v>
      </c>
      <c r="J7" s="422">
        <f>'Data Sheet'!J57</f>
        <v>4478.6899999999996</v>
      </c>
      <c r="K7" s="422">
        <f>'Data Sheet'!K57</f>
        <v>4773.07</v>
      </c>
    </row>
    <row r="8" spans="1:25" s="16" customFormat="1" ht="14.25" customHeight="1" x14ac:dyDescent="0.35">
      <c r="A8" s="237" t="s">
        <v>53</v>
      </c>
      <c r="B8" s="423">
        <f>'Data Sheet'!B58</f>
        <v>7732.24</v>
      </c>
      <c r="C8" s="423">
        <f>'Data Sheet'!C58</f>
        <v>8701.6299999999992</v>
      </c>
      <c r="D8" s="423">
        <f>'Data Sheet'!D58</f>
        <v>8436.64</v>
      </c>
      <c r="E8" s="423">
        <f>'Data Sheet'!E58</f>
        <v>9336.58</v>
      </c>
      <c r="F8" s="423">
        <f>'Data Sheet'!F58</f>
        <v>10833.22</v>
      </c>
      <c r="G8" s="423">
        <f>'Data Sheet'!G58</f>
        <v>12283.86</v>
      </c>
      <c r="H8" s="423">
        <f>'Data Sheet'!H58</f>
        <v>13652.28</v>
      </c>
      <c r="I8" s="423">
        <f>'Data Sheet'!I58</f>
        <v>15116.36</v>
      </c>
      <c r="J8" s="423">
        <f>'Data Sheet'!J58</f>
        <v>16229.75</v>
      </c>
      <c r="K8" s="423">
        <f>'Data Sheet'!K58</f>
        <v>17479.91</v>
      </c>
    </row>
    <row r="9" spans="1:25" s="16" customFormat="1" ht="14.25" customHeight="1" x14ac:dyDescent="0.35">
      <c r="A9" s="237"/>
      <c r="B9" s="423"/>
      <c r="C9" s="423"/>
      <c r="D9" s="423"/>
      <c r="E9" s="423"/>
      <c r="F9" s="423"/>
      <c r="G9" s="423"/>
      <c r="H9" s="423"/>
      <c r="I9" s="423"/>
      <c r="J9" s="423"/>
      <c r="K9" s="423"/>
    </row>
    <row r="10" spans="1:25" ht="14.25" customHeight="1" x14ac:dyDescent="0.35">
      <c r="A10" s="37" t="s">
        <v>282</v>
      </c>
      <c r="B10" s="422">
        <f>'Data Sheet'!B59</f>
        <v>1958.4</v>
      </c>
      <c r="C10" s="422">
        <f>'Data Sheet'!C59</f>
        <v>2028.11</v>
      </c>
      <c r="D10" s="422">
        <f>'Data Sheet'!D59</f>
        <v>1969.06</v>
      </c>
      <c r="E10" s="422">
        <f>'Data Sheet'!E59</f>
        <v>2252.6799999999998</v>
      </c>
      <c r="F10" s="422">
        <f>'Data Sheet'!F59</f>
        <v>2242.92</v>
      </c>
      <c r="G10" s="422">
        <f>'Data Sheet'!G59</f>
        <v>2307.9</v>
      </c>
      <c r="H10" s="422">
        <f>'Data Sheet'!H59</f>
        <v>3578.65</v>
      </c>
      <c r="I10" s="422">
        <f>'Data Sheet'!I59</f>
        <v>3815</v>
      </c>
      <c r="J10" s="422">
        <f>'Data Sheet'!J59</f>
        <v>3989.69</v>
      </c>
      <c r="K10" s="422">
        <f>'Data Sheet'!K59</f>
        <v>3938.92</v>
      </c>
      <c r="M10" s="19" t="s">
        <v>283</v>
      </c>
      <c r="N10" s="20">
        <v>2019</v>
      </c>
      <c r="O10" s="20">
        <v>1956</v>
      </c>
      <c r="P10" s="20">
        <v>1910</v>
      </c>
      <c r="Q10" s="20">
        <v>2058</v>
      </c>
      <c r="R10" s="20">
        <v>2106</v>
      </c>
      <c r="S10" s="20">
        <v>2209</v>
      </c>
      <c r="T10" s="20">
        <v>2661</v>
      </c>
      <c r="U10" s="20">
        <v>2872</v>
      </c>
      <c r="V10" s="20">
        <v>3505</v>
      </c>
      <c r="W10" s="20">
        <v>3885</v>
      </c>
      <c r="X10" s="20">
        <v>4479</v>
      </c>
      <c r="Y10" s="20">
        <v>4773</v>
      </c>
    </row>
    <row r="11" spans="1:25" ht="14.25" customHeight="1" x14ac:dyDescent="0.35">
      <c r="A11" s="37" t="s">
        <v>284</v>
      </c>
      <c r="B11" s="422">
        <f>'Data Sheet'!B60</f>
        <v>42.1</v>
      </c>
      <c r="C11" s="422">
        <f>'Data Sheet'!C60</f>
        <v>41.51</v>
      </c>
      <c r="D11" s="422">
        <f>'Data Sheet'!D60</f>
        <v>63.76</v>
      </c>
      <c r="E11" s="422">
        <f>'Data Sheet'!E60</f>
        <v>146.57</v>
      </c>
      <c r="F11" s="422">
        <f>'Data Sheet'!F60</f>
        <v>147.30000000000001</v>
      </c>
      <c r="G11" s="422">
        <f>'Data Sheet'!G60</f>
        <v>167.5</v>
      </c>
      <c r="H11" s="422">
        <f>'Data Sheet'!H60</f>
        <v>175.13</v>
      </c>
      <c r="I11" s="422">
        <f>'Data Sheet'!I60</f>
        <v>232.23</v>
      </c>
      <c r="J11" s="422">
        <f>'Data Sheet'!J60</f>
        <v>168.99</v>
      </c>
      <c r="K11" s="422">
        <f>'Data Sheet'!K60</f>
        <v>137.47999999999999</v>
      </c>
      <c r="M11" s="21" t="s">
        <v>285</v>
      </c>
      <c r="N11" s="22">
        <v>18</v>
      </c>
      <c r="O11" s="22">
        <v>22</v>
      </c>
      <c r="P11" s="22">
        <v>25</v>
      </c>
      <c r="Q11" s="22">
        <v>27</v>
      </c>
      <c r="R11" s="22">
        <v>31</v>
      </c>
      <c r="S11" s="22">
        <v>36</v>
      </c>
      <c r="T11" s="22">
        <v>37</v>
      </c>
      <c r="U11" s="22">
        <v>41</v>
      </c>
      <c r="V11" s="22">
        <v>468</v>
      </c>
      <c r="W11" s="22">
        <v>437</v>
      </c>
      <c r="X11" s="22">
        <v>410</v>
      </c>
      <c r="Y11" s="22">
        <v>383</v>
      </c>
    </row>
    <row r="12" spans="1:25" ht="14.25" customHeight="1" x14ac:dyDescent="0.35">
      <c r="A12" s="37" t="s">
        <v>286</v>
      </c>
      <c r="B12" s="422">
        <f>'Data Sheet'!B61</f>
        <v>3240.16</v>
      </c>
      <c r="C12" s="422">
        <f>'Data Sheet'!C61</f>
        <v>3805.17</v>
      </c>
      <c r="D12" s="422">
        <f>'Data Sheet'!D61</f>
        <v>3358.76</v>
      </c>
      <c r="E12" s="422">
        <f>'Data Sheet'!E61</f>
        <v>2800.26</v>
      </c>
      <c r="F12" s="422">
        <f>'Data Sheet'!F61</f>
        <v>4159.63</v>
      </c>
      <c r="G12" s="422">
        <f>'Data Sheet'!G61</f>
        <v>6219.62</v>
      </c>
      <c r="H12" s="422">
        <f>'Data Sheet'!H61</f>
        <v>6265.26</v>
      </c>
      <c r="I12" s="422">
        <f>'Data Sheet'!I61</f>
        <v>6932.69</v>
      </c>
      <c r="J12" s="422">
        <f>'Data Sheet'!J61</f>
        <v>7467.86</v>
      </c>
      <c r="K12" s="422">
        <f>'Data Sheet'!K61</f>
        <v>8947.26</v>
      </c>
      <c r="M12" s="21" t="s">
        <v>287</v>
      </c>
      <c r="N12" s="23">
        <v>1096</v>
      </c>
      <c r="O12" s="23">
        <v>1330</v>
      </c>
      <c r="P12" s="23">
        <v>1310</v>
      </c>
      <c r="Q12" s="23">
        <v>1410</v>
      </c>
      <c r="R12" s="23">
        <v>1455</v>
      </c>
      <c r="S12" s="23">
        <v>1482</v>
      </c>
      <c r="T12" s="23">
        <v>1915</v>
      </c>
      <c r="U12" s="23">
        <v>2018</v>
      </c>
      <c r="V12" s="23">
        <v>2187</v>
      </c>
      <c r="W12" s="23">
        <v>2422</v>
      </c>
      <c r="X12" s="23">
        <v>2825</v>
      </c>
      <c r="Y12" s="23">
        <v>2954</v>
      </c>
    </row>
    <row r="13" spans="1:25" ht="14.25" customHeight="1" x14ac:dyDescent="0.35">
      <c r="A13" s="37" t="s">
        <v>288</v>
      </c>
      <c r="B13" s="422">
        <f>'Data Sheet'!B62</f>
        <v>2491.58</v>
      </c>
      <c r="C13" s="422">
        <f>'Data Sheet'!C62</f>
        <v>2826.84</v>
      </c>
      <c r="D13" s="422">
        <f>'Data Sheet'!D62</f>
        <v>3045.06</v>
      </c>
      <c r="E13" s="422">
        <f>'Data Sheet'!E62</f>
        <v>4137.07</v>
      </c>
      <c r="F13" s="422">
        <f>'Data Sheet'!F62</f>
        <v>4283.37</v>
      </c>
      <c r="G13" s="422">
        <f>'Data Sheet'!G62</f>
        <v>3588.84</v>
      </c>
      <c r="H13" s="422">
        <f>'Data Sheet'!H62</f>
        <v>3633.24</v>
      </c>
      <c r="I13" s="422">
        <f>'Data Sheet'!I62</f>
        <v>4136.4399999999996</v>
      </c>
      <c r="J13" s="422">
        <f>'Data Sheet'!J62</f>
        <v>4603.21</v>
      </c>
      <c r="K13" s="422">
        <f>'Data Sheet'!K62</f>
        <v>4456.25</v>
      </c>
      <c r="M13" s="21" t="s">
        <v>289</v>
      </c>
      <c r="N13" s="22">
        <v>42</v>
      </c>
      <c r="O13" s="22">
        <v>35</v>
      </c>
      <c r="P13" s="22">
        <v>18</v>
      </c>
      <c r="Q13" s="22">
        <v>25</v>
      </c>
      <c r="R13" s="22">
        <v>28</v>
      </c>
      <c r="S13" s="22">
        <v>30</v>
      </c>
      <c r="T13" s="22">
        <v>43</v>
      </c>
      <c r="U13" s="22">
        <v>37</v>
      </c>
      <c r="V13" s="22">
        <v>9</v>
      </c>
      <c r="W13" s="22">
        <v>33</v>
      </c>
      <c r="X13" s="22">
        <v>28</v>
      </c>
      <c r="Y13" s="22"/>
    </row>
    <row r="14" spans="1:25" s="16" customFormat="1" ht="14.25" customHeight="1" x14ac:dyDescent="0.35">
      <c r="A14" s="237" t="s">
        <v>53</v>
      </c>
      <c r="B14" s="422">
        <f>'Data Sheet'!B63</f>
        <v>7732.24</v>
      </c>
      <c r="C14" s="422">
        <f>'Data Sheet'!C63</f>
        <v>8701.6299999999992</v>
      </c>
      <c r="D14" s="422">
        <f>'Data Sheet'!D63</f>
        <v>8436.64</v>
      </c>
      <c r="E14" s="422">
        <f>'Data Sheet'!E63</f>
        <v>9336.58</v>
      </c>
      <c r="F14" s="422">
        <f>'Data Sheet'!F63</f>
        <v>10833.22</v>
      </c>
      <c r="G14" s="422">
        <f>'Data Sheet'!G63</f>
        <v>12283.86</v>
      </c>
      <c r="H14" s="422">
        <f>'Data Sheet'!H63</f>
        <v>13652.28</v>
      </c>
      <c r="I14" s="422">
        <f>'Data Sheet'!I63</f>
        <v>15116.36</v>
      </c>
      <c r="J14" s="422">
        <f>'Data Sheet'!J63</f>
        <v>16229.75</v>
      </c>
      <c r="K14" s="422">
        <f>'Data Sheet'!K63</f>
        <v>17479.91</v>
      </c>
      <c r="M14" s="21" t="s">
        <v>290</v>
      </c>
      <c r="N14" s="22">
        <v>863</v>
      </c>
      <c r="O14" s="22">
        <v>569</v>
      </c>
      <c r="P14" s="22">
        <v>557</v>
      </c>
      <c r="Q14" s="22">
        <v>596</v>
      </c>
      <c r="R14" s="22">
        <v>591</v>
      </c>
      <c r="S14" s="22">
        <v>660</v>
      </c>
      <c r="T14" s="22">
        <v>666</v>
      </c>
      <c r="U14" s="22">
        <v>777</v>
      </c>
      <c r="V14" s="22">
        <v>842</v>
      </c>
      <c r="W14" s="22">
        <v>994</v>
      </c>
      <c r="X14" s="23">
        <v>1216</v>
      </c>
      <c r="Y14" s="23">
        <v>1436</v>
      </c>
    </row>
    <row r="15" spans="1:25" ht="14.25" customHeight="1" x14ac:dyDescent="0.35">
      <c r="A15" s="37"/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25" ht="14.25" customHeight="1" x14ac:dyDescent="0.35">
      <c r="A16" s="37" t="s">
        <v>291</v>
      </c>
      <c r="B16" s="424">
        <f t="shared" ref="B16:K16" si="0">B13-B7</f>
        <v>581.73</v>
      </c>
      <c r="C16" s="424">
        <f t="shared" si="0"/>
        <v>769.32000000000016</v>
      </c>
      <c r="D16" s="424">
        <f t="shared" si="0"/>
        <v>939.4699999999998</v>
      </c>
      <c r="E16" s="424">
        <f t="shared" si="0"/>
        <v>1928.2299999999996</v>
      </c>
      <c r="F16" s="424">
        <f t="shared" si="0"/>
        <v>1622.7399999999998</v>
      </c>
      <c r="G16" s="424">
        <f t="shared" si="0"/>
        <v>716.38000000000011</v>
      </c>
      <c r="H16" s="424">
        <f t="shared" si="0"/>
        <v>128.00999999999976</v>
      </c>
      <c r="I16" s="424">
        <f t="shared" si="0"/>
        <v>251.4699999999998</v>
      </c>
      <c r="J16" s="424">
        <f t="shared" si="0"/>
        <v>124.52000000000044</v>
      </c>
      <c r="K16" s="424">
        <f t="shared" si="0"/>
        <v>-316.81999999999971</v>
      </c>
    </row>
    <row r="17" spans="1:11" ht="14.25" customHeight="1" x14ac:dyDescent="0.35">
      <c r="A17" s="37" t="s">
        <v>292</v>
      </c>
      <c r="B17" s="424">
        <f>'Data Sheet'!B64</f>
        <v>650.41999999999996</v>
      </c>
      <c r="C17" s="424">
        <f>'Data Sheet'!C64</f>
        <v>706.08</v>
      </c>
      <c r="D17" s="424">
        <f>'Data Sheet'!D64</f>
        <v>833.56</v>
      </c>
      <c r="E17" s="424">
        <f>'Data Sheet'!E64</f>
        <v>813.89</v>
      </c>
      <c r="F17" s="424">
        <f>'Data Sheet'!F64</f>
        <v>561.58000000000004</v>
      </c>
      <c r="G17" s="424">
        <f>'Data Sheet'!G64</f>
        <v>646.15</v>
      </c>
      <c r="H17" s="424">
        <f>'Data Sheet'!H64</f>
        <v>848.75</v>
      </c>
      <c r="I17" s="424">
        <f>'Data Sheet'!I64</f>
        <v>898.72</v>
      </c>
      <c r="J17" s="424">
        <f>'Data Sheet'!J64</f>
        <v>888.5</v>
      </c>
      <c r="K17" s="424">
        <f>'Data Sheet'!K64</f>
        <v>715.41</v>
      </c>
    </row>
    <row r="18" spans="1:11" ht="14.25" customHeight="1" x14ac:dyDescent="0.35">
      <c r="A18" s="37" t="s">
        <v>293</v>
      </c>
      <c r="B18" s="424">
        <f>'Data Sheet'!B65</f>
        <v>1106.71</v>
      </c>
      <c r="C18" s="424">
        <f>'Data Sheet'!C65</f>
        <v>1256.18</v>
      </c>
      <c r="D18" s="424">
        <f>'Data Sheet'!D65</f>
        <v>1300.53</v>
      </c>
      <c r="E18" s="424">
        <f>'Data Sheet'!E65</f>
        <v>1379.57</v>
      </c>
      <c r="F18" s="424">
        <f>'Data Sheet'!F65</f>
        <v>1734.28</v>
      </c>
      <c r="G18" s="424">
        <f>'Data Sheet'!G65</f>
        <v>1911.37</v>
      </c>
      <c r="H18" s="424">
        <f>'Data Sheet'!H65</f>
        <v>2024.2</v>
      </c>
      <c r="I18" s="424">
        <f>'Data Sheet'!I65</f>
        <v>1946.97</v>
      </c>
      <c r="J18" s="424">
        <f>'Data Sheet'!J65</f>
        <v>2300.11</v>
      </c>
      <c r="K18" s="424">
        <f>'Data Sheet'!K65</f>
        <v>2321.63</v>
      </c>
    </row>
    <row r="19" spans="1:11" x14ac:dyDescent="0.3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pans="1:11" ht="14.25" customHeight="1" x14ac:dyDescent="0.35">
      <c r="A20" s="37" t="s">
        <v>294</v>
      </c>
      <c r="B20" s="424">
        <f>IF('Profit &amp; Loss'!B4&gt;0,'Balance Sheet'!B17/('Profit &amp; Loss'!B4/365),0)</f>
        <v>31.181518836711721</v>
      </c>
      <c r="C20" s="424">
        <f>IF('Profit &amp; Loss'!C4&gt;0,'Balance Sheet'!C17/('Profit &amp; Loss'!C4/365),0)</f>
        <v>33.375318090872007</v>
      </c>
      <c r="D20" s="424">
        <f>IF('Profit &amp; Loss'!D4&gt;0,'Balance Sheet'!D17/('Profit &amp; Loss'!D4/365),0)</f>
        <v>35.731034328871786</v>
      </c>
      <c r="E20" s="424">
        <f>IF('Profit &amp; Loss'!E4&gt;0,'Balance Sheet'!E17/('Profit &amp; Loss'!E4/365),0)</f>
        <v>34.206351673759649</v>
      </c>
      <c r="F20" s="424">
        <f>IF('Profit &amp; Loss'!F4&gt;0,'Balance Sheet'!F17/('Profit &amp; Loss'!F4/365),0)</f>
        <v>21.437377440086181</v>
      </c>
      <c r="G20" s="424">
        <f>IF('Profit &amp; Loss'!G4&gt;0,'Balance Sheet'!G17/('Profit &amp; Loss'!G4/365),0)</f>
        <v>21.659627245910432</v>
      </c>
      <c r="H20" s="424">
        <f>IF('Profit &amp; Loss'!H4&gt;0,'Balance Sheet'!H17/('Profit &amp; Loss'!H4/365),0)</f>
        <v>26.868751566580428</v>
      </c>
      <c r="I20" s="424">
        <f>IF('Profit &amp; Loss'!I4&gt;0,'Balance Sheet'!I17/('Profit &amp; Loss'!I4/365),0)</f>
        <v>26.445705864474473</v>
      </c>
      <c r="J20" s="424">
        <f>IF('Profit &amp; Loss'!J4&gt;0,'Balance Sheet'!J17/('Profit &amp; Loss'!J4/365),0)</f>
        <v>25.81391202323632</v>
      </c>
      <c r="K20" s="424">
        <f>IF('Profit &amp; Loss'!K4&gt;0,'Balance Sheet'!K17/('Profit &amp; Loss'!K4/365),0)</f>
        <v>19.793311689837537</v>
      </c>
    </row>
    <row r="21" spans="1:11" ht="14.25" customHeight="1" x14ac:dyDescent="0.35">
      <c r="A21" s="37" t="s">
        <v>295</v>
      </c>
      <c r="B21" s="424">
        <f>IF('Balance Sheet'!B18&gt;0,'Profit &amp; Loss'!B4/'Balance Sheet'!B18,0)</f>
        <v>6.8794806227466996</v>
      </c>
      <c r="C21" s="424">
        <f>IF('Balance Sheet'!C18&gt;0,'Profit &amp; Loss'!C4/'Balance Sheet'!C18,0)</f>
        <v>6.1470887930073719</v>
      </c>
      <c r="D21" s="424">
        <f>IF('Balance Sheet'!D18&gt;0,'Profit &amp; Loss'!D4/'Balance Sheet'!D18,0)</f>
        <v>6.5473230144633341</v>
      </c>
      <c r="E21" s="424">
        <f>IF('Balance Sheet'!E18&gt;0,'Profit &amp; Loss'!E4/'Balance Sheet'!E18,0)</f>
        <v>6.2951789325659444</v>
      </c>
      <c r="F21" s="424">
        <f>IF('Balance Sheet'!F18&gt;0,'Profit &amp; Loss'!F4/'Balance Sheet'!F18,0)</f>
        <v>5.5133254145812671</v>
      </c>
      <c r="G21" s="424">
        <f>IF('Balance Sheet'!G18&gt;0,'Profit &amp; Loss'!G4/'Balance Sheet'!G18,0)</f>
        <v>5.6967933994987892</v>
      </c>
      <c r="H21" s="424">
        <f>IF('Balance Sheet'!H18&gt;0,'Profit &amp; Loss'!H4/'Balance Sheet'!H18,0)</f>
        <v>5.6960231202450347</v>
      </c>
      <c r="I21" s="424">
        <f>IF('Balance Sheet'!I18&gt;0,'Profit &amp; Loss'!I4/'Balance Sheet'!I18,0)</f>
        <v>6.3709302146412119</v>
      </c>
      <c r="J21" s="424">
        <f>IF('Balance Sheet'!J18&gt;0,'Profit &amp; Loss'!J4/'Balance Sheet'!J18,0)</f>
        <v>5.4619518196955799</v>
      </c>
      <c r="K21" s="424">
        <f>IF('Balance Sheet'!K18&gt;0,'Profit &amp; Loss'!K4/'Balance Sheet'!K18,0)</f>
        <v>5.6824601680715698</v>
      </c>
    </row>
    <row r="22" spans="1:11" x14ac:dyDescent="0.3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pans="1:11" s="16" customFormat="1" ht="14.25" customHeight="1" x14ac:dyDescent="0.35">
      <c r="A23" s="237" t="s">
        <v>296</v>
      </c>
      <c r="B23" s="425">
        <f>IF(SUM('Balance Sheet'!B4:B5)&gt;0,'Profit &amp; Loss'!B12/SUM('Balance Sheet'!B4:B5),"")</f>
        <v>0.26342836041663664</v>
      </c>
      <c r="C23" s="425">
        <f>IF(SUM('Balance Sheet'!C4:C5)&gt;0,'Profit &amp; Loss'!C12/SUM('Balance Sheet'!C4:C5),"")</f>
        <v>0.23734079614195697</v>
      </c>
      <c r="D23" s="425">
        <f>IF(SUM('Balance Sheet'!D4:D5)&gt;0,'Profit &amp; Loss'!D12/SUM('Balance Sheet'!D4:D5),"")</f>
        <v>0.25611007727711799</v>
      </c>
      <c r="E23" s="425">
        <f>IF(SUM('Balance Sheet'!E4:E5)&gt;0,'Profit &amp; Loss'!E12/SUM('Balance Sheet'!E4:E5),"")</f>
        <v>0.21874276198766227</v>
      </c>
      <c r="F23" s="425">
        <f>IF(SUM('Balance Sheet'!F4:F5)&gt;0,'Profit &amp; Loss'!F12/SUM('Balance Sheet'!F4:F5),"")</f>
        <v>0.22095561705897934</v>
      </c>
      <c r="G23" s="425">
        <f>IF(SUM('Balance Sheet'!G4:G5)&gt;0,'Profit &amp; Loss'!G12/SUM('Balance Sheet'!G4:G5),"")</f>
        <v>0.2075119611516113</v>
      </c>
      <c r="H23" s="425">
        <f>IF(SUM('Balance Sheet'!H4:H5)&gt;0,'Profit &amp; Loss'!H12/SUM('Balance Sheet'!H4:H5),"")</f>
        <v>0.19024858301219402</v>
      </c>
      <c r="I23" s="425">
        <f>IF(SUM('Balance Sheet'!I4:I5)&gt;0,'Profit &amp; Loss'!I12/SUM('Balance Sheet'!I4:I5),"")</f>
        <v>0.18676504870113414</v>
      </c>
      <c r="J23" s="425">
        <f>IF(SUM('Balance Sheet'!J4:J5)&gt;0,'Profit &amp; Loss'!J12/SUM('Balance Sheet'!J4:J5),"")</f>
        <v>0.16365898845351551</v>
      </c>
      <c r="K23" s="425">
        <f>IF(SUM('Balance Sheet'!K4:K5)&gt;0,'Profit &amp; Loss'!K12/SUM('Balance Sheet'!K4:K5),"")</f>
        <v>0.16594655467129965</v>
      </c>
    </row>
    <row r="24" spans="1:11" s="16" customFormat="1" ht="14.25" customHeight="1" x14ac:dyDescent="0.35">
      <c r="A24" s="237" t="s">
        <v>297</v>
      </c>
      <c r="B24" s="425"/>
      <c r="C24" s="425">
        <f>IF((B4+B5+B6+C4+C5+C6)&gt;0,('Profit &amp; Loss'!C10+'Profit &amp; Loss'!C9)*2/(B4+B5+B6+C4+C5+C6),"")</f>
        <v>0.28013315686038581</v>
      </c>
      <c r="D24" s="425">
        <f>IF((C4+C5+C6+D4+D5+D6)&gt;0,('Profit &amp; Loss'!D10+'Profit &amp; Loss'!D9)*2/(C4+C5+C6+D4+D5+D6),"")</f>
        <v>0.27505633841894817</v>
      </c>
      <c r="E24" s="425">
        <f>IF((D4+D5+D6+E4+E5+E6)&gt;0,('Profit &amp; Loss'!E10+'Profit &amp; Loss'!E9)*2/(D4+D5+D6+E4+E5+E6),"")</f>
        <v>0.26409209148816504</v>
      </c>
      <c r="F24" s="425">
        <f>IF((E4+E5+E6+F4+F5+F6)&gt;0,('Profit &amp; Loss'!F10+'Profit &amp; Loss'!F9)*2/(E4+E5+E6+F4+F5+F6),"")</f>
        <v>0.27278235175319748</v>
      </c>
      <c r="G24" s="425">
        <f>IF((F4+F5+F6+G4+G5+G6)&gt;0,('Profit &amp; Loss'!G10+'Profit &amp; Loss'!G9)*2/(F4+F5+F6+G4+G5+G6),"")</f>
        <v>0.26242963059009927</v>
      </c>
      <c r="H24" s="425">
        <f>IF((G4+G5+G6+H4+H5+H6)&gt;0,('Profit &amp; Loss'!H10+'Profit &amp; Loss'!H9)*2/(G4+G5+G6+H4+H5+H6),"")</f>
        <v>0.23487750818699837</v>
      </c>
      <c r="I24" s="425">
        <f>IF((H4+H5+H6+I4+I5+I6)&gt;0,('Profit &amp; Loss'!I10+'Profit &amp; Loss'!I9)*2/(H4+H5+H6+I4+I5+I6),"")</f>
        <v>0.23228261744074868</v>
      </c>
      <c r="J24" s="425">
        <f>IF((I4+I5+I6+J4+J5+J6)&gt;0,('Profit &amp; Loss'!J10+'Profit &amp; Loss'!J9)*2/(I4+I5+I6+J4+J5+J6),"")</f>
        <v>0.21071643797767425</v>
      </c>
      <c r="K24" s="425">
        <f>IF((J4+J5+J6+K4+K5+K6)&gt;0,('Profit &amp; Loss'!K10+'Profit &amp; Loss'!K9)*2/(J4+J5+J6+K4+K5+K6),"")</f>
        <v>0.20981605125542258</v>
      </c>
    </row>
  </sheetData>
  <mergeCells count="1">
    <mergeCell ref="A1:K1"/>
  </mergeCells>
  <printOptions gridLines="1"/>
  <pageMargins left="0.7" right="0.7" top="0.75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5"/>
  <sheetViews>
    <sheetView showGridLines="0" zoomScale="65" zoomScaleNormal="56" workbookViewId="0">
      <selection activeCell="G31" sqref="G31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customWidth="1"/>
    <col min="8" max="11" width="13.453125" customWidth="1"/>
    <col min="12" max="12" width="13.36328125" customWidth="1"/>
    <col min="13" max="14" width="12.1796875" customWidth="1"/>
  </cols>
  <sheetData>
    <row r="1" spans="1:14" s="16" customFormat="1" ht="28.5" customHeight="1" x14ac:dyDescent="0.35">
      <c r="A1" s="426" t="str">
        <f>'Data Sheet'!B1</f>
        <v>DABUR INDIA LTD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</row>
    <row r="3" spans="1:14" s="16" customFormat="1" ht="14.25" customHeight="1" x14ac:dyDescent="0.35">
      <c r="A3" s="420" t="s">
        <v>277</v>
      </c>
      <c r="B3" s="421">
        <f>'Data Sheet'!B13</f>
        <v>42825</v>
      </c>
      <c r="C3" s="421">
        <f>'Data Sheet'!C13</f>
        <v>43190</v>
      </c>
      <c r="D3" s="421">
        <f>'Data Sheet'!D13</f>
        <v>43555</v>
      </c>
      <c r="E3" s="421">
        <f>'Data Sheet'!E13</f>
        <v>43921</v>
      </c>
      <c r="F3" s="421">
        <f>'Data Sheet'!F13</f>
        <v>44286</v>
      </c>
      <c r="G3" s="421">
        <f>'Data Sheet'!G13</f>
        <v>44651</v>
      </c>
      <c r="H3" s="421">
        <f>'Data Sheet'!H13</f>
        <v>45016</v>
      </c>
      <c r="I3" s="421">
        <f>'Data Sheet'!I13</f>
        <v>45382</v>
      </c>
      <c r="J3" s="421">
        <f>'Data Sheet'!J13</f>
        <v>45747</v>
      </c>
      <c r="K3" s="421">
        <f>'Data Sheet'!K13</f>
        <v>46112</v>
      </c>
      <c r="L3" s="427" t="s">
        <v>298</v>
      </c>
      <c r="M3" s="427" t="s">
        <v>299</v>
      </c>
      <c r="N3" s="427" t="s">
        <v>300</v>
      </c>
    </row>
    <row r="4" spans="1:14" s="16" customFormat="1" ht="14.25" customHeight="1" x14ac:dyDescent="0.35">
      <c r="A4" s="237" t="s">
        <v>301</v>
      </c>
      <c r="B4" s="428">
        <f>'Data Sheet'!B14</f>
        <v>7613.59</v>
      </c>
      <c r="C4" s="428">
        <f>'Data Sheet'!C14</f>
        <v>7721.85</v>
      </c>
      <c r="D4" s="428">
        <f>'Data Sheet'!D14</f>
        <v>8514.99</v>
      </c>
      <c r="E4" s="428">
        <f>'Data Sheet'!E14</f>
        <v>8684.64</v>
      </c>
      <c r="F4" s="428">
        <f>'Data Sheet'!F14</f>
        <v>9561.65</v>
      </c>
      <c r="G4" s="428">
        <f>'Data Sheet'!G14</f>
        <v>10888.68</v>
      </c>
      <c r="H4" s="428">
        <f>'Data Sheet'!H14</f>
        <v>11529.89</v>
      </c>
      <c r="I4" s="428">
        <f>'Data Sheet'!I14</f>
        <v>12404.01</v>
      </c>
      <c r="J4" s="428">
        <f>'Data Sheet'!J14</f>
        <v>12563.09</v>
      </c>
      <c r="K4" s="428">
        <f>'Data Sheet'!K14</f>
        <v>13192.57</v>
      </c>
      <c r="L4" s="428">
        <f>SUM(Quarters!H4:K4)</f>
        <v>13192.57</v>
      </c>
      <c r="M4" s="428">
        <f>$K4+M23*K4</f>
        <v>13853.590414850167</v>
      </c>
      <c r="N4" s="428">
        <f>$K4+N23*L4</f>
        <v>13798.466440246269</v>
      </c>
    </row>
    <row r="5" spans="1:14" ht="14.25" customHeight="1" x14ac:dyDescent="0.35">
      <c r="A5" s="37" t="s">
        <v>302</v>
      </c>
      <c r="B5" s="424">
        <f>SUM('Data Sheet'!B15,'Data Sheet'!B17:B21, -1*'Data Sheet'!B16)</f>
        <v>6101.98</v>
      </c>
      <c r="C5" s="424">
        <f>SUM('Data Sheet'!C15,'Data Sheet'!C17:C21, -1*'Data Sheet'!C16)</f>
        <v>6104.41</v>
      </c>
      <c r="D5" s="424">
        <f>SUM('Data Sheet'!D15,'Data Sheet'!D17:D21, -1*'Data Sheet'!D16)</f>
        <v>6775.4300000000012</v>
      </c>
      <c r="E5" s="424">
        <f>SUM('Data Sheet'!E15,'Data Sheet'!E17:E21, -1*'Data Sheet'!E16)</f>
        <v>6892.3</v>
      </c>
      <c r="F5" s="424">
        <f>SUM('Data Sheet'!F15,'Data Sheet'!F17:F21, -1*'Data Sheet'!F16)</f>
        <v>7559.9800000000014</v>
      </c>
      <c r="G5" s="424">
        <f>SUM('Data Sheet'!G15,'Data Sheet'!G17:G21, -1*'Data Sheet'!G16)</f>
        <v>8636.67</v>
      </c>
      <c r="H5" s="424">
        <f>SUM('Data Sheet'!H15,'Data Sheet'!H17:H21, -1*'Data Sheet'!H16)</f>
        <v>9367.4</v>
      </c>
      <c r="I5" s="424">
        <f>SUM('Data Sheet'!I15,'Data Sheet'!I17:I21, -1*'Data Sheet'!I16)</f>
        <v>10004.289999999999</v>
      </c>
      <c r="J5" s="424">
        <f>SUM('Data Sheet'!J15,'Data Sheet'!J17:J21, -1*'Data Sheet'!J16)</f>
        <v>10246.75</v>
      </c>
      <c r="K5" s="424">
        <f>SUM('Data Sheet'!K15,'Data Sheet'!K17:K21, -1*'Data Sheet'!K16)</f>
        <v>10742.529999999999</v>
      </c>
      <c r="L5" s="424">
        <f>SUM(Quarters!H5:K5)</f>
        <v>10742.529999999999</v>
      </c>
      <c r="M5" s="424">
        <f>M4-M6</f>
        <v>11251.989974598513</v>
      </c>
      <c r="N5" s="424">
        <f>N4-N6</f>
        <v>11235.903215850949</v>
      </c>
    </row>
    <row r="6" spans="1:14" s="16" customFormat="1" ht="14.25" customHeight="1" x14ac:dyDescent="0.35">
      <c r="A6" s="237" t="s">
        <v>303</v>
      </c>
      <c r="B6" s="428">
        <f t="shared" ref="B6:K6" si="0">B4-B5</f>
        <v>1511.6100000000006</v>
      </c>
      <c r="C6" s="428">
        <f t="shared" si="0"/>
        <v>1617.4400000000005</v>
      </c>
      <c r="D6" s="428">
        <f t="shared" si="0"/>
        <v>1739.5599999999986</v>
      </c>
      <c r="E6" s="428">
        <f t="shared" si="0"/>
        <v>1792.3399999999992</v>
      </c>
      <c r="F6" s="428">
        <f t="shared" si="0"/>
        <v>2001.6699999999983</v>
      </c>
      <c r="G6" s="428">
        <f t="shared" si="0"/>
        <v>2252.0100000000002</v>
      </c>
      <c r="H6" s="428">
        <f t="shared" si="0"/>
        <v>2162.4899999999998</v>
      </c>
      <c r="I6" s="428">
        <f t="shared" si="0"/>
        <v>2399.7200000000012</v>
      </c>
      <c r="J6" s="428">
        <f t="shared" si="0"/>
        <v>2316.34</v>
      </c>
      <c r="K6" s="428">
        <f t="shared" si="0"/>
        <v>2450.0400000000009</v>
      </c>
      <c r="L6" s="428">
        <f>SUM(Quarters!H6:K6)</f>
        <v>2450.04</v>
      </c>
      <c r="M6" s="428">
        <f>M4*M24</f>
        <v>2601.6004402516537</v>
      </c>
      <c r="N6" s="428">
        <f>N4*N24</f>
        <v>2562.5632243953205</v>
      </c>
    </row>
    <row r="7" spans="1:14" ht="14.25" customHeight="1" x14ac:dyDescent="0.35">
      <c r="A7" s="37" t="s">
        <v>304</v>
      </c>
      <c r="B7" s="424">
        <f>'Data Sheet'!B22</f>
        <v>295.93</v>
      </c>
      <c r="C7" s="424">
        <f>'Data Sheet'!C22</f>
        <v>290.88</v>
      </c>
      <c r="D7" s="424">
        <f>'Data Sheet'!D22</f>
        <v>221.79</v>
      </c>
      <c r="E7" s="424">
        <f>'Data Sheet'!E22</f>
        <v>205.29</v>
      </c>
      <c r="F7" s="424">
        <f>'Data Sheet'!F22</f>
        <v>325.29000000000002</v>
      </c>
      <c r="G7" s="424">
        <f>'Data Sheet'!G22</f>
        <v>308.16000000000003</v>
      </c>
      <c r="H7" s="424">
        <f>'Data Sheet'!H22</f>
        <v>445.39</v>
      </c>
      <c r="I7" s="424">
        <f>'Data Sheet'!I22</f>
        <v>482.41</v>
      </c>
      <c r="J7" s="424">
        <f>'Data Sheet'!J22</f>
        <v>550.65</v>
      </c>
      <c r="K7" s="424">
        <f>'Data Sheet'!K22</f>
        <v>584.72</v>
      </c>
      <c r="L7" s="424">
        <f>SUM(Quarters!H7:K7)</f>
        <v>584.72</v>
      </c>
      <c r="M7" s="424">
        <v>0</v>
      </c>
      <c r="N7" s="424">
        <v>0</v>
      </c>
    </row>
    <row r="8" spans="1:14" ht="14.25" customHeight="1" x14ac:dyDescent="0.35">
      <c r="A8" s="37" t="s">
        <v>305</v>
      </c>
      <c r="B8" s="424">
        <f>'Data Sheet'!B23</f>
        <v>142.86000000000001</v>
      </c>
      <c r="C8" s="424">
        <f>'Data Sheet'!C23</f>
        <v>162.18</v>
      </c>
      <c r="D8" s="424">
        <f>'Data Sheet'!D23</f>
        <v>176.9</v>
      </c>
      <c r="E8" s="424">
        <f>'Data Sheet'!E23</f>
        <v>220.45</v>
      </c>
      <c r="F8" s="424">
        <f>'Data Sheet'!F23</f>
        <v>240.13</v>
      </c>
      <c r="G8" s="424">
        <f>'Data Sheet'!G23</f>
        <v>252.89</v>
      </c>
      <c r="H8" s="424">
        <f>'Data Sheet'!H23</f>
        <v>310.95999999999998</v>
      </c>
      <c r="I8" s="424">
        <f>'Data Sheet'!I23</f>
        <v>399.21</v>
      </c>
      <c r="J8" s="424">
        <f>'Data Sheet'!J23</f>
        <v>445.6</v>
      </c>
      <c r="K8" s="424">
        <f>'Data Sheet'!K23</f>
        <v>468.93</v>
      </c>
      <c r="L8" s="424">
        <f>SUM(Quarters!H8:K8)</f>
        <v>468.93</v>
      </c>
      <c r="M8" s="424">
        <f>+$L8</f>
        <v>468.93</v>
      </c>
      <c r="N8" s="424">
        <f>+$L8</f>
        <v>468.93</v>
      </c>
    </row>
    <row r="9" spans="1:14" ht="14.25" customHeight="1" x14ac:dyDescent="0.35">
      <c r="A9" s="37" t="s">
        <v>306</v>
      </c>
      <c r="B9" s="424">
        <f>'Data Sheet'!B24</f>
        <v>54.03</v>
      </c>
      <c r="C9" s="424">
        <f>'Data Sheet'!C24</f>
        <v>53.05</v>
      </c>
      <c r="D9" s="424">
        <f>'Data Sheet'!D24</f>
        <v>59.58</v>
      </c>
      <c r="E9" s="424">
        <f>'Data Sheet'!E24</f>
        <v>49.54</v>
      </c>
      <c r="F9" s="424">
        <f>'Data Sheet'!F24</f>
        <v>30.81</v>
      </c>
      <c r="G9" s="424">
        <f>'Data Sheet'!G24</f>
        <v>38.6</v>
      </c>
      <c r="H9" s="424">
        <f>'Data Sheet'!H24</f>
        <v>78.239999999999995</v>
      </c>
      <c r="I9" s="424">
        <f>'Data Sheet'!I24</f>
        <v>124.18</v>
      </c>
      <c r="J9" s="424">
        <f>'Data Sheet'!J24</f>
        <v>163.5</v>
      </c>
      <c r="K9" s="424">
        <f>'Data Sheet'!K24</f>
        <v>145.4</v>
      </c>
      <c r="L9" s="424">
        <f>SUM(Quarters!H9:K9)</f>
        <v>145.4</v>
      </c>
      <c r="M9" s="424">
        <f>+$L9</f>
        <v>145.4</v>
      </c>
      <c r="N9" s="424">
        <f>+$L9</f>
        <v>145.4</v>
      </c>
    </row>
    <row r="10" spans="1:14" ht="14.25" customHeight="1" x14ac:dyDescent="0.35">
      <c r="A10" s="37" t="s">
        <v>307</v>
      </c>
      <c r="B10" s="424">
        <f>'Data Sheet'!B25</f>
        <v>1610.65</v>
      </c>
      <c r="C10" s="424">
        <f>'Data Sheet'!C25</f>
        <v>1693.09</v>
      </c>
      <c r="D10" s="424">
        <f>'Data Sheet'!D25</f>
        <v>1724.87</v>
      </c>
      <c r="E10" s="424">
        <f>'Data Sheet'!E25</f>
        <v>1727.64</v>
      </c>
      <c r="F10" s="424">
        <f>'Data Sheet'!F25</f>
        <v>2056.02</v>
      </c>
      <c r="G10" s="424">
        <f>'Data Sheet'!G25</f>
        <v>2268.6799999999998</v>
      </c>
      <c r="H10" s="424">
        <f>'Data Sheet'!H25</f>
        <v>2218.6799999999998</v>
      </c>
      <c r="I10" s="424">
        <f>'Data Sheet'!I25</f>
        <v>2358.7399999999998</v>
      </c>
      <c r="J10" s="424">
        <f>'Data Sheet'!J25</f>
        <v>2257.89</v>
      </c>
      <c r="K10" s="424">
        <f>'Data Sheet'!K25</f>
        <v>2420.4299999999998</v>
      </c>
      <c r="L10" s="424">
        <f>SUM(Quarters!H10:K10)</f>
        <v>2420.4299999999998</v>
      </c>
      <c r="M10" s="424">
        <f>M6+M7-SUM(M8:M9)</f>
        <v>1987.2704402516538</v>
      </c>
      <c r="N10" s="424">
        <f>N6+N7-SUM(N8:N9)</f>
        <v>1948.2332243953206</v>
      </c>
    </row>
    <row r="11" spans="1:14" ht="14.25" customHeight="1" x14ac:dyDescent="0.35">
      <c r="A11" s="37" t="s">
        <v>308</v>
      </c>
      <c r="B11" s="424">
        <f>'Data Sheet'!B26</f>
        <v>330.34</v>
      </c>
      <c r="C11" s="424">
        <f>'Data Sheet'!C26</f>
        <v>335.35</v>
      </c>
      <c r="D11" s="424">
        <f>'Data Sheet'!D26</f>
        <v>278.62</v>
      </c>
      <c r="E11" s="424">
        <f>'Data Sheet'!E26</f>
        <v>279.72000000000003</v>
      </c>
      <c r="F11" s="424">
        <f>'Data Sheet'!F26</f>
        <v>361.07</v>
      </c>
      <c r="G11" s="424">
        <f>'Data Sheet'!G26</f>
        <v>526.38</v>
      </c>
      <c r="H11" s="424">
        <f>'Data Sheet'!H26</f>
        <v>517.35</v>
      </c>
      <c r="I11" s="424">
        <f>'Data Sheet'!I26</f>
        <v>547.42999999999995</v>
      </c>
      <c r="J11" s="424">
        <f>'Data Sheet'!J26</f>
        <v>517.47</v>
      </c>
      <c r="K11" s="424">
        <f>'Data Sheet'!K26</f>
        <v>551.74</v>
      </c>
      <c r="L11" s="424">
        <f>SUM(Quarters!H11:K11)</f>
        <v>551.74</v>
      </c>
      <c r="M11" s="429">
        <f>IF($L10&gt;0,$L11/$L10,0)</f>
        <v>0.22795123180591881</v>
      </c>
      <c r="N11" s="429">
        <f>IF($L10&gt;0,$L11/$L10,0)</f>
        <v>0.22795123180591881</v>
      </c>
    </row>
    <row r="12" spans="1:14" s="16" customFormat="1" ht="14.25" customHeight="1" x14ac:dyDescent="0.35">
      <c r="A12" s="237" t="s">
        <v>309</v>
      </c>
      <c r="B12" s="428">
        <f>'Data Sheet'!B27</f>
        <v>1276.94</v>
      </c>
      <c r="C12" s="428">
        <f>'Data Sheet'!C27</f>
        <v>1354.39</v>
      </c>
      <c r="D12" s="428">
        <f>'Data Sheet'!D27</f>
        <v>1442.33</v>
      </c>
      <c r="E12" s="428">
        <f>'Data Sheet'!E27</f>
        <v>1444.96</v>
      </c>
      <c r="F12" s="428">
        <f>'Data Sheet'!F27</f>
        <v>1693.3</v>
      </c>
      <c r="G12" s="428">
        <f>'Data Sheet'!G27</f>
        <v>1739.22</v>
      </c>
      <c r="H12" s="428">
        <f>'Data Sheet'!H27</f>
        <v>1707.15</v>
      </c>
      <c r="I12" s="428">
        <f>'Data Sheet'!I27</f>
        <v>1842.68</v>
      </c>
      <c r="J12" s="428">
        <f>'Data Sheet'!J27</f>
        <v>1767.63</v>
      </c>
      <c r="K12" s="428">
        <f>'Data Sheet'!K27</f>
        <v>1895.03</v>
      </c>
      <c r="L12" s="428">
        <f>SUM(Quarters!H12:K12)</f>
        <v>1895.0300000000002</v>
      </c>
      <c r="M12" s="428">
        <f>M10-M11*M10</f>
        <v>1534.2696954647986</v>
      </c>
      <c r="N12" s="428">
        <f>N10-N11*N10</f>
        <v>1504.1310610491903</v>
      </c>
    </row>
    <row r="13" spans="1:14" ht="14.25" customHeight="1" x14ac:dyDescent="0.35">
      <c r="A13" s="37" t="s">
        <v>310</v>
      </c>
      <c r="B13" s="424">
        <f>IF('Data Sheet'!B90&gt;0,B12/'Data Sheet'!B90,0)</f>
        <v>7.2491626454726088</v>
      </c>
      <c r="C13" s="424">
        <f>IF('Data Sheet'!C90&gt;0,C12/'Data Sheet'!C90,0)</f>
        <v>7.6888447346011928</v>
      </c>
      <c r="D13" s="424">
        <f>IF('Data Sheet'!D90&gt;0,D12/'Data Sheet'!D90,0)</f>
        <v>8.1658268697276792</v>
      </c>
      <c r="E13" s="424">
        <f>IF('Data Sheet'!E90&gt;0,E12/'Data Sheet'!E90,0)</f>
        <v>8.1770131854450785</v>
      </c>
      <c r="F13" s="424">
        <f>IF('Data Sheet'!F90&gt;0,F12/'Data Sheet'!F90,0)</f>
        <v>9.5807400701595551</v>
      </c>
      <c r="G13" s="424">
        <f>IF('Data Sheet'!G90&gt;0,G12/'Data Sheet'!G90,0)</f>
        <v>9.8377736297301883</v>
      </c>
      <c r="H13" s="424">
        <f>IF('Data Sheet'!H90&gt;0,H12/'Data Sheet'!H90,0)</f>
        <v>9.6351168303420245</v>
      </c>
      <c r="I13" s="424">
        <f>IF('Data Sheet'!I90&gt;0,I12/'Data Sheet'!I90,0)</f>
        <v>10.398871331828444</v>
      </c>
      <c r="J13" s="424">
        <f>IF('Data Sheet'!J90&gt;0,J12/'Data Sheet'!J90,0)</f>
        <v>9.9736500592450508</v>
      </c>
      <c r="K13" s="424">
        <f>IF('Data Sheet'!K90&gt;0,K12/'Data Sheet'!K90,0)</f>
        <v>10.684050290353499</v>
      </c>
      <c r="L13" s="424">
        <f>IF('Data Sheet'!$B6&gt;0,'Profit &amp; Loss'!L12/'Data Sheet'!$B6,0)</f>
        <v>10.684109773769181</v>
      </c>
      <c r="M13" s="424">
        <f>IF('Data Sheet'!$B6&gt;0,'Profit &amp; Loss'!M12/'Data Sheet'!$B6,0)</f>
        <v>8.6501563821751208</v>
      </c>
      <c r="N13" s="424">
        <f>IF('Data Sheet'!$B6&gt;0,'Profit &amp; Loss'!N12/'Data Sheet'!$B6,0)</f>
        <v>8.4802358645432854</v>
      </c>
    </row>
    <row r="14" spans="1:14" ht="14.25" customHeight="1" x14ac:dyDescent="0.35">
      <c r="A14" s="37" t="s">
        <v>311</v>
      </c>
      <c r="B14" s="424">
        <f t="shared" ref="B14:K14" si="1">IF(B15&gt;0,B15/B13,"")</f>
        <v>38.259591288549188</v>
      </c>
      <c r="C14" s="424">
        <f t="shared" si="1"/>
        <v>42.711227932870145</v>
      </c>
      <c r="D14" s="424">
        <f t="shared" si="1"/>
        <v>50.062290876567779</v>
      </c>
      <c r="E14" s="424">
        <f t="shared" si="1"/>
        <v>55.038433935887504</v>
      </c>
      <c r="F14" s="424">
        <f t="shared" si="1"/>
        <v>56.415266048544268</v>
      </c>
      <c r="G14" s="424">
        <f t="shared" si="1"/>
        <v>54.504201883603002</v>
      </c>
      <c r="H14" s="424">
        <f t="shared" si="1"/>
        <v>56.553543625340481</v>
      </c>
      <c r="I14" s="424">
        <f t="shared" si="1"/>
        <v>50.308344367985754</v>
      </c>
      <c r="J14" s="424">
        <f t="shared" si="1"/>
        <v>50.783815051792502</v>
      </c>
      <c r="K14" s="424">
        <f t="shared" si="1"/>
        <v>38.417078621446628</v>
      </c>
      <c r="L14" s="424">
        <f>IF(L13&gt;0,L15/L13,0)</f>
        <v>41.561721978016173</v>
      </c>
      <c r="M14" s="424">
        <f>M25</f>
        <v>45.267740004810264</v>
      </c>
      <c r="N14" s="424">
        <f>N25</f>
        <v>41.561721978016173</v>
      </c>
    </row>
    <row r="15" spans="1:14" s="16" customFormat="1" ht="14.25" customHeight="1" x14ac:dyDescent="0.35">
      <c r="A15" s="237" t="s">
        <v>312</v>
      </c>
      <c r="B15" s="428">
        <f>'Data Sheet'!B87</f>
        <v>277.35000000000002</v>
      </c>
      <c r="C15" s="428">
        <f>'Data Sheet'!C87</f>
        <v>328.4</v>
      </c>
      <c r="D15" s="428">
        <f>'Data Sheet'!D87</f>
        <v>408.8</v>
      </c>
      <c r="E15" s="428">
        <f>'Data Sheet'!E87</f>
        <v>450.05</v>
      </c>
      <c r="F15" s="428">
        <f>'Data Sheet'!F87</f>
        <v>540.5</v>
      </c>
      <c r="G15" s="428">
        <f>'Data Sheet'!G87</f>
        <v>536.20000000000005</v>
      </c>
      <c r="H15" s="428">
        <f>'Data Sheet'!H87</f>
        <v>544.9</v>
      </c>
      <c r="I15" s="428">
        <f>'Data Sheet'!I87</f>
        <v>523.15</v>
      </c>
      <c r="J15" s="428">
        <f>'Data Sheet'!J87</f>
        <v>506.5</v>
      </c>
      <c r="K15" s="428">
        <f>'Data Sheet'!K87</f>
        <v>410.45</v>
      </c>
      <c r="L15" s="428">
        <f>'Data Sheet'!B8</f>
        <v>444.05</v>
      </c>
      <c r="M15" s="430">
        <f>M13*M14</f>
        <v>391.57303010925352</v>
      </c>
      <c r="N15" s="431">
        <f>N13*N14</f>
        <v>352.45320531014966</v>
      </c>
    </row>
    <row r="17" spans="1:14" s="16" customFormat="1" ht="14.25" customHeight="1" x14ac:dyDescent="0.35">
      <c r="A17" s="16" t="s">
        <v>313</v>
      </c>
    </row>
    <row r="18" spans="1:14" ht="14.25" customHeight="1" x14ac:dyDescent="0.35">
      <c r="A18" s="37" t="s">
        <v>314</v>
      </c>
      <c r="B18" s="432">
        <f>IF('Data Sheet'!B27&gt;0, 'Data Sheet'!B28/'Data Sheet'!B27, 0)</f>
        <v>0.31038263348317069</v>
      </c>
      <c r="C18" s="432">
        <f>IF('Data Sheet'!C27&gt;0, 'Data Sheet'!C28/'Data Sheet'!C27, 0)</f>
        <v>0.81286778549753025</v>
      </c>
      <c r="D18" s="432">
        <f>IF('Data Sheet'!D27&gt;0, 'Data Sheet'!D28/'Data Sheet'!D27, 0)</f>
        <v>0.33676759132792083</v>
      </c>
      <c r="E18" s="432">
        <f>IF('Data Sheet'!E27&gt;0, 'Data Sheet'!E28/'Data Sheet'!E27, 0)</f>
        <v>0.36688212822500277</v>
      </c>
      <c r="F18" s="432">
        <f>IF('Data Sheet'!F27&gt;0, 'Data Sheet'!F28/'Data Sheet'!F27, 0)</f>
        <v>0.49578928719069271</v>
      </c>
      <c r="G18" s="432">
        <f>IF('Data Sheet'!G27&gt;0, 'Data Sheet'!G28/'Data Sheet'!G27, 0)</f>
        <v>0.52857602833454076</v>
      </c>
      <c r="H18" s="432">
        <f>IF('Data Sheet'!H27&gt;0, 'Data Sheet'!H28/'Data Sheet'!H27, 0)</f>
        <v>0.53969481299241429</v>
      </c>
      <c r="I18" s="432">
        <f>IF('Data Sheet'!I27&gt;0, 'Data Sheet'!I28/'Data Sheet'!I27, 0)</f>
        <v>0.52890355351987317</v>
      </c>
      <c r="J18" s="432">
        <f>IF('Data Sheet'!J27&gt;0, 'Data Sheet'!J28/'Data Sheet'!J27, 0)</f>
        <v>0.80211356449030613</v>
      </c>
      <c r="K18" s="432">
        <f>IF('Data Sheet'!K27&gt;0, 'Data Sheet'!K28/'Data Sheet'!K27, 0)</f>
        <v>0.77217774916492088</v>
      </c>
    </row>
    <row r="19" spans="1:14" ht="14.25" customHeight="1" x14ac:dyDescent="0.35">
      <c r="A19" s="37" t="s">
        <v>315</v>
      </c>
      <c r="B19" s="432">
        <f t="shared" ref="B19:L19" si="2">IF(B6&gt;0,B6/B4,0)</f>
        <v>0.19854102992149572</v>
      </c>
      <c r="C19" s="432">
        <f t="shared" si="2"/>
        <v>0.20946275827683786</v>
      </c>
      <c r="D19" s="432">
        <f t="shared" si="2"/>
        <v>0.20429383945254176</v>
      </c>
      <c r="E19" s="432">
        <f t="shared" si="2"/>
        <v>0.20638046021481596</v>
      </c>
      <c r="F19" s="432">
        <f t="shared" si="2"/>
        <v>0.20934357563809575</v>
      </c>
      <c r="G19" s="432">
        <f t="shared" si="2"/>
        <v>0.20682121248856611</v>
      </c>
      <c r="H19" s="432">
        <f t="shared" si="2"/>
        <v>0.18755512845309016</v>
      </c>
      <c r="I19" s="432">
        <f t="shared" si="2"/>
        <v>0.19346324293514769</v>
      </c>
      <c r="J19" s="432">
        <f t="shared" si="2"/>
        <v>0.18437661435204239</v>
      </c>
      <c r="K19" s="432">
        <f t="shared" si="2"/>
        <v>0.18571362516931886</v>
      </c>
      <c r="L19" s="432">
        <f t="shared" si="2"/>
        <v>0.1857136251693188</v>
      </c>
    </row>
    <row r="20" spans="1:14" ht="14.25" customHeight="1" x14ac:dyDescent="0.3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4" ht="14.25" customHeight="1" x14ac:dyDescent="0.35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4" s="16" customFormat="1" ht="14.25" customHeight="1" x14ac:dyDescent="0.35">
      <c r="A22" s="17"/>
      <c r="B22" s="18"/>
      <c r="C22" s="18"/>
      <c r="D22" s="18"/>
      <c r="E22" s="18"/>
      <c r="F22" s="18"/>
      <c r="G22" s="433" t="s">
        <v>316</v>
      </c>
      <c r="H22" s="433" t="s">
        <v>317</v>
      </c>
      <c r="I22" s="433" t="s">
        <v>318</v>
      </c>
      <c r="J22" s="433" t="s">
        <v>319</v>
      </c>
      <c r="K22" s="433" t="s">
        <v>320</v>
      </c>
      <c r="L22" s="434" t="s">
        <v>321</v>
      </c>
      <c r="M22" s="434" t="s">
        <v>322</v>
      </c>
      <c r="N22" s="434" t="s">
        <v>323</v>
      </c>
    </row>
    <row r="23" spans="1:14" s="16" customFormat="1" ht="14.25" customHeight="1" x14ac:dyDescent="0.35">
      <c r="G23" s="237" t="s">
        <v>324</v>
      </c>
      <c r="H23" s="432">
        <f>IF(B4=0,"",POWER($K4/B4,1/9)-1)</f>
        <v>6.2983829501763289E-2</v>
      </c>
      <c r="I23" s="432">
        <f>IF(D4=0,"",POWER($K4/D4,1/7)-1)</f>
        <v>6.4543982270084177E-2</v>
      </c>
      <c r="J23" s="432">
        <f>IF(F4=0,"",POWER($K4/F4,1/5)-1)</f>
        <v>6.649620142586965E-2</v>
      </c>
      <c r="K23" s="432">
        <f>IF(H4=0,"",POWER($K4/H4, 1/3)-1)</f>
        <v>4.592709686181462E-2</v>
      </c>
      <c r="L23" s="432">
        <f>IF(ISERROR(MAX(IF(J4=0,"",(K4-J4)/J4),IF(K4=0,"",(L4-K4)/K4))),"",MAX(IF(J4=0,"",(K4-J4)/J4),IF(K4=0,"",(L4-K4)/K4)))</f>
        <v>5.0105507482633614E-2</v>
      </c>
      <c r="M23" s="435">
        <f>MAX(K23:L23)</f>
        <v>5.0105507482633614E-2</v>
      </c>
      <c r="N23" s="435">
        <f>MIN(H23:L23)</f>
        <v>4.592709686181462E-2</v>
      </c>
    </row>
    <row r="24" spans="1:14" ht="14.25" customHeight="1" x14ac:dyDescent="0.35">
      <c r="G24" s="37" t="s">
        <v>315</v>
      </c>
      <c r="H24" s="432">
        <f>IF(SUM(B4:$K$4)=0,"",SUMPRODUCT(B19:$K$19,B4:$K$4)/SUM(B4:$K$4))</f>
        <v>0.19715829448582209</v>
      </c>
      <c r="I24" s="432">
        <f>IF(SUM(E4:$K$4)=0,"",SUMPRODUCT(E19:$K$19,E4:$K$4)/SUM(E4:$K$4))</f>
        <v>0.1950485464359889</v>
      </c>
      <c r="J24" s="432">
        <f>IF(SUM(G4:$K$4)=0,"",SUMPRODUCT(G19:$K$19,G4:$K$4)/SUM(G4:$K$4))</f>
        <v>0.19116765359970844</v>
      </c>
      <c r="K24" s="432">
        <f>IF(SUM(I4:$K$4)=0, "", SUMPRODUCT(I19:$K$19,I4:$K$4)/SUM(I4:$K$4))</f>
        <v>0.18779250449492887</v>
      </c>
      <c r="L24" s="432">
        <f>L19</f>
        <v>0.1857136251693188</v>
      </c>
      <c r="M24" s="435">
        <f>MAX(K24:L24)</f>
        <v>0.18779250449492887</v>
      </c>
      <c r="N24" s="435">
        <f>MIN(H24:L24)</f>
        <v>0.1857136251693188</v>
      </c>
    </row>
    <row r="25" spans="1:14" ht="14.25" customHeight="1" x14ac:dyDescent="0.35">
      <c r="G25" s="37" t="s">
        <v>325</v>
      </c>
      <c r="H25" s="424">
        <f>IF(ISERROR(AVERAGEIF(B14:$L14,"&gt;0")),"",AVERAGEIF(B14:$L14,"&gt;0"))</f>
        <v>48.601410510054848</v>
      </c>
      <c r="I25" s="424">
        <f>IF(ISERROR(AVERAGEIF(E14:$L14,"&gt;0")),"",AVERAGEIF(E14:$L14,"&gt;0"))</f>
        <v>50.447800689077042</v>
      </c>
      <c r="J25" s="424">
        <f>IF(ISERROR(AVERAGEIF(G14:$L14,"&gt;0")),"",AVERAGEIF(G14:$L14,"&gt;0"))</f>
        <v>48.688117588030757</v>
      </c>
      <c r="K25" s="424">
        <f>IF(ISERROR(AVERAGEIF(I14:$L14,"&gt;0")),"",AVERAGEIF(I14:$L14,"&gt;0"))</f>
        <v>45.267740004810264</v>
      </c>
      <c r="L25" s="424">
        <f>L14</f>
        <v>41.561721978016173</v>
      </c>
      <c r="M25" s="428">
        <f>MAX(K25:L25)</f>
        <v>45.267740004810264</v>
      </c>
      <c r="N25" s="428">
        <f>MIN(H25:L25)</f>
        <v>41.561721978016173</v>
      </c>
    </row>
  </sheetData>
  <mergeCells count="1">
    <mergeCell ref="A1:N1"/>
  </mergeCells>
  <printOptions gridLines="1"/>
  <pageMargins left="0.7" right="0.7" top="0.75" bottom="0.75" header="0.511811023622047" footer="0.511811023622047"/>
  <pageSetup paperSize="9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2"/>
  <sheetViews>
    <sheetView showGridLines="0" zoomScale="80" zoomScaleNormal="80" workbookViewId="0">
      <selection activeCell="G18" sqref="G18"/>
    </sheetView>
  </sheetViews>
  <sheetFormatPr defaultColWidth="8.81640625" defaultRowHeight="14.5" x14ac:dyDescent="0.35"/>
  <cols>
    <col min="1" max="1" width="20.6328125" customWidth="1"/>
    <col min="2" max="11" width="13.453125" customWidth="1"/>
  </cols>
  <sheetData>
    <row r="1" spans="1:11" s="16" customFormat="1" ht="21.5" customHeight="1" x14ac:dyDescent="0.35">
      <c r="A1" s="436" t="str">
        <f>'Profit &amp; Loss'!A1</f>
        <v>DABUR INDIA LTD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</row>
    <row r="3" spans="1:11" s="16" customFormat="1" ht="14.25" customHeight="1" x14ac:dyDescent="0.35">
      <c r="A3" s="420" t="s">
        <v>277</v>
      </c>
      <c r="B3" s="421">
        <f>'Data Sheet'!B38</f>
        <v>45291</v>
      </c>
      <c r="C3" s="421">
        <f>'Data Sheet'!C38</f>
        <v>45382</v>
      </c>
      <c r="D3" s="421">
        <f>'Data Sheet'!D38</f>
        <v>45473</v>
      </c>
      <c r="E3" s="421">
        <f>'Data Sheet'!E38</f>
        <v>45565</v>
      </c>
      <c r="F3" s="421">
        <f>'Data Sheet'!F38</f>
        <v>45657</v>
      </c>
      <c r="G3" s="421">
        <f>'Data Sheet'!G38</f>
        <v>45747</v>
      </c>
      <c r="H3" s="421">
        <f>'Data Sheet'!H38</f>
        <v>45838</v>
      </c>
      <c r="I3" s="421">
        <f>'Data Sheet'!I38</f>
        <v>45930</v>
      </c>
      <c r="J3" s="421">
        <f>'Data Sheet'!J38</f>
        <v>46022</v>
      </c>
      <c r="K3" s="421">
        <f>'Data Sheet'!K38</f>
        <v>46112</v>
      </c>
    </row>
    <row r="4" spans="1:11" s="16" customFormat="1" ht="14.25" customHeight="1" x14ac:dyDescent="0.35">
      <c r="A4" s="237" t="s">
        <v>301</v>
      </c>
      <c r="B4" s="428">
        <f>'Data Sheet'!B39</f>
        <v>3255.06</v>
      </c>
      <c r="C4" s="428">
        <f>'Data Sheet'!C39</f>
        <v>2814.64</v>
      </c>
      <c r="D4" s="428">
        <f>'Data Sheet'!D39</f>
        <v>3349.11</v>
      </c>
      <c r="E4" s="428">
        <f>'Data Sheet'!E39</f>
        <v>3028.59</v>
      </c>
      <c r="F4" s="428">
        <f>'Data Sheet'!F39</f>
        <v>3355.25</v>
      </c>
      <c r="G4" s="428">
        <f>'Data Sheet'!G39</f>
        <v>2830.14</v>
      </c>
      <c r="H4" s="428">
        <f>'Data Sheet'!H39</f>
        <v>3404.58</v>
      </c>
      <c r="I4" s="428">
        <f>'Data Sheet'!I39</f>
        <v>3191.32</v>
      </c>
      <c r="J4" s="428">
        <f>'Data Sheet'!J39</f>
        <v>3558.65</v>
      </c>
      <c r="K4" s="428">
        <f>'Data Sheet'!K39</f>
        <v>3038.02</v>
      </c>
    </row>
    <row r="5" spans="1:11" ht="14.25" customHeight="1" x14ac:dyDescent="0.35">
      <c r="A5" s="37" t="s">
        <v>302</v>
      </c>
      <c r="B5" s="424">
        <f>'Data Sheet'!B40</f>
        <v>2587.64</v>
      </c>
      <c r="C5" s="424">
        <f>'Data Sheet'!C40</f>
        <v>2348.23</v>
      </c>
      <c r="D5" s="424">
        <f>'Data Sheet'!D40</f>
        <v>2694.28</v>
      </c>
      <c r="E5" s="424">
        <f>'Data Sheet'!E40</f>
        <v>2476.04</v>
      </c>
      <c r="F5" s="424">
        <f>'Data Sheet'!F40</f>
        <v>2673.36</v>
      </c>
      <c r="G5" s="424">
        <f>'Data Sheet'!G40</f>
        <v>2403.27</v>
      </c>
      <c r="H5" s="424">
        <f>'Data Sheet'!H40</f>
        <v>2737.16</v>
      </c>
      <c r="I5" s="424">
        <f>'Data Sheet'!I40</f>
        <v>2603.35</v>
      </c>
      <c r="J5" s="424">
        <f>'Data Sheet'!J40</f>
        <v>2824.82</v>
      </c>
      <c r="K5" s="424">
        <f>'Data Sheet'!K40</f>
        <v>2577.1999999999998</v>
      </c>
    </row>
    <row r="6" spans="1:11" s="16" customFormat="1" ht="14.25" customHeight="1" x14ac:dyDescent="0.35">
      <c r="A6" s="237" t="s">
        <v>303</v>
      </c>
      <c r="B6" s="428">
        <f>'Data Sheet'!B47</f>
        <v>667.42</v>
      </c>
      <c r="C6" s="428">
        <f>'Data Sheet'!C47</f>
        <v>466.41</v>
      </c>
      <c r="D6" s="428">
        <f>'Data Sheet'!D47</f>
        <v>654.83000000000004</v>
      </c>
      <c r="E6" s="428">
        <f>'Data Sheet'!E47</f>
        <v>552.54999999999995</v>
      </c>
      <c r="F6" s="428">
        <f>'Data Sheet'!F47</f>
        <v>681.89</v>
      </c>
      <c r="G6" s="428">
        <f>'Data Sheet'!G47</f>
        <v>426.87</v>
      </c>
      <c r="H6" s="428">
        <f>'Data Sheet'!H47</f>
        <v>667.42</v>
      </c>
      <c r="I6" s="428">
        <f>'Data Sheet'!I47</f>
        <v>587.97</v>
      </c>
      <c r="J6" s="428">
        <f>'Data Sheet'!J47</f>
        <v>733.83</v>
      </c>
      <c r="K6" s="428">
        <f>'Data Sheet'!K47</f>
        <v>460.82</v>
      </c>
    </row>
    <row r="7" spans="1:11" ht="14.25" customHeight="1" x14ac:dyDescent="0.35">
      <c r="A7" s="37" t="s">
        <v>304</v>
      </c>
      <c r="B7" s="424">
        <f>'Data Sheet'!B41</f>
        <v>127.37</v>
      </c>
      <c r="C7" s="424">
        <f>'Data Sheet'!C41</f>
        <v>128.85</v>
      </c>
      <c r="D7" s="424">
        <f>'Data Sheet'!D41</f>
        <v>129.4</v>
      </c>
      <c r="E7" s="424">
        <f>'Data Sheet'!E41</f>
        <v>151.76</v>
      </c>
      <c r="F7" s="424">
        <f>'Data Sheet'!F41</f>
        <v>128.53</v>
      </c>
      <c r="G7" s="424">
        <f>'Data Sheet'!G41</f>
        <v>141.16</v>
      </c>
      <c r="H7" s="424">
        <f>'Data Sheet'!H41</f>
        <v>143.97</v>
      </c>
      <c r="I7" s="424">
        <f>'Data Sheet'!I41</f>
        <v>140.13</v>
      </c>
      <c r="J7" s="424">
        <f>'Data Sheet'!J41</f>
        <v>125.59</v>
      </c>
      <c r="K7" s="424">
        <f>'Data Sheet'!K41</f>
        <v>175.03</v>
      </c>
    </row>
    <row r="8" spans="1:11" ht="14.25" customHeight="1" x14ac:dyDescent="0.35">
      <c r="A8" s="37" t="s">
        <v>305</v>
      </c>
      <c r="B8" s="424">
        <f>'Data Sheet'!B42</f>
        <v>96.89</v>
      </c>
      <c r="C8" s="424">
        <f>'Data Sheet'!C42</f>
        <v>107.36</v>
      </c>
      <c r="D8" s="424">
        <f>'Data Sheet'!D42</f>
        <v>109.12</v>
      </c>
      <c r="E8" s="424">
        <f>'Data Sheet'!E42</f>
        <v>110.97</v>
      </c>
      <c r="F8" s="424">
        <f>'Data Sheet'!F42</f>
        <v>108.64</v>
      </c>
      <c r="G8" s="424">
        <f>'Data Sheet'!G42</f>
        <v>116.87</v>
      </c>
      <c r="H8" s="424">
        <f>'Data Sheet'!H42</f>
        <v>114.14</v>
      </c>
      <c r="I8" s="424">
        <f>'Data Sheet'!I42</f>
        <v>115.4</v>
      </c>
      <c r="J8" s="424">
        <f>'Data Sheet'!J42</f>
        <v>117.19</v>
      </c>
      <c r="K8" s="424">
        <f>'Data Sheet'!K42</f>
        <v>122.2</v>
      </c>
    </row>
    <row r="9" spans="1:11" ht="14.25" customHeight="1" x14ac:dyDescent="0.35">
      <c r="A9" s="37" t="s">
        <v>306</v>
      </c>
      <c r="B9" s="424">
        <f>'Data Sheet'!B43</f>
        <v>36.49</v>
      </c>
      <c r="C9" s="424">
        <f>'Data Sheet'!C43</f>
        <v>35.24</v>
      </c>
      <c r="D9" s="424">
        <f>'Data Sheet'!D43</f>
        <v>32.659999999999997</v>
      </c>
      <c r="E9" s="424">
        <f>'Data Sheet'!E43</f>
        <v>47.39</v>
      </c>
      <c r="F9" s="424">
        <f>'Data Sheet'!F43</f>
        <v>44.2</v>
      </c>
      <c r="G9" s="424">
        <f>'Data Sheet'!G43</f>
        <v>39.25</v>
      </c>
      <c r="H9" s="424">
        <f>'Data Sheet'!H43</f>
        <v>34.630000000000003</v>
      </c>
      <c r="I9" s="424">
        <f>'Data Sheet'!I43</f>
        <v>39.68</v>
      </c>
      <c r="J9" s="424">
        <f>'Data Sheet'!J43</f>
        <v>31.12</v>
      </c>
      <c r="K9" s="424">
        <f>'Data Sheet'!K43</f>
        <v>39.97</v>
      </c>
    </row>
    <row r="10" spans="1:11" ht="14.25" customHeight="1" x14ac:dyDescent="0.35">
      <c r="A10" s="37" t="s">
        <v>307</v>
      </c>
      <c r="B10" s="424">
        <f>'Data Sheet'!B44</f>
        <v>661.41</v>
      </c>
      <c r="C10" s="424">
        <f>'Data Sheet'!C44</f>
        <v>452.66</v>
      </c>
      <c r="D10" s="424">
        <f>'Data Sheet'!D44</f>
        <v>642.45000000000005</v>
      </c>
      <c r="E10" s="424">
        <f>'Data Sheet'!E44</f>
        <v>545.95000000000005</v>
      </c>
      <c r="F10" s="424">
        <f>'Data Sheet'!F44</f>
        <v>657.58</v>
      </c>
      <c r="G10" s="424">
        <f>'Data Sheet'!G44</f>
        <v>411.91</v>
      </c>
      <c r="H10" s="424">
        <f>'Data Sheet'!H44</f>
        <v>662.62</v>
      </c>
      <c r="I10" s="424">
        <f>'Data Sheet'!I44</f>
        <v>573.02</v>
      </c>
      <c r="J10" s="424">
        <f>'Data Sheet'!J44</f>
        <v>711.11</v>
      </c>
      <c r="K10" s="424">
        <f>'Data Sheet'!K44</f>
        <v>473.68</v>
      </c>
    </row>
    <row r="11" spans="1:11" ht="14.25" customHeight="1" x14ac:dyDescent="0.35">
      <c r="A11" s="37" t="s">
        <v>308</v>
      </c>
      <c r="B11" s="424">
        <f>'Data Sheet'!B45</f>
        <v>154.97</v>
      </c>
      <c r="C11" s="424">
        <f>'Data Sheet'!C45</f>
        <v>111.44</v>
      </c>
      <c r="D11" s="424">
        <f>'Data Sheet'!D45</f>
        <v>148.1</v>
      </c>
      <c r="E11" s="424">
        <f>'Data Sheet'!E45</f>
        <v>128.43</v>
      </c>
      <c r="F11" s="424">
        <f>'Data Sheet'!F45</f>
        <v>141.76</v>
      </c>
      <c r="G11" s="424">
        <f>'Data Sheet'!G45</f>
        <v>99.18</v>
      </c>
      <c r="H11" s="424">
        <f>'Data Sheet'!H45</f>
        <v>154.33000000000001</v>
      </c>
      <c r="I11" s="424">
        <f>'Data Sheet'!I45</f>
        <v>128.22999999999999</v>
      </c>
      <c r="J11" s="424">
        <f>'Data Sheet'!J45</f>
        <v>157.5</v>
      </c>
      <c r="K11" s="424">
        <f>'Data Sheet'!K45</f>
        <v>111.68</v>
      </c>
    </row>
    <row r="12" spans="1:11" s="16" customFormat="1" ht="14.25" customHeight="1" x14ac:dyDescent="0.35">
      <c r="A12" s="237" t="s">
        <v>309</v>
      </c>
      <c r="B12" s="428">
        <f>'Data Sheet'!B46</f>
        <v>514.22</v>
      </c>
      <c r="C12" s="428">
        <f>'Data Sheet'!C46</f>
        <v>349.53</v>
      </c>
      <c r="D12" s="428">
        <f>'Data Sheet'!D46</f>
        <v>500.12</v>
      </c>
      <c r="E12" s="428">
        <f>'Data Sheet'!E46</f>
        <v>425</v>
      </c>
      <c r="F12" s="428">
        <f>'Data Sheet'!F46</f>
        <v>522.38</v>
      </c>
      <c r="G12" s="428">
        <f>'Data Sheet'!G46</f>
        <v>320.13</v>
      </c>
      <c r="H12" s="428">
        <f>'Data Sheet'!H46</f>
        <v>513.91</v>
      </c>
      <c r="I12" s="428">
        <f>'Data Sheet'!I46</f>
        <v>452.55</v>
      </c>
      <c r="J12" s="428">
        <f>'Data Sheet'!J46</f>
        <v>559.97</v>
      </c>
      <c r="K12" s="428">
        <f>'Data Sheet'!K46</f>
        <v>368.6</v>
      </c>
    </row>
    <row r="14" spans="1:11" s="16" customFormat="1" ht="14.25" customHeight="1" x14ac:dyDescent="0.35">
      <c r="A14" s="237" t="s">
        <v>315</v>
      </c>
      <c r="B14" s="425">
        <f t="shared" ref="B14:K14" si="0">IF(B4&gt;0,B6/B4,"")</f>
        <v>0.20504076729768422</v>
      </c>
      <c r="C14" s="425">
        <f t="shared" si="0"/>
        <v>0.16570858084870535</v>
      </c>
      <c r="D14" s="425">
        <f t="shared" si="0"/>
        <v>0.19552358686337565</v>
      </c>
      <c r="E14" s="425">
        <f t="shared" si="0"/>
        <v>0.18244463595270405</v>
      </c>
      <c r="F14" s="425">
        <f t="shared" si="0"/>
        <v>0.20323075776767752</v>
      </c>
      <c r="G14" s="425">
        <f t="shared" si="0"/>
        <v>0.15082999427590155</v>
      </c>
      <c r="H14" s="425">
        <f t="shared" si="0"/>
        <v>0.19603592807335998</v>
      </c>
      <c r="I14" s="425">
        <f t="shared" si="0"/>
        <v>0.18424037702267401</v>
      </c>
      <c r="J14" s="425">
        <f t="shared" si="0"/>
        <v>0.20621022016776025</v>
      </c>
      <c r="K14" s="425">
        <f t="shared" si="0"/>
        <v>0.15168432070888277</v>
      </c>
    </row>
    <row r="22" s="27" customFormat="1" ht="14.25" customHeight="1" x14ac:dyDescent="0.35"/>
  </sheetData>
  <mergeCells count="1">
    <mergeCell ref="A1:K1"/>
  </mergeCells>
  <printOptions gridLines="1"/>
  <pageMargins left="0.7" right="0.7" top="0.75" bottom="0.75" header="0.511811023622047" footer="0.511811023622047"/>
  <pageSetup paperSize="9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8"/>
  <sheetViews>
    <sheetView showGridLines="0" zoomScale="88" zoomScaleNormal="100" workbookViewId="0">
      <selection activeCell="E16" sqref="E16"/>
    </sheetView>
  </sheetViews>
  <sheetFormatPr defaultColWidth="8.81640625" defaultRowHeight="14.5" x14ac:dyDescent="0.35"/>
  <cols>
    <col min="1" max="1" width="26.81640625" customWidth="1"/>
    <col min="2" max="11" width="13.453125" customWidth="1"/>
  </cols>
  <sheetData>
    <row r="1" spans="1:11" s="16" customFormat="1" ht="20" customHeight="1" x14ac:dyDescent="0.35">
      <c r="A1" s="437" t="str">
        <f>'Balance Sheet'!A1</f>
        <v>DABUR INDIA LTD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</row>
    <row r="3" spans="1:11" s="16" customFormat="1" ht="14.25" customHeight="1" x14ac:dyDescent="0.35">
      <c r="A3" s="420" t="s">
        <v>277</v>
      </c>
      <c r="B3" s="421">
        <f>'Data Sheet'!B78</f>
        <v>42825</v>
      </c>
      <c r="C3" s="421">
        <f>'Data Sheet'!C78</f>
        <v>43190</v>
      </c>
      <c r="D3" s="421">
        <f>'Data Sheet'!D78</f>
        <v>43555</v>
      </c>
      <c r="E3" s="421">
        <f>'Data Sheet'!E78</f>
        <v>43921</v>
      </c>
      <c r="F3" s="421">
        <f>'Data Sheet'!F78</f>
        <v>44286</v>
      </c>
      <c r="G3" s="421">
        <f>'Data Sheet'!G78</f>
        <v>44651</v>
      </c>
      <c r="H3" s="421">
        <f>'Data Sheet'!H78</f>
        <v>45016</v>
      </c>
      <c r="I3" s="421">
        <f>'Data Sheet'!I78</f>
        <v>45382</v>
      </c>
      <c r="J3" s="421">
        <f>'Data Sheet'!J78</f>
        <v>45747</v>
      </c>
      <c r="K3" s="421">
        <f>'Data Sheet'!K78</f>
        <v>46112</v>
      </c>
    </row>
    <row r="4" spans="1:11" s="16" customFormat="1" ht="14.25" customHeight="1" x14ac:dyDescent="0.35">
      <c r="A4" s="237" t="s">
        <v>326</v>
      </c>
      <c r="B4" s="428">
        <f>'Data Sheet'!B79</f>
        <v>1226.94</v>
      </c>
      <c r="C4" s="428">
        <f>'Data Sheet'!C79</f>
        <v>1091.5</v>
      </c>
      <c r="D4" s="428">
        <f>'Data Sheet'!D79</f>
        <v>1499.13</v>
      </c>
      <c r="E4" s="428">
        <f>'Data Sheet'!E79</f>
        <v>1613.62</v>
      </c>
      <c r="F4" s="428">
        <f>'Data Sheet'!F79</f>
        <v>2114.67</v>
      </c>
      <c r="G4" s="428">
        <f>'Data Sheet'!G79</f>
        <v>1802.33</v>
      </c>
      <c r="H4" s="428">
        <f>'Data Sheet'!H79</f>
        <v>1488.43</v>
      </c>
      <c r="I4" s="428">
        <f>'Data Sheet'!I79</f>
        <v>2013.47</v>
      </c>
      <c r="J4" s="428">
        <f>'Data Sheet'!J79</f>
        <v>1986.75</v>
      </c>
      <c r="K4" s="428">
        <f>'Data Sheet'!K79</f>
        <v>2578.62</v>
      </c>
    </row>
    <row r="5" spans="1:11" ht="14.25" customHeight="1" x14ac:dyDescent="0.35">
      <c r="A5" s="37" t="s">
        <v>327</v>
      </c>
      <c r="B5" s="424">
        <f>'Data Sheet'!B80</f>
        <v>-807.07</v>
      </c>
      <c r="C5" s="424">
        <f>'Data Sheet'!C80</f>
        <v>-540.92999999999995</v>
      </c>
      <c r="D5" s="424">
        <f>'Data Sheet'!D80</f>
        <v>337.58</v>
      </c>
      <c r="E5" s="424">
        <f>'Data Sheet'!E80</f>
        <v>-516.63</v>
      </c>
      <c r="F5" s="424">
        <f>'Data Sheet'!F80</f>
        <v>-1404.22</v>
      </c>
      <c r="G5" s="424">
        <f>'Data Sheet'!G80</f>
        <v>-1273.45</v>
      </c>
      <c r="H5" s="424">
        <f>'Data Sheet'!H80</f>
        <v>-582.79</v>
      </c>
      <c r="I5" s="424">
        <f>'Data Sheet'!I80</f>
        <v>-971.04</v>
      </c>
      <c r="J5" s="424">
        <f>'Data Sheet'!J80</f>
        <v>-448.26</v>
      </c>
      <c r="K5" s="424">
        <f>'Data Sheet'!K80</f>
        <v>-1285.22</v>
      </c>
    </row>
    <row r="6" spans="1:11" ht="14.25" customHeight="1" x14ac:dyDescent="0.35">
      <c r="A6" s="37" t="s">
        <v>328</v>
      </c>
      <c r="B6" s="424">
        <f>'Data Sheet'!B81</f>
        <v>-338.97</v>
      </c>
      <c r="C6" s="424">
        <f>'Data Sheet'!C81</f>
        <v>-577.11</v>
      </c>
      <c r="D6" s="424">
        <f>'Data Sheet'!D81</f>
        <v>-1888.2</v>
      </c>
      <c r="E6" s="424">
        <f>'Data Sheet'!E81</f>
        <v>-1042.97</v>
      </c>
      <c r="F6" s="424">
        <f>'Data Sheet'!F81</f>
        <v>-613.41</v>
      </c>
      <c r="G6" s="424">
        <f>'Data Sheet'!G81</f>
        <v>-490.49</v>
      </c>
      <c r="H6" s="424">
        <f>'Data Sheet'!H81</f>
        <v>-1035.24</v>
      </c>
      <c r="I6" s="424">
        <f>'Data Sheet'!I81</f>
        <v>-1161.18</v>
      </c>
      <c r="J6" s="424">
        <f>'Data Sheet'!J81</f>
        <v>-1405.34</v>
      </c>
      <c r="K6" s="424">
        <f>'Data Sheet'!K81</f>
        <v>-1235.73</v>
      </c>
    </row>
    <row r="7" spans="1:11" s="16" customFormat="1" ht="14.25" customHeight="1" x14ac:dyDescent="0.35">
      <c r="A7" s="237" t="s">
        <v>329</v>
      </c>
      <c r="B7" s="428">
        <f>'Data Sheet'!B82</f>
        <v>80.900000000000006</v>
      </c>
      <c r="C7" s="428">
        <f>'Data Sheet'!C82</f>
        <v>-26.54</v>
      </c>
      <c r="D7" s="428">
        <f>'Data Sheet'!D82</f>
        <v>-51.49</v>
      </c>
      <c r="E7" s="428">
        <f>'Data Sheet'!E82</f>
        <v>54.02</v>
      </c>
      <c r="F7" s="428">
        <f>'Data Sheet'!F82</f>
        <v>97.04</v>
      </c>
      <c r="G7" s="428">
        <f>'Data Sheet'!G82</f>
        <v>38.39</v>
      </c>
      <c r="H7" s="428">
        <f>'Data Sheet'!H82</f>
        <v>-129.6</v>
      </c>
      <c r="I7" s="428">
        <f>'Data Sheet'!I82</f>
        <v>-118.75</v>
      </c>
      <c r="J7" s="428">
        <f>'Data Sheet'!J82</f>
        <v>133.15</v>
      </c>
      <c r="K7" s="428">
        <f>'Data Sheet'!K82</f>
        <v>57.67</v>
      </c>
    </row>
    <row r="8" spans="1:11" ht="14.25" customHeight="1" x14ac:dyDescent="0.35">
      <c r="B8" s="24"/>
      <c r="C8" s="24"/>
      <c r="D8" s="24"/>
      <c r="E8" s="24"/>
      <c r="F8" s="24"/>
      <c r="G8" s="24"/>
      <c r="H8" s="24"/>
      <c r="I8" s="24"/>
      <c r="J8" s="24"/>
      <c r="K8" s="24"/>
    </row>
  </sheetData>
  <mergeCells count="1">
    <mergeCell ref="A1:K1"/>
  </mergeCells>
  <printOptions gridLines="1"/>
  <pageMargins left="0.7" right="0.7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S27"/>
  <sheetViews>
    <sheetView showGridLines="0" zoomScale="77" zoomScaleNormal="77" workbookViewId="0">
      <selection activeCell="Q17" sqref="Q17"/>
    </sheetView>
  </sheetViews>
  <sheetFormatPr defaultColWidth="8.7265625" defaultRowHeight="14" x14ac:dyDescent="0.3"/>
  <cols>
    <col min="1" max="1" width="14.7265625" style="2" customWidth="1"/>
    <col min="2" max="17" width="8.7265625" style="2"/>
    <col min="18" max="18" width="19.7265625" style="2" customWidth="1"/>
    <col min="19" max="19" width="21.90625" style="2" customWidth="1"/>
    <col min="20" max="16384" width="8.7265625" style="2"/>
  </cols>
  <sheetData>
    <row r="3" spans="18:19" ht="15" customHeight="1" x14ac:dyDescent="0.3">
      <c r="R3" s="438" t="s">
        <v>330</v>
      </c>
      <c r="S3" s="438"/>
    </row>
    <row r="4" spans="18:19" ht="13.5" customHeight="1" x14ac:dyDescent="0.3">
      <c r="R4" s="28" t="s">
        <v>331</v>
      </c>
      <c r="S4" s="29"/>
    </row>
    <row r="5" spans="18:19" ht="26.25" customHeight="1" x14ac:dyDescent="0.3">
      <c r="R5" s="6" t="s">
        <v>332</v>
      </c>
      <c r="S5" s="30" t="s">
        <v>333</v>
      </c>
    </row>
    <row r="6" spans="18:19" ht="13.5" customHeight="1" x14ac:dyDescent="0.3">
      <c r="R6" s="6" t="s">
        <v>334</v>
      </c>
      <c r="S6" s="30" t="s">
        <v>335</v>
      </c>
    </row>
    <row r="7" spans="18:19" ht="13.5" customHeight="1" x14ac:dyDescent="0.3">
      <c r="R7" s="6" t="s">
        <v>336</v>
      </c>
      <c r="S7" s="30" t="s">
        <v>337</v>
      </c>
    </row>
    <row r="8" spans="18:19" ht="13.5" customHeight="1" x14ac:dyDescent="0.3">
      <c r="R8" s="31" t="s">
        <v>338</v>
      </c>
      <c r="S8" s="30" t="s">
        <v>339</v>
      </c>
    </row>
    <row r="20" spans="1:13" ht="13.5" customHeight="1" x14ac:dyDescent="0.3">
      <c r="A20" s="32" t="s">
        <v>340</v>
      </c>
    </row>
    <row r="21" spans="1:13" ht="13.5" customHeight="1" x14ac:dyDescent="0.3">
      <c r="A21" s="380" t="s">
        <v>341</v>
      </c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</row>
    <row r="22" spans="1:13" ht="13.5" customHeight="1" x14ac:dyDescent="0.3">
      <c r="A22" s="380"/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</row>
    <row r="23" spans="1:13" ht="13.5" customHeight="1" x14ac:dyDescent="0.3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</row>
    <row r="24" spans="1:13" ht="13.5" customHeight="1" x14ac:dyDescent="0.3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</row>
    <row r="25" spans="1:13" ht="13.5" customHeight="1" x14ac:dyDescent="0.3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</row>
    <row r="26" spans="1:13" ht="13.5" customHeight="1" x14ac:dyDescent="0.3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0"/>
      <c r="M26" s="380"/>
    </row>
    <row r="27" spans="1:13" ht="13.5" customHeight="1" x14ac:dyDescent="0.3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</row>
  </sheetData>
  <mergeCells count="2">
    <mergeCell ref="R3:S3"/>
    <mergeCell ref="A21:M2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46"/>
  <sheetViews>
    <sheetView showGridLines="0" zoomScale="66" zoomScaleNormal="75" workbookViewId="0">
      <selection activeCell="K3" sqref="K3"/>
    </sheetView>
  </sheetViews>
  <sheetFormatPr defaultColWidth="8.6328125" defaultRowHeight="14.5" x14ac:dyDescent="0.35"/>
  <cols>
    <col min="1" max="1" width="4" customWidth="1"/>
    <col min="2" max="2" width="36" style="33" customWidth="1"/>
    <col min="3" max="7" width="14" customWidth="1"/>
    <col min="8" max="8" width="3" customWidth="1"/>
  </cols>
  <sheetData>
    <row r="1" spans="2:8" ht="18" customHeight="1" x14ac:dyDescent="0.35">
      <c r="B1" s="439" t="s">
        <v>342</v>
      </c>
      <c r="C1" s="439"/>
      <c r="D1" s="439"/>
      <c r="E1" s="439"/>
      <c r="F1" s="439"/>
      <c r="G1" s="439"/>
      <c r="H1" s="439"/>
    </row>
    <row r="2" spans="2:8" ht="14.25" customHeight="1" x14ac:dyDescent="0.35">
      <c r="B2" s="439"/>
      <c r="C2" s="439"/>
      <c r="D2" s="439"/>
      <c r="E2" s="439"/>
      <c r="F2" s="439"/>
      <c r="G2" s="439"/>
      <c r="H2" s="439"/>
    </row>
    <row r="3" spans="2:8" s="34" customFormat="1" ht="14.25" customHeight="1" x14ac:dyDescent="0.35">
      <c r="B3" s="440" t="s">
        <v>343</v>
      </c>
      <c r="C3" s="441" t="s">
        <v>344</v>
      </c>
      <c r="D3" s="441" t="s">
        <v>345</v>
      </c>
      <c r="E3" s="441" t="s">
        <v>346</v>
      </c>
      <c r="F3" s="441" t="s">
        <v>347</v>
      </c>
      <c r="G3" s="441" t="s">
        <v>348</v>
      </c>
      <c r="H3" s="442"/>
    </row>
    <row r="4" spans="2:8" ht="14.25" customHeight="1" x14ac:dyDescent="0.35">
      <c r="B4" s="381" t="s">
        <v>349</v>
      </c>
      <c r="C4" s="381"/>
      <c r="D4" s="381"/>
      <c r="E4" s="381"/>
      <c r="F4" s="381"/>
      <c r="G4" s="381"/>
      <c r="H4" s="381"/>
    </row>
    <row r="5" spans="2:8" ht="14.25" customHeight="1" x14ac:dyDescent="0.35">
      <c r="B5" s="443" t="s">
        <v>324</v>
      </c>
      <c r="C5" s="35"/>
      <c r="D5" s="36">
        <f>IFERROR(HistoricalFS!D5/HistoricalFS!C5-1,0)</f>
        <v>5.8887762336665261E-2</v>
      </c>
      <c r="E5" s="36">
        <f>IFERROR(HistoricalFS!E5/HistoricalFS!D5-1,0)</f>
        <v>7.5813385903941821E-2</v>
      </c>
      <c r="F5" s="36">
        <f>IFERROR(HistoricalFS!F5/HistoricalFS!E5-1,0)</f>
        <v>1.2824884855784591E-2</v>
      </c>
      <c r="G5" s="36">
        <f>IFERROR(HistoricalFS!G5/HistoricalFS!F5-1,0)</f>
        <v>5.0105507482633538E-2</v>
      </c>
      <c r="H5" s="37"/>
    </row>
    <row r="6" spans="2:8" ht="14.25" customHeight="1" x14ac:dyDescent="0.35">
      <c r="B6" s="443" t="s">
        <v>350</v>
      </c>
      <c r="C6" s="35"/>
      <c r="D6" s="36">
        <f>IFERROR(HistoricalFS!D17/HistoricalFS!C17-1,0)</f>
        <v>-0.11365110899320374</v>
      </c>
      <c r="E6" s="36">
        <f>IFERROR(HistoricalFS!E17/HistoricalFS!D17-1,0)</f>
        <v>0.26084476326536854</v>
      </c>
      <c r="F6" s="36">
        <f>IFERROR(HistoricalFS!F17/HistoricalFS!E17-1,0)</f>
        <v>-0.11830462600395553</v>
      </c>
      <c r="G6" s="36">
        <f>IFERROR(HistoricalFS!G17/HistoricalFS!F17-1,0)</f>
        <v>3.7845005313013269E-2</v>
      </c>
      <c r="H6" s="37"/>
    </row>
    <row r="7" spans="2:8" ht="14.25" customHeight="1" x14ac:dyDescent="0.35">
      <c r="B7" s="443" t="s">
        <v>351</v>
      </c>
      <c r="C7" s="35"/>
      <c r="D7" s="36">
        <f>IFERROR(HistoricalFS!D23/HistoricalFS!C23-1,0)</f>
        <v>-0.15745047981352411</v>
      </c>
      <c r="E7" s="36">
        <f>IFERROR(HistoricalFS!E23/HistoricalFS!D23-1,0)</f>
        <v>0.25657055600467138</v>
      </c>
      <c r="F7" s="36">
        <f>IFERROR(HistoricalFS!F23/HistoricalFS!E23-1,0)</f>
        <v>-0.16291859074251425</v>
      </c>
      <c r="G7" s="36">
        <f>IFERROR(HistoricalFS!G23/HistoricalFS!F23-1,0)</f>
        <v>3.4163753743153613E-2</v>
      </c>
      <c r="H7" s="37"/>
    </row>
    <row r="8" spans="2:8" ht="14.25" customHeight="1" x14ac:dyDescent="0.35">
      <c r="B8" s="443" t="s">
        <v>352</v>
      </c>
      <c r="C8" s="35"/>
      <c r="D8" s="36">
        <f>IFERROR(HistoricalFS!D37/HistoricalFS!C37-1,0)</f>
        <v>-0.11908764201252064</v>
      </c>
      <c r="E8" s="36">
        <f>IFERROR(HistoricalFS!E37/HistoricalFS!D37-1,0)</f>
        <v>0.25626583319625018</v>
      </c>
      <c r="F8" s="36">
        <f>IFERROR(HistoricalFS!F37/HistoricalFS!E37-1,0)</f>
        <v>-0.14822361081284907</v>
      </c>
      <c r="G8" s="36">
        <f>IFERROR(HistoricalFS!G37/HistoricalFS!F37-1,0)</f>
        <v>4.7908647046524422E-2</v>
      </c>
      <c r="H8" s="37"/>
    </row>
    <row r="9" spans="2:8" ht="14.25" customHeight="1" x14ac:dyDescent="0.35">
      <c r="B9" s="443" t="s">
        <v>353</v>
      </c>
      <c r="C9" s="35"/>
      <c r="D9" s="36">
        <f>IFERROR(HistoricalFS!D45/HistoricalFS!C45-1,0)</f>
        <v>2.1659672955198772E-6</v>
      </c>
      <c r="E9" s="36">
        <f>IFERROR(HistoricalFS!E45/HistoricalFS!D45-1,0)</f>
        <v>5.768771571841036E-2</v>
      </c>
      <c r="F9" s="36">
        <f>IFERROR(HistoricalFS!F45/HistoricalFS!E45-1,0)</f>
        <v>0.45454545454545436</v>
      </c>
      <c r="G9" s="36">
        <f>IFERROR(HistoricalFS!G45/HistoricalFS!F45-1,0)</f>
        <v>3.1248238146247997E-2</v>
      </c>
      <c r="H9" s="37"/>
    </row>
    <row r="10" spans="2:8" ht="14.25" customHeight="1" x14ac:dyDescent="0.35">
      <c r="B10" s="444"/>
    </row>
    <row r="11" spans="2:8" ht="14.25" customHeight="1" x14ac:dyDescent="0.35">
      <c r="B11" s="381" t="s">
        <v>354</v>
      </c>
      <c r="C11" s="381"/>
      <c r="D11" s="381"/>
      <c r="E11" s="381"/>
      <c r="F11" s="381"/>
      <c r="G11" s="381"/>
      <c r="H11" s="381"/>
    </row>
    <row r="12" spans="2:8" ht="14.25" customHeight="1" x14ac:dyDescent="0.35">
      <c r="B12" s="443" t="s">
        <v>355</v>
      </c>
      <c r="C12" s="36">
        <f>IFERROR(HistoricalFS!C12,0)</f>
        <v>0.45535730685445808</v>
      </c>
      <c r="D12" s="36">
        <f>IFERROR(HistoricalFS!D12,0)</f>
        <v>0.41167521979828081</v>
      </c>
      <c r="E12" s="36">
        <f>IFERROR(HistoricalFS!E12,0)</f>
        <v>0.4617974348617907</v>
      </c>
      <c r="F12" s="36">
        <f>IFERROR(HistoricalFS!F12,0)</f>
        <v>0.44411446546988048</v>
      </c>
      <c r="G12" s="36">
        <f>IFERROR(HistoricalFS!G12,0)</f>
        <v>0.47028289408356372</v>
      </c>
      <c r="H12" s="37"/>
    </row>
    <row r="13" spans="2:8" ht="14.25" customHeight="1" x14ac:dyDescent="0.35">
      <c r="B13" s="443" t="s">
        <v>356</v>
      </c>
      <c r="C13" s="36">
        <f>IFERROR(HistoricalFS!C18,0)</f>
        <v>0.20525077419852547</v>
      </c>
      <c r="D13" s="36">
        <f>IFERROR(HistoricalFS!D18,0)</f>
        <v>0.17180649598565118</v>
      </c>
      <c r="E13" s="36">
        <f>IFERROR(HistoricalFS!E18,0)</f>
        <v>0.20135585185758478</v>
      </c>
      <c r="F13" s="36">
        <f>IFERROR(HistoricalFS!F18,0)</f>
        <v>0.17528649400744567</v>
      </c>
      <c r="G13" s="36">
        <f>IFERROR(HistoricalFS!G18,0)</f>
        <v>0.17323993732835982</v>
      </c>
      <c r="H13" s="37"/>
    </row>
    <row r="14" spans="2:8" ht="14.25" customHeight="1" x14ac:dyDescent="0.35">
      <c r="B14" s="443" t="s">
        <v>357</v>
      </c>
      <c r="C14" s="36">
        <f>IFERROR(HistoricalFS!C24,0)</f>
        <v>0.18202573682025741</v>
      </c>
      <c r="D14" s="36">
        <f>IFERROR(HistoricalFS!D24,0)</f>
        <v>0.14483659427800261</v>
      </c>
      <c r="E14" s="36">
        <f>IFERROR(HistoricalFS!E24,0)</f>
        <v>0.16917190489204703</v>
      </c>
      <c r="F14" s="36">
        <f>IFERROR(HistoricalFS!F24,0)</f>
        <v>0.13981751304814347</v>
      </c>
      <c r="G14" s="36">
        <f>IFERROR(HistoricalFS!G24,0)</f>
        <v>0.13769492979760578</v>
      </c>
      <c r="H14" s="37"/>
    </row>
    <row r="15" spans="2:8" ht="14.25" customHeight="1" x14ac:dyDescent="0.35">
      <c r="B15" s="443" t="s">
        <v>358</v>
      </c>
      <c r="C15" s="36">
        <f>IFERROR(HistoricalFS!C32,0)</f>
        <v>0.20678172193507388</v>
      </c>
      <c r="D15" s="36">
        <f>IFERROR(HistoricalFS!D32,0)</f>
        <v>0.1766799162871458</v>
      </c>
      <c r="E15" s="36">
        <f>IFERROR(HistoricalFS!E32,0)</f>
        <v>0.1980520815445973</v>
      </c>
      <c r="F15" s="36">
        <f>IFERROR(HistoricalFS!F32,0)</f>
        <v>0.17063397619534693</v>
      </c>
      <c r="G15" s="36">
        <f>IFERROR(HistoricalFS!G32,0)</f>
        <v>0.17099549215960194</v>
      </c>
      <c r="H15" s="37"/>
    </row>
    <row r="16" spans="2:8" ht="14.25" customHeight="1" x14ac:dyDescent="0.35">
      <c r="B16" s="443" t="s">
        <v>359</v>
      </c>
      <c r="C16" s="36">
        <f>IFERROR(HistoricalFS!C38,0)</f>
        <v>0.15843977415076943</v>
      </c>
      <c r="D16" s="36">
        <f>IFERROR(HistoricalFS!D38,0)</f>
        <v>0.13180958361267969</v>
      </c>
      <c r="E16" s="36">
        <f>IFERROR(HistoricalFS!E38,0)</f>
        <v>0.15391877304194373</v>
      </c>
      <c r="F16" s="36">
        <f>IFERROR(HistoricalFS!F38,0)</f>
        <v>0.12944426888607827</v>
      </c>
      <c r="G16" s="36">
        <f>IFERROR(HistoricalFS!G38,0)</f>
        <v>0.12917346658005224</v>
      </c>
      <c r="H16" s="37"/>
    </row>
    <row r="17" spans="2:8" ht="14.25" customHeight="1" x14ac:dyDescent="0.35">
      <c r="B17" s="444"/>
    </row>
    <row r="18" spans="2:8" ht="14.25" customHeight="1" x14ac:dyDescent="0.35">
      <c r="B18" s="381" t="s">
        <v>360</v>
      </c>
      <c r="C18" s="381"/>
      <c r="D18" s="381"/>
      <c r="E18" s="381"/>
      <c r="F18" s="381"/>
      <c r="G18" s="381"/>
      <c r="H18" s="381"/>
    </row>
    <row r="19" spans="2:8" ht="14.25" customHeight="1" x14ac:dyDescent="0.35">
      <c r="B19" s="443" t="s">
        <v>361</v>
      </c>
      <c r="C19" s="36">
        <f>IFERROR(HistoricalFS!C15,0)</f>
        <v>0.25010653265593263</v>
      </c>
      <c r="D19" s="36">
        <f>IFERROR(HistoricalFS!D15,0)</f>
        <v>0.23986872381262964</v>
      </c>
      <c r="E19" s="36">
        <f>IFERROR(HistoricalFS!E15,0)</f>
        <v>0.26044158300420589</v>
      </c>
      <c r="F19" s="36">
        <f>IFERROR(HistoricalFS!F15,0)</f>
        <v>0.26882797146243481</v>
      </c>
      <c r="G19" s="36">
        <f>IFERROR(HistoricalFS!G15,0)</f>
        <v>0.29704295675520387</v>
      </c>
      <c r="H19" s="37"/>
    </row>
    <row r="20" spans="2:8" ht="14.25" customHeight="1" x14ac:dyDescent="0.35">
      <c r="B20" s="443" t="s">
        <v>305</v>
      </c>
      <c r="C20" s="36">
        <f>IFERROR(HistoricalFS!C21,0)</f>
        <v>2.322503737826807E-2</v>
      </c>
      <c r="D20" s="36">
        <f>IFERROR(HistoricalFS!D21,0)</f>
        <v>2.6969901707648555E-2</v>
      </c>
      <c r="E20" s="36">
        <f>IFERROR(HistoricalFS!E21,0)</f>
        <v>3.2183946965537752E-2</v>
      </c>
      <c r="F20" s="36">
        <f>IFERROR(HistoricalFS!F21,0)</f>
        <v>3.5468980959302211E-2</v>
      </c>
      <c r="G20" s="36">
        <f>IFERROR(HistoricalFS!G21,0)</f>
        <v>3.5545007530754055E-2</v>
      </c>
      <c r="H20" s="37"/>
    </row>
    <row r="21" spans="2:8" ht="14.25" customHeight="1" x14ac:dyDescent="0.35">
      <c r="B21" s="443" t="s">
        <v>362</v>
      </c>
      <c r="C21" s="36">
        <f>IFERROR(HistoricalFS!C24,0)</f>
        <v>0.18202573682025741</v>
      </c>
      <c r="D21" s="36">
        <f>IFERROR(HistoricalFS!D24,0)</f>
        <v>0.14483659427800261</v>
      </c>
      <c r="E21" s="36">
        <f>IFERROR(HistoricalFS!E24,0)</f>
        <v>0.16917190489204703</v>
      </c>
      <c r="F21" s="36">
        <f>IFERROR(HistoricalFS!F24,0)</f>
        <v>0.13981751304814347</v>
      </c>
      <c r="G21" s="36">
        <f>IFERROR(HistoricalFS!G24,0)</f>
        <v>0.13769492979760578</v>
      </c>
      <c r="H21" s="37"/>
    </row>
    <row r="22" spans="2:8" ht="14.25" customHeight="1" x14ac:dyDescent="0.35">
      <c r="B22" s="444"/>
    </row>
    <row r="23" spans="2:8" ht="14.25" customHeight="1" x14ac:dyDescent="0.35">
      <c r="B23" s="381" t="s">
        <v>363</v>
      </c>
      <c r="C23" s="381"/>
      <c r="D23" s="381"/>
      <c r="E23" s="381"/>
      <c r="F23" s="381"/>
      <c r="G23" s="381"/>
      <c r="H23" s="381"/>
    </row>
    <row r="24" spans="2:8" ht="14.25" customHeight="1" x14ac:dyDescent="0.35">
      <c r="B24" s="443" t="s">
        <v>364</v>
      </c>
      <c r="C24" s="36">
        <f>IFERROR(HistoricalFS!C23/SUM(HistoricalFS!C51+HistoricalFS!C53+HistoricalFS!C52),0)</f>
        <v>0.21059778566419454</v>
      </c>
      <c r="D24" s="36">
        <f>IFERROR(HistoricalFS!D23/SUM(HistoricalFS!D51+HistoricalFS!D53+HistoricalFS!D52),0)</f>
        <v>0.16457492571732665</v>
      </c>
      <c r="E24" s="36">
        <f>IFERROR(HistoricalFS!E23/SUM(HistoricalFS!E51+HistoricalFS!E53+HistoricalFS!E52),0)</f>
        <v>0.18683439894794859</v>
      </c>
      <c r="F24" s="36">
        <f>IFERROR(HistoricalFS!F23/SUM(HistoricalFS!F51+HistoricalFS!F53+HistoricalFS!F52),0)</f>
        <v>0.14947928101805291</v>
      </c>
      <c r="G24" s="36">
        <f>IFERROR(HistoricalFS!G23/SUM(HistoricalFS!G51+HistoricalFS!G53+HistoricalFS!G52),0)</f>
        <v>0.14295843813253334</v>
      </c>
      <c r="H24" s="37"/>
    </row>
    <row r="25" spans="2:8" ht="14.25" customHeight="1" x14ac:dyDescent="0.35">
      <c r="B25" s="443" t="s">
        <v>365</v>
      </c>
      <c r="C25" s="36">
        <f>HistoricalFS!C48</f>
        <v>0.46712844887549287</v>
      </c>
      <c r="D25" s="36">
        <f>HistoricalFS!D48</f>
        <v>0.39375555189998335</v>
      </c>
      <c r="E25" s="36">
        <f>HistoricalFS!E48</f>
        <v>0.48952708188203509</v>
      </c>
      <c r="F25" s="36">
        <f>HistoricalFS!F48</f>
        <v>0.12813764435316299</v>
      </c>
      <c r="G25" s="36">
        <f>HistoricalFS!G48</f>
        <v>0.14132137806388001</v>
      </c>
      <c r="H25" s="37"/>
    </row>
    <row r="26" spans="2:8" ht="14.25" customHeight="1" x14ac:dyDescent="0.35">
      <c r="B26" s="443" t="s">
        <v>366</v>
      </c>
      <c r="C26" s="36">
        <f>IFERROR(HistoricalFS!C37/(HistoricalFS!C51+HistoricalFS!C52),0)</f>
        <v>0.20583918962452127</v>
      </c>
      <c r="D26" s="36">
        <f>IFERROR(HistoricalFS!D37/(HistoricalFS!D51+HistoricalFS!D52),0)</f>
        <v>0.16936431129823493</v>
      </c>
      <c r="E26" s="36">
        <f>IFERROR(HistoricalFS!E37/(HistoricalFS!E51+HistoricalFS!E52),0)</f>
        <v>0.19350820469679619</v>
      </c>
      <c r="F26" s="36">
        <f>IFERROR(HistoricalFS!F37/(HistoricalFS!F51+HistoricalFS!F52),0)</f>
        <v>0.15056630641190527</v>
      </c>
      <c r="G26" s="36">
        <f>IFERROR(HistoricalFS!G37/(HistoricalFS!G51+HistoricalFS!G52),0)</f>
        <v>0.14922956481533373</v>
      </c>
      <c r="H26" s="37"/>
    </row>
    <row r="27" spans="2:8" ht="14.25" customHeight="1" x14ac:dyDescent="0.35">
      <c r="B27" s="443" t="s">
        <v>367</v>
      </c>
      <c r="C27" s="36">
        <f>IFERROR(C25*C26,0)</f>
        <v>9.6153341367091069E-2</v>
      </c>
      <c r="D27" s="36">
        <f>IFERROR(D25*D26,0)</f>
        <v>6.6688137867397079E-2</v>
      </c>
      <c r="E27" s="36">
        <f>IFERROR(E25*E26,0)</f>
        <v>9.4727506765454161E-2</v>
      </c>
      <c r="F27" s="36">
        <f>IFERROR(F25*F26,0)</f>
        <v>1.9293211822578083E-2</v>
      </c>
      <c r="G27" s="36">
        <f>IFERROR(G25*G26,0)</f>
        <v>2.1089327747576065E-2</v>
      </c>
      <c r="H27" s="37"/>
    </row>
    <row r="28" spans="2:8" ht="14.25" customHeight="1" x14ac:dyDescent="0.35">
      <c r="B28" s="443" t="s">
        <v>368</v>
      </c>
      <c r="C28" s="39">
        <f>IFERROR(HistoricalFS!C23/HistoricalFS!C26,0)</f>
        <v>51.347668393782392</v>
      </c>
      <c r="D28" s="39">
        <f>IFERROR(HistoricalFS!D23/HistoricalFS!D26,0)</f>
        <v>21.343941717791406</v>
      </c>
      <c r="E28" s="39">
        <f>IFERROR(HistoricalFS!E23/HistoricalFS!E26,0)</f>
        <v>16.898131744242232</v>
      </c>
      <c r="F28" s="39">
        <f>IFERROR(HistoricalFS!F23/HistoricalFS!F26,0)</f>
        <v>10.743363914373093</v>
      </c>
      <c r="G28" s="39">
        <f>IFERROR(HistoricalFS!G23/HistoricalFS!G26,0)</f>
        <v>12.493466299862447</v>
      </c>
      <c r="H28" s="37"/>
    </row>
    <row r="29" spans="2:8" ht="14.25" customHeight="1" x14ac:dyDescent="0.35">
      <c r="B29" s="444"/>
    </row>
    <row r="30" spans="2:8" ht="14.25" customHeight="1" x14ac:dyDescent="0.35">
      <c r="B30" s="381" t="s">
        <v>369</v>
      </c>
      <c r="C30" s="381"/>
      <c r="D30" s="381"/>
      <c r="E30" s="381"/>
      <c r="F30" s="381"/>
      <c r="G30" s="381"/>
      <c r="H30" s="381"/>
    </row>
    <row r="31" spans="2:8" ht="14.25" customHeight="1" x14ac:dyDescent="0.35">
      <c r="B31" s="443" t="s">
        <v>370</v>
      </c>
      <c r="C31" s="39">
        <f>IFERROR(HistoricalFS!C5/HistoricalFS!C63,0)</f>
        <v>16.851628878743327</v>
      </c>
      <c r="D31" s="39">
        <f>IFERROR(HistoricalFS!D5/HistoricalFS!D63,0)</f>
        <v>13.584553755522826</v>
      </c>
      <c r="E31" s="39">
        <f>IFERROR(HistoricalFS!E5/HistoricalFS!E63,0)</f>
        <v>13.801862649100944</v>
      </c>
      <c r="F31" s="39">
        <f>IFERROR(HistoricalFS!F5/HistoricalFS!F63,0)</f>
        <v>14.139662352279123</v>
      </c>
      <c r="G31" s="39">
        <f>IFERROR(HistoricalFS!G5/HistoricalFS!G63,0)</f>
        <v>18.44057253882389</v>
      </c>
      <c r="H31" s="37"/>
    </row>
    <row r="32" spans="2:8" ht="14.25" customHeight="1" x14ac:dyDescent="0.35">
      <c r="B32" s="443" t="s">
        <v>371</v>
      </c>
      <c r="C32" s="39">
        <f>IFERROR(HistoricalFS!C5/HistoricalFS!C54,0)</f>
        <v>3.7907159716758461</v>
      </c>
      <c r="D32" s="39">
        <f>IFERROR(HistoricalFS!D5/HistoricalFS!D54,0)</f>
        <v>3.2893390733275703</v>
      </c>
      <c r="E32" s="39">
        <f>IFERROR(HistoricalFS!E5/HistoricalFS!E54,0)</f>
        <v>3.1928200217762304</v>
      </c>
      <c r="F32" s="39">
        <f>IFERROR(HistoricalFS!F5/HistoricalFS!F54,0)</f>
        <v>2.8050813965690864</v>
      </c>
      <c r="G32" s="39">
        <f>IFERROR(HistoricalFS!G5/HistoricalFS!G54,0)</f>
        <v>2.7639590452266574</v>
      </c>
      <c r="H32" s="37"/>
    </row>
    <row r="33" spans="2:8" ht="14.25" customHeight="1" x14ac:dyDescent="0.35">
      <c r="B33" s="443" t="s">
        <v>295</v>
      </c>
      <c r="C33" s="39">
        <f>IFERROR(HistoricalFS!C5/HistoricalFS!C64,0)</f>
        <v>5.6967933994987892</v>
      </c>
      <c r="D33" s="39">
        <f>IFERROR(HistoricalFS!D5/HistoricalFS!D64,0)</f>
        <v>5.6960231202450347</v>
      </c>
      <c r="E33" s="39">
        <f>IFERROR(HistoricalFS!E5/HistoricalFS!E64,0)</f>
        <v>6.3709302146412119</v>
      </c>
      <c r="F33" s="39">
        <f>IFERROR(HistoricalFS!F5/HistoricalFS!F64,0)</f>
        <v>5.4619518196955799</v>
      </c>
      <c r="G33" s="39">
        <f>IFERROR(HistoricalFS!G5/HistoricalFS!G64,0)</f>
        <v>5.6824601680715698</v>
      </c>
      <c r="H33" s="37"/>
    </row>
    <row r="34" spans="2:8" ht="14.25" customHeight="1" x14ac:dyDescent="0.35">
      <c r="B34" s="443" t="s">
        <v>372</v>
      </c>
      <c r="C34" s="39">
        <f>IFERROR(HistoricalFS!C5/HistoricalFS!C57,0)</f>
        <v>4.7180033796958272</v>
      </c>
      <c r="D34" s="39">
        <f>IFERROR(HistoricalFS!D5/HistoricalFS!D57,0)</f>
        <v>3.2218546099786232</v>
      </c>
      <c r="E34" s="39">
        <f>IFERROR(HistoricalFS!E5/HistoricalFS!E57,0)</f>
        <v>3.2513787680209698</v>
      </c>
      <c r="F34" s="39">
        <f>IFERROR(HistoricalFS!F5/HistoricalFS!F57,0)</f>
        <v>3.1488887607809128</v>
      </c>
      <c r="G34" s="39">
        <f>IFERROR(HistoricalFS!G5/HistoricalFS!G57,0)</f>
        <v>3.3492860987275699</v>
      </c>
      <c r="H34" s="37"/>
    </row>
    <row r="35" spans="2:8" ht="14.25" customHeight="1" x14ac:dyDescent="0.35">
      <c r="B35" s="443" t="s">
        <v>373</v>
      </c>
      <c r="C35" s="39">
        <f>IFERROR(HistoricalFS!C5/SUM(HistoricalFS!C51+HistoricalFS!C52),0)</f>
        <v>1.2991636142364549</v>
      </c>
      <c r="D35" s="39">
        <f>IFERROR(HistoricalFS!D5/SUM(HistoricalFS!D51+HistoricalFS!D52),0)</f>
        <v>1.2849165186342533</v>
      </c>
      <c r="E35" s="39">
        <f>IFERROR(HistoricalFS!E5/SUM(HistoricalFS!E51+HistoricalFS!E52),0)</f>
        <v>1.2572098963137142</v>
      </c>
      <c r="F35" s="39">
        <f>IFERROR(HistoricalFS!F5/SUM(HistoricalFS!F51+HistoricalFS!F52),0)</f>
        <v>1.1631747601310658</v>
      </c>
      <c r="G35" s="39">
        <f>IFERROR(HistoricalFS!G5/SUM(HistoricalFS!G51+HistoricalFS!G52),0)</f>
        <v>1.1552648447570475</v>
      </c>
      <c r="H35" s="37"/>
    </row>
    <row r="36" spans="2:8" ht="14.25" customHeight="1" x14ac:dyDescent="0.35">
      <c r="B36" s="444"/>
    </row>
    <row r="37" spans="2:8" ht="14.25" customHeight="1" x14ac:dyDescent="0.35">
      <c r="B37" s="381" t="s">
        <v>374</v>
      </c>
      <c r="C37" s="381"/>
      <c r="D37" s="381"/>
      <c r="E37" s="381"/>
      <c r="F37" s="381"/>
      <c r="G37" s="381"/>
      <c r="H37" s="381"/>
    </row>
    <row r="38" spans="2:8" ht="14.25" customHeight="1" x14ac:dyDescent="0.35">
      <c r="B38" s="443" t="s">
        <v>375</v>
      </c>
      <c r="C38" s="40">
        <f t="shared" ref="C38:G40" si="0">IFERROR(365/C31,0)</f>
        <v>21.659627245910432</v>
      </c>
      <c r="D38" s="40">
        <f t="shared" si="0"/>
        <v>26.868751566580428</v>
      </c>
      <c r="E38" s="40">
        <f t="shared" si="0"/>
        <v>26.445705864474473</v>
      </c>
      <c r="F38" s="40">
        <f t="shared" si="0"/>
        <v>25.81391202323632</v>
      </c>
      <c r="G38" s="40">
        <f t="shared" si="0"/>
        <v>19.793311689837537</v>
      </c>
      <c r="H38" s="37"/>
    </row>
    <row r="39" spans="2:8" ht="14.25" customHeight="1" x14ac:dyDescent="0.35">
      <c r="B39" s="443" t="s">
        <v>376</v>
      </c>
      <c r="C39" s="40">
        <f t="shared" si="0"/>
        <v>96.287878787878782</v>
      </c>
      <c r="D39" s="40">
        <f t="shared" si="0"/>
        <v>110.96454085858582</v>
      </c>
      <c r="E39" s="40">
        <f t="shared" si="0"/>
        <v>114.31900248387416</v>
      </c>
      <c r="F39" s="40">
        <f t="shared" si="0"/>
        <v>130.12100128232782</v>
      </c>
      <c r="G39" s="40">
        <f t="shared" si="0"/>
        <v>132.05694947989662</v>
      </c>
      <c r="H39" s="37"/>
    </row>
    <row r="40" spans="2:8" ht="14.25" customHeight="1" x14ac:dyDescent="0.35">
      <c r="B40" s="443" t="s">
        <v>377</v>
      </c>
      <c r="C40" s="40">
        <f t="shared" si="0"/>
        <v>64.071131670689184</v>
      </c>
      <c r="D40" s="40">
        <f t="shared" si="0"/>
        <v>64.079796077846368</v>
      </c>
      <c r="E40" s="40">
        <f t="shared" si="0"/>
        <v>57.29147670793558</v>
      </c>
      <c r="F40" s="40">
        <f t="shared" si="0"/>
        <v>66.82592817531355</v>
      </c>
      <c r="G40" s="40">
        <f t="shared" si="0"/>
        <v>64.232742369379139</v>
      </c>
      <c r="H40" s="37"/>
    </row>
    <row r="41" spans="2:8" ht="14.25" customHeight="1" x14ac:dyDescent="0.35">
      <c r="B41" s="443" t="s">
        <v>378</v>
      </c>
      <c r="C41" s="40">
        <f>SUM(C38+C40-C39)</f>
        <v>-10.55711987127917</v>
      </c>
      <c r="D41" s="40">
        <f>SUM(D38+D40-D39)</f>
        <v>-20.015993214159025</v>
      </c>
      <c r="E41" s="40">
        <f>SUM(E38+E40-E39)</f>
        <v>-30.581819911464109</v>
      </c>
      <c r="F41" s="40">
        <f>SUM(F38+F40-F39)</f>
        <v>-37.481161083777948</v>
      </c>
      <c r="G41" s="40">
        <f>SUM(G38+G40-G39)</f>
        <v>-48.03089542067994</v>
      </c>
      <c r="H41" s="37"/>
    </row>
    <row r="42" spans="2:8" ht="14.25" customHeight="1" x14ac:dyDescent="0.35">
      <c r="B42" s="444"/>
    </row>
    <row r="43" spans="2:8" ht="14.25" customHeight="1" x14ac:dyDescent="0.35">
      <c r="B43" s="381" t="s">
        <v>379</v>
      </c>
      <c r="C43" s="381"/>
      <c r="D43" s="381"/>
      <c r="E43" s="381"/>
      <c r="F43" s="381"/>
      <c r="G43" s="381"/>
      <c r="H43" s="381"/>
    </row>
    <row r="44" spans="2:8" ht="14.25" customHeight="1" x14ac:dyDescent="0.35">
      <c r="B44" s="443" t="s">
        <v>380</v>
      </c>
      <c r="C44" s="36">
        <f>IFERROR(HistoricalFS!C74/HistoricalFS!C5,0)</f>
        <v>0.16552327738532127</v>
      </c>
      <c r="D44" s="36">
        <f>IFERROR(HistoricalFS!D74/HistoricalFS!D5,0)</f>
        <v>0.1290931656763421</v>
      </c>
      <c r="E44" s="36">
        <f>IFERROR(HistoricalFS!E74/HistoricalFS!E5,0)</f>
        <v>0.16232411937752389</v>
      </c>
      <c r="F44" s="36">
        <f>IFERROR(HistoricalFS!F74/HistoricalFS!F5,0)</f>
        <v>0.15814182657292114</v>
      </c>
      <c r="G44" s="36">
        <f>IFERROR(HistoricalFS!G74/HistoricalFS!G5,0)</f>
        <v>0.19546002029930484</v>
      </c>
      <c r="H44" s="37"/>
    </row>
    <row r="45" spans="2:8" ht="14.25" customHeight="1" x14ac:dyDescent="0.35">
      <c r="B45" s="443" t="s">
        <v>381</v>
      </c>
      <c r="C45" s="36">
        <f>IFERROR(HistoricalFS!C74/HistoricalFS!C68,0)</f>
        <v>0.14672342407028408</v>
      </c>
      <c r="D45" s="36">
        <f>IFERROR(HistoricalFS!D74/HistoricalFS!D68,0)</f>
        <v>0.1090242801934915</v>
      </c>
      <c r="E45" s="36">
        <f>IFERROR(HistoricalFS!E74/HistoricalFS!E68,0)</f>
        <v>0.13319807149340185</v>
      </c>
      <c r="F45" s="36">
        <f>IFERROR(HistoricalFS!F74/HistoricalFS!F68,0)</f>
        <v>0.12241408524468954</v>
      </c>
      <c r="G45" s="36">
        <f>IFERROR(HistoricalFS!G74/HistoricalFS!G68,0)</f>
        <v>0.14751906617368166</v>
      </c>
      <c r="H45" s="37"/>
    </row>
    <row r="46" spans="2:8" ht="14.25" customHeight="1" x14ac:dyDescent="0.35">
      <c r="B46" s="443" t="s">
        <v>382</v>
      </c>
      <c r="C46" s="36">
        <f>IFERROR(HistoricalFS!C74/HistoricalFS!C53,0)</f>
        <v>1.7496650810600913</v>
      </c>
      <c r="D46" s="36">
        <f>IFERROR(HistoricalFS!D74/HistoricalFS!D53,0)</f>
        <v>1.2680547627769874</v>
      </c>
      <c r="E46" s="36">
        <f>IFERROR(HistoricalFS!E74/HistoricalFS!E53,0)</f>
        <v>1.4749723461456754</v>
      </c>
      <c r="F46" s="36">
        <f>IFERROR(HistoricalFS!F74/HistoricalFS!F53,0)</f>
        <v>2.0905015941159757</v>
      </c>
      <c r="G46" s="36">
        <f>IFERROR(HistoricalFS!G74/HistoricalFS!G53,0)</f>
        <v>2.0030916943728054</v>
      </c>
      <c r="H46" s="37"/>
    </row>
  </sheetData>
  <mergeCells count="8">
    <mergeCell ref="B30:H30"/>
    <mergeCell ref="B37:H37"/>
    <mergeCell ref="B43:H43"/>
    <mergeCell ref="B1:H2"/>
    <mergeCell ref="B4:H4"/>
    <mergeCell ref="B11:H11"/>
    <mergeCell ref="B18:H18"/>
    <mergeCell ref="B23:H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R90"/>
  <sheetViews>
    <sheetView showGridLines="0" zoomScale="63" zoomScaleNormal="83" workbookViewId="0">
      <selection activeCell="E7" sqref="E7"/>
    </sheetView>
  </sheetViews>
  <sheetFormatPr defaultColWidth="8.81640625" defaultRowHeight="14.5" x14ac:dyDescent="0.35"/>
  <cols>
    <col min="1" max="1" width="27.6328125" style="24" customWidth="1"/>
    <col min="2" max="11" width="13.453125" style="24" customWidth="1"/>
    <col min="12" max="12" width="8.81640625" style="24"/>
    <col min="13" max="13" width="11.26953125" style="24" customWidth="1"/>
    <col min="14" max="17" width="8.81640625" style="24"/>
    <col min="18" max="18" width="11.36328125" style="24" customWidth="1"/>
    <col min="19" max="16384" width="8.81640625" style="24"/>
  </cols>
  <sheetData>
    <row r="1" spans="1:11" s="25" customFormat="1" ht="26" customHeight="1" x14ac:dyDescent="0.35">
      <c r="A1" s="445" t="s">
        <v>383</v>
      </c>
      <c r="B1" s="446" t="s">
        <v>384</v>
      </c>
      <c r="C1" s="446"/>
      <c r="D1" s="446"/>
      <c r="E1" s="446"/>
      <c r="F1" s="446"/>
      <c r="G1" s="446"/>
      <c r="H1" s="446"/>
      <c r="I1" s="446"/>
      <c r="J1" s="446"/>
      <c r="K1" s="446"/>
    </row>
    <row r="2" spans="1:11" ht="14.25" customHeight="1" x14ac:dyDescent="0.35">
      <c r="A2" s="428" t="s">
        <v>385</v>
      </c>
      <c r="B2" s="424">
        <v>2.1</v>
      </c>
      <c r="E2" s="382" t="s">
        <v>386</v>
      </c>
      <c r="F2" s="382"/>
      <c r="G2" s="382"/>
      <c r="H2" s="382"/>
      <c r="I2" s="382"/>
      <c r="J2" s="382"/>
      <c r="K2" s="382"/>
    </row>
    <row r="3" spans="1:11" ht="14.25" customHeight="1" x14ac:dyDescent="0.35">
      <c r="A3" s="428" t="s">
        <v>387</v>
      </c>
      <c r="B3" s="424">
        <v>2.1</v>
      </c>
    </row>
    <row r="4" spans="1:11" ht="14.25" customHeight="1" x14ac:dyDescent="0.35">
      <c r="A4" s="25"/>
    </row>
    <row r="5" spans="1:11" ht="14.25" customHeight="1" x14ac:dyDescent="0.35">
      <c r="A5" s="428" t="s">
        <v>388</v>
      </c>
      <c r="B5" s="424"/>
    </row>
    <row r="6" spans="1:11" ht="14.25" customHeight="1" x14ac:dyDescent="0.35">
      <c r="A6" s="424" t="s">
        <v>389</v>
      </c>
      <c r="B6" s="424">
        <f>IF(B9&gt;0, B9/B8, 0)</f>
        <v>177.3690124985925</v>
      </c>
    </row>
    <row r="7" spans="1:11" ht="14.25" customHeight="1" x14ac:dyDescent="0.35">
      <c r="A7" s="424" t="s">
        <v>390</v>
      </c>
      <c r="B7" s="424">
        <v>1</v>
      </c>
    </row>
    <row r="8" spans="1:11" ht="14.25" customHeight="1" x14ac:dyDescent="0.35">
      <c r="A8" s="424" t="s">
        <v>391</v>
      </c>
      <c r="B8" s="424">
        <v>444.05</v>
      </c>
    </row>
    <row r="9" spans="1:11" ht="14.25" customHeight="1" x14ac:dyDescent="0.35">
      <c r="A9" s="424" t="s">
        <v>392</v>
      </c>
      <c r="B9" s="424">
        <v>78760.710000000006</v>
      </c>
    </row>
    <row r="12" spans="1:11" ht="18.5" x14ac:dyDescent="0.45">
      <c r="A12" s="447" t="s">
        <v>393</v>
      </c>
      <c r="B12" s="447"/>
      <c r="C12" s="447"/>
      <c r="D12" s="447"/>
      <c r="E12" s="447"/>
      <c r="F12" s="447"/>
      <c r="G12" s="447"/>
      <c r="H12" s="447"/>
      <c r="I12" s="447"/>
      <c r="J12" s="447"/>
      <c r="K12" s="447"/>
    </row>
    <row r="13" spans="1:11" s="42" customFormat="1" ht="14.25" customHeight="1" x14ac:dyDescent="0.35">
      <c r="A13" s="448" t="s">
        <v>394</v>
      </c>
      <c r="B13" s="421">
        <v>42825</v>
      </c>
      <c r="C13" s="421">
        <v>43190</v>
      </c>
      <c r="D13" s="421">
        <v>43555</v>
      </c>
      <c r="E13" s="421">
        <v>43921</v>
      </c>
      <c r="F13" s="421">
        <v>44286</v>
      </c>
      <c r="G13" s="421">
        <v>44651</v>
      </c>
      <c r="H13" s="421">
        <v>45016</v>
      </c>
      <c r="I13" s="421">
        <v>45382</v>
      </c>
      <c r="J13" s="421">
        <v>45747</v>
      </c>
      <c r="K13" s="421">
        <v>46112</v>
      </c>
    </row>
    <row r="14" spans="1:11" ht="14.25" customHeight="1" x14ac:dyDescent="0.35">
      <c r="A14" s="424" t="s">
        <v>301</v>
      </c>
      <c r="B14" s="424">
        <v>7613.59</v>
      </c>
      <c r="C14" s="424">
        <v>7721.85</v>
      </c>
      <c r="D14" s="424">
        <v>8514.99</v>
      </c>
      <c r="E14" s="424">
        <v>8684.64</v>
      </c>
      <c r="F14" s="424">
        <v>9561.65</v>
      </c>
      <c r="G14" s="424">
        <v>10888.68</v>
      </c>
      <c r="H14" s="424">
        <v>11529.89</v>
      </c>
      <c r="I14" s="424">
        <v>12404.01</v>
      </c>
      <c r="J14" s="424">
        <v>12563.09</v>
      </c>
      <c r="K14" s="424">
        <v>13192.57</v>
      </c>
    </row>
    <row r="15" spans="1:11" ht="14.25" customHeight="1" x14ac:dyDescent="0.35">
      <c r="A15" s="424" t="s">
        <v>395</v>
      </c>
      <c r="B15" s="424">
        <v>2659.55</v>
      </c>
      <c r="C15" s="424">
        <v>2775.35</v>
      </c>
      <c r="D15" s="424">
        <v>3067.95</v>
      </c>
      <c r="E15" s="424">
        <v>3138.49</v>
      </c>
      <c r="F15" s="424">
        <v>3764.3</v>
      </c>
      <c r="G15" s="424">
        <v>4136.7</v>
      </c>
      <c r="H15" s="424">
        <v>4762.03</v>
      </c>
      <c r="I15" s="424">
        <v>4714.88</v>
      </c>
      <c r="J15" s="424">
        <v>4843.9799999999996</v>
      </c>
      <c r="K15" s="424">
        <v>6906.05</v>
      </c>
    </row>
    <row r="16" spans="1:11" ht="14.25" customHeight="1" x14ac:dyDescent="0.35">
      <c r="A16" s="424" t="s">
        <v>396</v>
      </c>
      <c r="B16" s="424">
        <v>23.02</v>
      </c>
      <c r="C16" s="424">
        <v>65.930000000000007</v>
      </c>
      <c r="D16" s="424">
        <v>-12.64</v>
      </c>
      <c r="E16" s="424">
        <v>65.040000000000006</v>
      </c>
      <c r="F16" s="424">
        <v>207.2</v>
      </c>
      <c r="G16" s="424">
        <v>8.5500000000000007</v>
      </c>
      <c r="H16" s="424">
        <v>90.79</v>
      </c>
      <c r="I16" s="424">
        <v>-48.95</v>
      </c>
      <c r="J16" s="424">
        <v>57.1</v>
      </c>
      <c r="K16" s="424">
        <v>82.28</v>
      </c>
    </row>
    <row r="17" spans="1:11" ht="14.25" customHeight="1" x14ac:dyDescent="0.35">
      <c r="A17" s="424" t="s">
        <v>397</v>
      </c>
      <c r="B17" s="424">
        <v>87.48</v>
      </c>
      <c r="C17" s="424">
        <v>93.91</v>
      </c>
      <c r="D17" s="424">
        <v>105.26</v>
      </c>
      <c r="E17" s="424">
        <v>107.12</v>
      </c>
      <c r="F17" s="424">
        <v>104.01</v>
      </c>
      <c r="G17" s="424">
        <v>128.66</v>
      </c>
      <c r="H17" s="424">
        <v>150.59</v>
      </c>
      <c r="I17" s="424">
        <v>153.44</v>
      </c>
      <c r="J17" s="424">
        <v>155.94999999999999</v>
      </c>
      <c r="K17" s="424"/>
    </row>
    <row r="18" spans="1:11" ht="14.25" customHeight="1" x14ac:dyDescent="0.35">
      <c r="A18" s="424" t="s">
        <v>398</v>
      </c>
      <c r="B18" s="424">
        <v>1247.42</v>
      </c>
      <c r="C18" s="424">
        <v>1219</v>
      </c>
      <c r="D18" s="424">
        <v>1327.63</v>
      </c>
      <c r="E18" s="424">
        <v>1387.98</v>
      </c>
      <c r="F18" s="424">
        <v>1347.34</v>
      </c>
      <c r="G18" s="424">
        <v>1656.53</v>
      </c>
      <c r="H18" s="424">
        <v>1779.91</v>
      </c>
      <c r="I18" s="424">
        <v>1856.5</v>
      </c>
      <c r="J18" s="424">
        <v>1926.61</v>
      </c>
      <c r="K18" s="424"/>
    </row>
    <row r="19" spans="1:11" ht="14.25" customHeight="1" x14ac:dyDescent="0.35">
      <c r="A19" s="424" t="s">
        <v>399</v>
      </c>
      <c r="B19" s="424">
        <v>790.3</v>
      </c>
      <c r="C19" s="424">
        <v>793.36</v>
      </c>
      <c r="D19" s="424">
        <v>938.55</v>
      </c>
      <c r="E19" s="424">
        <v>949.16</v>
      </c>
      <c r="F19" s="424">
        <v>1034.9000000000001</v>
      </c>
      <c r="G19" s="424">
        <v>1081.3900000000001</v>
      </c>
      <c r="H19" s="424">
        <v>1138.43</v>
      </c>
      <c r="I19" s="424">
        <v>1241.06</v>
      </c>
      <c r="J19" s="424">
        <v>1292.3599999999999</v>
      </c>
      <c r="K19" s="424">
        <v>1375.64</v>
      </c>
    </row>
    <row r="20" spans="1:11" ht="14.25" customHeight="1" x14ac:dyDescent="0.35">
      <c r="A20" s="424" t="s">
        <v>400</v>
      </c>
      <c r="B20" s="424">
        <v>1161.4000000000001</v>
      </c>
      <c r="C20" s="424">
        <v>1135.3800000000001</v>
      </c>
      <c r="D20" s="424">
        <v>1183.56</v>
      </c>
      <c r="E20" s="424">
        <v>1224.5899999999999</v>
      </c>
      <c r="F20" s="424">
        <v>1388.27</v>
      </c>
      <c r="G20" s="424">
        <v>1480.71</v>
      </c>
      <c r="H20" s="424">
        <v>1426.95</v>
      </c>
      <c r="I20" s="424">
        <v>1827.33</v>
      </c>
      <c r="J20" s="424">
        <v>1896.92</v>
      </c>
      <c r="K20" s="424">
        <v>888.06</v>
      </c>
    </row>
    <row r="21" spans="1:11" ht="14.25" customHeight="1" x14ac:dyDescent="0.35">
      <c r="A21" s="424" t="s">
        <v>401</v>
      </c>
      <c r="B21" s="424">
        <v>178.85</v>
      </c>
      <c r="C21" s="424">
        <v>153.34</v>
      </c>
      <c r="D21" s="424">
        <v>139.84</v>
      </c>
      <c r="E21" s="424">
        <v>150</v>
      </c>
      <c r="F21" s="424">
        <v>128.36000000000001</v>
      </c>
      <c r="G21" s="424">
        <v>161.22999999999999</v>
      </c>
      <c r="H21" s="424">
        <v>200.28</v>
      </c>
      <c r="I21" s="424">
        <v>162.13</v>
      </c>
      <c r="J21" s="424">
        <v>188.03</v>
      </c>
      <c r="K21" s="424">
        <v>1655.06</v>
      </c>
    </row>
    <row r="22" spans="1:11" ht="14.25" customHeight="1" x14ac:dyDescent="0.35">
      <c r="A22" s="424" t="s">
        <v>304</v>
      </c>
      <c r="B22" s="424">
        <v>295.93</v>
      </c>
      <c r="C22" s="424">
        <v>290.88</v>
      </c>
      <c r="D22" s="424">
        <v>221.79</v>
      </c>
      <c r="E22" s="424">
        <v>205.29</v>
      </c>
      <c r="F22" s="424">
        <v>325.29000000000002</v>
      </c>
      <c r="G22" s="424">
        <v>308.16000000000003</v>
      </c>
      <c r="H22" s="424">
        <v>445.39</v>
      </c>
      <c r="I22" s="424">
        <v>482.41</v>
      </c>
      <c r="J22" s="424">
        <v>550.65</v>
      </c>
      <c r="K22" s="424">
        <v>584.72</v>
      </c>
    </row>
    <row r="23" spans="1:11" ht="14.25" customHeight="1" x14ac:dyDescent="0.35">
      <c r="A23" s="424" t="s">
        <v>305</v>
      </c>
      <c r="B23" s="424">
        <v>142.86000000000001</v>
      </c>
      <c r="C23" s="424">
        <v>162.18</v>
      </c>
      <c r="D23" s="424">
        <v>176.9</v>
      </c>
      <c r="E23" s="424">
        <v>220.45</v>
      </c>
      <c r="F23" s="424">
        <v>240.13</v>
      </c>
      <c r="G23" s="424">
        <v>252.89</v>
      </c>
      <c r="H23" s="424">
        <v>310.95999999999998</v>
      </c>
      <c r="I23" s="424">
        <v>399.21</v>
      </c>
      <c r="J23" s="424">
        <v>445.6</v>
      </c>
      <c r="K23" s="424">
        <v>468.93</v>
      </c>
    </row>
    <row r="24" spans="1:11" ht="14.25" customHeight="1" x14ac:dyDescent="0.35">
      <c r="A24" s="424" t="s">
        <v>306</v>
      </c>
      <c r="B24" s="424">
        <v>54.03</v>
      </c>
      <c r="C24" s="424">
        <v>53.05</v>
      </c>
      <c r="D24" s="424">
        <v>59.58</v>
      </c>
      <c r="E24" s="424">
        <v>49.54</v>
      </c>
      <c r="F24" s="424">
        <v>30.81</v>
      </c>
      <c r="G24" s="424">
        <v>38.6</v>
      </c>
      <c r="H24" s="424">
        <v>78.239999999999995</v>
      </c>
      <c r="I24" s="424">
        <v>124.18</v>
      </c>
      <c r="J24" s="424">
        <v>163.5</v>
      </c>
      <c r="K24" s="424">
        <v>145.4</v>
      </c>
    </row>
    <row r="25" spans="1:11" ht="14.25" customHeight="1" x14ac:dyDescent="0.35">
      <c r="A25" s="424" t="s">
        <v>307</v>
      </c>
      <c r="B25" s="424">
        <v>1610.65</v>
      </c>
      <c r="C25" s="424">
        <v>1693.09</v>
      </c>
      <c r="D25" s="424">
        <v>1724.87</v>
      </c>
      <c r="E25" s="424">
        <v>1727.64</v>
      </c>
      <c r="F25" s="424">
        <v>2056.02</v>
      </c>
      <c r="G25" s="424">
        <v>2268.6799999999998</v>
      </c>
      <c r="H25" s="424">
        <v>2218.6799999999998</v>
      </c>
      <c r="I25" s="424">
        <v>2358.7399999999998</v>
      </c>
      <c r="J25" s="424">
        <v>2257.89</v>
      </c>
      <c r="K25" s="424">
        <v>2420.4299999999998</v>
      </c>
    </row>
    <row r="26" spans="1:11" ht="14.25" customHeight="1" x14ac:dyDescent="0.35">
      <c r="A26" s="424" t="s">
        <v>308</v>
      </c>
      <c r="B26" s="424">
        <v>330.34</v>
      </c>
      <c r="C26" s="424">
        <v>335.35</v>
      </c>
      <c r="D26" s="424">
        <v>278.62</v>
      </c>
      <c r="E26" s="424">
        <v>279.72000000000003</v>
      </c>
      <c r="F26" s="424">
        <v>361.07</v>
      </c>
      <c r="G26" s="424">
        <v>526.38</v>
      </c>
      <c r="H26" s="424">
        <v>517.35</v>
      </c>
      <c r="I26" s="424">
        <v>547.42999999999995</v>
      </c>
      <c r="J26" s="424">
        <v>517.47</v>
      </c>
      <c r="K26" s="424">
        <v>551.74</v>
      </c>
    </row>
    <row r="27" spans="1:11" ht="14.25" customHeight="1" x14ac:dyDescent="0.35">
      <c r="A27" s="424" t="s">
        <v>309</v>
      </c>
      <c r="B27" s="424">
        <v>1276.94</v>
      </c>
      <c r="C27" s="424">
        <v>1354.39</v>
      </c>
      <c r="D27" s="424">
        <v>1442.33</v>
      </c>
      <c r="E27" s="424">
        <v>1444.96</v>
      </c>
      <c r="F27" s="424">
        <v>1693.3</v>
      </c>
      <c r="G27" s="424">
        <v>1739.22</v>
      </c>
      <c r="H27" s="424">
        <v>1707.15</v>
      </c>
      <c r="I27" s="424">
        <v>1842.68</v>
      </c>
      <c r="J27" s="424">
        <v>1767.63</v>
      </c>
      <c r="K27" s="424">
        <v>1895.03</v>
      </c>
    </row>
    <row r="28" spans="1:11" ht="14.25" customHeight="1" x14ac:dyDescent="0.35">
      <c r="A28" s="424" t="s">
        <v>402</v>
      </c>
      <c r="B28" s="424">
        <v>396.34</v>
      </c>
      <c r="C28" s="424">
        <v>1100.94</v>
      </c>
      <c r="D28" s="424">
        <v>485.73</v>
      </c>
      <c r="E28" s="424">
        <v>530.13</v>
      </c>
      <c r="F28" s="424">
        <v>839.52</v>
      </c>
      <c r="G28" s="424">
        <v>919.31</v>
      </c>
      <c r="H28" s="424">
        <v>921.34</v>
      </c>
      <c r="I28" s="424">
        <v>974.6</v>
      </c>
      <c r="J28" s="424">
        <v>1417.84</v>
      </c>
      <c r="K28" s="424">
        <v>1463.3</v>
      </c>
    </row>
    <row r="37" spans="1:18" ht="14.25" customHeight="1" x14ac:dyDescent="0.35">
      <c r="A37" s="25" t="s">
        <v>403</v>
      </c>
    </row>
    <row r="38" spans="1:18" s="42" customFormat="1" ht="14.25" customHeight="1" x14ac:dyDescent="0.35">
      <c r="A38" s="41" t="s">
        <v>394</v>
      </c>
      <c r="B38" s="18">
        <v>45291</v>
      </c>
      <c r="C38" s="18">
        <v>45382</v>
      </c>
      <c r="D38" s="18">
        <v>45473</v>
      </c>
      <c r="E38" s="18">
        <v>45565</v>
      </c>
      <c r="F38" s="18">
        <v>45657</v>
      </c>
      <c r="G38" s="18">
        <v>45747</v>
      </c>
      <c r="H38" s="18">
        <v>45838</v>
      </c>
      <c r="I38" s="18">
        <v>45930</v>
      </c>
      <c r="J38" s="18">
        <v>46022</v>
      </c>
      <c r="K38" s="18">
        <v>46112</v>
      </c>
    </row>
    <row r="39" spans="1:18" ht="14.25" customHeight="1" x14ac:dyDescent="0.35">
      <c r="A39" s="24" t="s">
        <v>301</v>
      </c>
      <c r="B39" s="24">
        <v>3255.06</v>
      </c>
      <c r="C39" s="24">
        <v>2814.64</v>
      </c>
      <c r="D39" s="24">
        <v>3349.11</v>
      </c>
      <c r="E39" s="24">
        <v>3028.59</v>
      </c>
      <c r="F39" s="24">
        <v>3355.25</v>
      </c>
      <c r="G39" s="24">
        <v>2830.14</v>
      </c>
      <c r="H39" s="24">
        <v>3404.58</v>
      </c>
      <c r="I39" s="24">
        <v>3191.32</v>
      </c>
      <c r="J39" s="24">
        <v>3558.65</v>
      </c>
      <c r="K39" s="24">
        <v>3038.02</v>
      </c>
    </row>
    <row r="40" spans="1:18" ht="14.25" customHeight="1" x14ac:dyDescent="0.35">
      <c r="A40" s="24" t="s">
        <v>302</v>
      </c>
      <c r="B40" s="24">
        <v>2587.64</v>
      </c>
      <c r="C40" s="24">
        <v>2348.23</v>
      </c>
      <c r="D40" s="24">
        <v>2694.28</v>
      </c>
      <c r="E40" s="24">
        <v>2476.04</v>
      </c>
      <c r="F40" s="24">
        <v>2673.36</v>
      </c>
      <c r="G40" s="24">
        <v>2403.27</v>
      </c>
      <c r="H40" s="24">
        <v>2737.16</v>
      </c>
      <c r="I40" s="24">
        <v>2603.35</v>
      </c>
      <c r="J40" s="24">
        <v>2824.82</v>
      </c>
      <c r="K40" s="24">
        <v>2577.1999999999998</v>
      </c>
    </row>
    <row r="41" spans="1:18" ht="14.25" customHeight="1" x14ac:dyDescent="0.35">
      <c r="A41" s="24" t="s">
        <v>304</v>
      </c>
      <c r="B41" s="24">
        <v>127.37</v>
      </c>
      <c r="C41" s="24">
        <v>128.85</v>
      </c>
      <c r="D41" s="24">
        <v>129.4</v>
      </c>
      <c r="E41" s="24">
        <v>151.76</v>
      </c>
      <c r="F41" s="24">
        <v>128.53</v>
      </c>
      <c r="G41" s="24">
        <v>141.16</v>
      </c>
      <c r="H41" s="24">
        <v>143.97</v>
      </c>
      <c r="I41" s="24">
        <v>140.13</v>
      </c>
      <c r="J41" s="24">
        <v>125.59</v>
      </c>
      <c r="K41" s="24">
        <v>175.03</v>
      </c>
    </row>
    <row r="42" spans="1:18" ht="14.25" customHeight="1" x14ac:dyDescent="0.35">
      <c r="A42" s="24" t="s">
        <v>305</v>
      </c>
      <c r="B42" s="24">
        <v>96.89</v>
      </c>
      <c r="C42" s="24">
        <v>107.36</v>
      </c>
      <c r="D42" s="24">
        <v>109.12</v>
      </c>
      <c r="E42" s="24">
        <v>110.97</v>
      </c>
      <c r="F42" s="24">
        <v>108.64</v>
      </c>
      <c r="G42" s="24">
        <v>116.87</v>
      </c>
      <c r="H42" s="24">
        <v>114.14</v>
      </c>
      <c r="I42" s="24">
        <v>115.4</v>
      </c>
      <c r="J42" s="24">
        <v>117.19</v>
      </c>
      <c r="K42" s="24">
        <v>122.2</v>
      </c>
    </row>
    <row r="43" spans="1:18" ht="14.25" customHeight="1" x14ac:dyDescent="0.35">
      <c r="A43" s="24" t="s">
        <v>306</v>
      </c>
      <c r="B43" s="24">
        <v>36.49</v>
      </c>
      <c r="C43" s="24">
        <v>35.24</v>
      </c>
      <c r="D43" s="24">
        <v>32.659999999999997</v>
      </c>
      <c r="E43" s="24">
        <v>47.39</v>
      </c>
      <c r="F43" s="24">
        <v>44.2</v>
      </c>
      <c r="G43" s="24">
        <v>39.25</v>
      </c>
      <c r="H43" s="24">
        <v>34.630000000000003</v>
      </c>
      <c r="I43" s="24">
        <v>39.68</v>
      </c>
      <c r="J43" s="24">
        <v>31.12</v>
      </c>
      <c r="K43" s="24">
        <v>39.97</v>
      </c>
    </row>
    <row r="44" spans="1:18" ht="14.25" customHeight="1" x14ac:dyDescent="0.35">
      <c r="A44" s="24" t="s">
        <v>307</v>
      </c>
      <c r="B44" s="24">
        <v>661.41</v>
      </c>
      <c r="C44" s="24">
        <v>452.66</v>
      </c>
      <c r="D44" s="24">
        <v>642.45000000000005</v>
      </c>
      <c r="E44" s="24">
        <v>545.95000000000005</v>
      </c>
      <c r="F44" s="24">
        <v>657.58</v>
      </c>
      <c r="G44" s="24">
        <v>411.91</v>
      </c>
      <c r="H44" s="24">
        <v>662.62</v>
      </c>
      <c r="I44" s="24">
        <v>573.02</v>
      </c>
      <c r="J44" s="24">
        <v>711.11</v>
      </c>
      <c r="K44" s="24">
        <v>473.68</v>
      </c>
    </row>
    <row r="45" spans="1:18" ht="14.25" customHeight="1" x14ac:dyDescent="0.35">
      <c r="A45" s="24" t="s">
        <v>308</v>
      </c>
      <c r="B45" s="24">
        <v>154.97</v>
      </c>
      <c r="C45" s="24">
        <v>111.44</v>
      </c>
      <c r="D45" s="24">
        <v>148.1</v>
      </c>
      <c r="E45" s="24">
        <v>128.43</v>
      </c>
      <c r="F45" s="24">
        <v>141.76</v>
      </c>
      <c r="G45" s="24">
        <v>99.18</v>
      </c>
      <c r="H45" s="24">
        <v>154.33000000000001</v>
      </c>
      <c r="I45" s="24">
        <v>128.22999999999999</v>
      </c>
      <c r="J45" s="24">
        <v>157.5</v>
      </c>
      <c r="K45" s="24">
        <v>111.68</v>
      </c>
    </row>
    <row r="46" spans="1:18" ht="14.25" customHeight="1" x14ac:dyDescent="0.35">
      <c r="A46" s="24" t="s">
        <v>309</v>
      </c>
      <c r="B46" s="24">
        <v>514.22</v>
      </c>
      <c r="C46" s="24">
        <v>349.53</v>
      </c>
      <c r="D46" s="24">
        <v>500.12</v>
      </c>
      <c r="E46" s="24">
        <v>425</v>
      </c>
      <c r="F46" s="24">
        <v>522.38</v>
      </c>
      <c r="G46" s="24">
        <v>320.13</v>
      </c>
      <c r="H46" s="24">
        <v>513.91</v>
      </c>
      <c r="I46" s="24">
        <v>452.55</v>
      </c>
      <c r="J46" s="24">
        <v>559.97</v>
      </c>
      <c r="K46" s="24">
        <v>368.6</v>
      </c>
      <c r="M46" s="43" t="s">
        <v>404</v>
      </c>
      <c r="N46" s="43" t="s">
        <v>405</v>
      </c>
      <c r="O46" s="43" t="s">
        <v>406</v>
      </c>
      <c r="P46" s="43" t="s">
        <v>407</v>
      </c>
      <c r="Q46" s="43" t="s">
        <v>408</v>
      </c>
      <c r="R46" s="43" t="s">
        <v>409</v>
      </c>
    </row>
    <row r="47" spans="1:18" ht="14.25" customHeight="1" x14ac:dyDescent="0.35">
      <c r="A47" s="24" t="s">
        <v>303</v>
      </c>
      <c r="B47" s="24">
        <v>667.42</v>
      </c>
      <c r="C47" s="24">
        <v>466.41</v>
      </c>
      <c r="D47" s="24">
        <v>654.83000000000004</v>
      </c>
      <c r="E47" s="24">
        <v>552.54999999999995</v>
      </c>
      <c r="F47" s="24">
        <v>681.89</v>
      </c>
      <c r="G47" s="24">
        <v>426.87</v>
      </c>
      <c r="H47" s="24">
        <v>667.42</v>
      </c>
      <c r="I47" s="24">
        <v>587.97</v>
      </c>
      <c r="J47" s="24">
        <v>733.83</v>
      </c>
      <c r="K47" s="24">
        <v>460.82</v>
      </c>
      <c r="M47" s="44">
        <v>2022</v>
      </c>
      <c r="N47" s="44">
        <v>38.6</v>
      </c>
      <c r="O47" s="44">
        <v>0</v>
      </c>
      <c r="P47" s="44">
        <v>1030.0999999999999</v>
      </c>
      <c r="Q47" s="44">
        <v>1030.0999999999999</v>
      </c>
      <c r="R47" s="45">
        <v>3.7499999999999999E-2</v>
      </c>
    </row>
    <row r="48" spans="1:18" ht="14.25" customHeight="1" x14ac:dyDescent="0.35">
      <c r="M48" s="44">
        <v>2023</v>
      </c>
      <c r="N48" s="44">
        <v>78.2</v>
      </c>
      <c r="O48" s="44">
        <v>1030.0999999999999</v>
      </c>
      <c r="P48" s="44">
        <v>1173.8</v>
      </c>
      <c r="Q48" s="44">
        <v>1101.95</v>
      </c>
      <c r="R48" s="45">
        <v>7.0999999999999994E-2</v>
      </c>
    </row>
    <row r="49" spans="1:18" ht="14.25" customHeight="1" x14ac:dyDescent="0.35">
      <c r="M49" s="44">
        <v>2024</v>
      </c>
      <c r="N49" s="44">
        <v>124.2</v>
      </c>
      <c r="O49" s="44">
        <v>1173.8</v>
      </c>
      <c r="P49" s="44">
        <v>1365.1</v>
      </c>
      <c r="Q49" s="44">
        <v>1269.45</v>
      </c>
      <c r="R49" s="45">
        <v>9.7799999999999998E-2</v>
      </c>
    </row>
    <row r="50" spans="1:18" ht="14.25" customHeight="1" x14ac:dyDescent="0.35">
      <c r="M50" s="44">
        <v>2025</v>
      </c>
      <c r="N50" s="44">
        <v>163.5</v>
      </c>
      <c r="O50" s="44">
        <v>1365.1</v>
      </c>
      <c r="P50" s="44">
        <v>950.4</v>
      </c>
      <c r="Q50" s="44">
        <v>1157.75</v>
      </c>
      <c r="R50" s="45">
        <v>0.14119999999999999</v>
      </c>
    </row>
    <row r="51" spans="1:18" ht="14.25" customHeight="1" x14ac:dyDescent="0.35">
      <c r="M51" s="44">
        <v>2026</v>
      </c>
      <c r="N51" s="44">
        <v>145.4</v>
      </c>
      <c r="O51" s="44">
        <v>950.4</v>
      </c>
      <c r="P51" s="44">
        <v>1287.3</v>
      </c>
      <c r="Q51" s="44">
        <v>1118.8499999999999</v>
      </c>
      <c r="R51" s="45">
        <v>0.12989999999999999</v>
      </c>
    </row>
    <row r="52" spans="1:18" ht="14.25" customHeight="1" x14ac:dyDescent="0.35">
      <c r="A52" s="25" t="s">
        <v>410</v>
      </c>
    </row>
    <row r="53" spans="1:18" s="42" customFormat="1" ht="14.25" customHeight="1" x14ac:dyDescent="0.35">
      <c r="A53" s="41" t="s">
        <v>394</v>
      </c>
      <c r="B53" s="18">
        <v>42825</v>
      </c>
      <c r="C53" s="18">
        <v>43190</v>
      </c>
      <c r="D53" s="18">
        <v>43555</v>
      </c>
      <c r="E53" s="18">
        <v>43921</v>
      </c>
      <c r="F53" s="18">
        <v>44286</v>
      </c>
      <c r="G53" s="18">
        <v>44651</v>
      </c>
      <c r="H53" s="18">
        <v>45016</v>
      </c>
      <c r="I53" s="18">
        <v>45382</v>
      </c>
      <c r="J53" s="18">
        <v>45747</v>
      </c>
      <c r="K53" s="18">
        <v>46112</v>
      </c>
    </row>
    <row r="54" spans="1:18" ht="14.25" customHeight="1" x14ac:dyDescent="0.35">
      <c r="A54" s="24" t="s">
        <v>278</v>
      </c>
      <c r="B54" s="24">
        <v>176.15</v>
      </c>
      <c r="C54" s="24">
        <v>176.15</v>
      </c>
      <c r="D54" s="24">
        <v>176.63</v>
      </c>
      <c r="E54" s="24">
        <v>176.71</v>
      </c>
      <c r="F54" s="24">
        <v>176.74</v>
      </c>
      <c r="G54" s="24">
        <v>176.79</v>
      </c>
      <c r="H54" s="24">
        <v>177.18</v>
      </c>
      <c r="I54" s="24">
        <v>177.2</v>
      </c>
      <c r="J54" s="24">
        <v>177.23</v>
      </c>
      <c r="K54" s="24">
        <v>177.37</v>
      </c>
      <c r="M54" s="46" t="s">
        <v>411</v>
      </c>
    </row>
    <row r="55" spans="1:18" ht="14.25" customHeight="1" x14ac:dyDescent="0.35">
      <c r="A55" s="24" t="s">
        <v>279</v>
      </c>
      <c r="B55" s="24">
        <v>4671.24</v>
      </c>
      <c r="C55" s="24">
        <v>5530.37</v>
      </c>
      <c r="D55" s="24">
        <v>5455.05</v>
      </c>
      <c r="E55" s="24">
        <v>6429.04</v>
      </c>
      <c r="F55" s="24">
        <v>7486.79</v>
      </c>
      <c r="G55" s="24">
        <v>8204.51</v>
      </c>
      <c r="H55" s="24">
        <v>8796.08</v>
      </c>
      <c r="I55" s="24">
        <v>9689.1</v>
      </c>
      <c r="J55" s="24">
        <v>10623.46</v>
      </c>
      <c r="K55" s="24">
        <v>11242.15</v>
      </c>
      <c r="M55" s="24">
        <v>2021</v>
      </c>
      <c r="N55" s="47">
        <f>R47</f>
        <v>3.7499999999999999E-2</v>
      </c>
    </row>
    <row r="56" spans="1:18" ht="14.25" customHeight="1" x14ac:dyDescent="0.35">
      <c r="A56" s="24" t="s">
        <v>280</v>
      </c>
      <c r="B56" s="24">
        <v>975</v>
      </c>
      <c r="C56" s="24">
        <v>937.59</v>
      </c>
      <c r="D56" s="24">
        <v>699.37</v>
      </c>
      <c r="E56" s="24">
        <v>521.99</v>
      </c>
      <c r="F56" s="24">
        <v>509.06</v>
      </c>
      <c r="G56" s="24">
        <v>1030.0999999999999</v>
      </c>
      <c r="H56" s="24">
        <v>1173.79</v>
      </c>
      <c r="I56" s="24">
        <v>1365.09</v>
      </c>
      <c r="J56" s="24">
        <v>950.37</v>
      </c>
      <c r="K56" s="24">
        <v>1287.32</v>
      </c>
      <c r="M56" s="24">
        <v>2023</v>
      </c>
      <c r="N56" s="47">
        <f>R48</f>
        <v>7.0999999999999994E-2</v>
      </c>
    </row>
    <row r="57" spans="1:18" ht="14.25" customHeight="1" x14ac:dyDescent="0.35">
      <c r="A57" s="24" t="s">
        <v>281</v>
      </c>
      <c r="B57" s="24">
        <v>1909.85</v>
      </c>
      <c r="C57" s="24">
        <v>2057.52</v>
      </c>
      <c r="D57" s="24">
        <v>2105.59</v>
      </c>
      <c r="E57" s="24">
        <v>2208.84</v>
      </c>
      <c r="F57" s="24">
        <v>2660.63</v>
      </c>
      <c r="G57" s="24">
        <v>2872.46</v>
      </c>
      <c r="H57" s="24">
        <v>3505.23</v>
      </c>
      <c r="I57" s="24">
        <v>3884.97</v>
      </c>
      <c r="J57" s="24">
        <v>4478.6899999999996</v>
      </c>
      <c r="K57" s="24">
        <v>4773.07</v>
      </c>
      <c r="M57" s="24">
        <v>2024</v>
      </c>
      <c r="N57" s="47">
        <f>R49</f>
        <v>9.7799999999999998E-2</v>
      </c>
    </row>
    <row r="58" spans="1:18" s="25" customFormat="1" ht="14.25" customHeight="1" x14ac:dyDescent="0.35">
      <c r="A58" s="25" t="s">
        <v>53</v>
      </c>
      <c r="B58" s="25">
        <v>7732.24</v>
      </c>
      <c r="C58" s="25">
        <v>8701.6299999999992</v>
      </c>
      <c r="D58" s="25">
        <v>8436.64</v>
      </c>
      <c r="E58" s="25">
        <v>9336.58</v>
      </c>
      <c r="F58" s="25">
        <v>10833.22</v>
      </c>
      <c r="G58" s="25">
        <v>12283.86</v>
      </c>
      <c r="H58" s="25">
        <v>13652.28</v>
      </c>
      <c r="I58" s="25">
        <v>15116.36</v>
      </c>
      <c r="J58" s="25">
        <v>16229.75</v>
      </c>
      <c r="K58" s="25">
        <v>17479.91</v>
      </c>
      <c r="M58" s="16">
        <v>2025</v>
      </c>
      <c r="N58" s="47">
        <f>R50</f>
        <v>0.14119999999999999</v>
      </c>
    </row>
    <row r="59" spans="1:18" ht="14.25" customHeight="1" x14ac:dyDescent="0.35">
      <c r="A59" s="24" t="s">
        <v>282</v>
      </c>
      <c r="B59" s="24">
        <v>1958.4</v>
      </c>
      <c r="C59" s="24">
        <v>2028.11</v>
      </c>
      <c r="D59" s="24">
        <v>1969.06</v>
      </c>
      <c r="E59" s="24">
        <v>2252.6799999999998</v>
      </c>
      <c r="F59" s="24">
        <v>2242.92</v>
      </c>
      <c r="G59" s="24">
        <v>2307.9</v>
      </c>
      <c r="H59" s="24">
        <v>3578.65</v>
      </c>
      <c r="I59" s="24">
        <v>3815</v>
      </c>
      <c r="J59" s="24">
        <v>3989.69</v>
      </c>
      <c r="K59" s="24">
        <v>3938.92</v>
      </c>
      <c r="M59" s="24">
        <v>2026</v>
      </c>
      <c r="N59" s="47">
        <f>R51</f>
        <v>0.12989999999999999</v>
      </c>
    </row>
    <row r="60" spans="1:18" ht="14.25" customHeight="1" x14ac:dyDescent="0.35">
      <c r="A60" s="24" t="s">
        <v>284</v>
      </c>
      <c r="B60" s="24">
        <v>42.1</v>
      </c>
      <c r="C60" s="24">
        <v>41.51</v>
      </c>
      <c r="D60" s="24">
        <v>63.76</v>
      </c>
      <c r="E60" s="24">
        <v>146.57</v>
      </c>
      <c r="F60" s="24">
        <v>147.30000000000001</v>
      </c>
      <c r="G60" s="24">
        <v>167.5</v>
      </c>
      <c r="H60" s="24">
        <v>175.13</v>
      </c>
      <c r="I60" s="24">
        <v>232.23</v>
      </c>
      <c r="J60" s="24">
        <v>168.99</v>
      </c>
      <c r="K60" s="24">
        <v>137.47999999999999</v>
      </c>
      <c r="M60" s="24" t="s">
        <v>412</v>
      </c>
      <c r="N60" s="48">
        <f>AVERAGE(N55:N59)</f>
        <v>9.5479999999999982E-2</v>
      </c>
    </row>
    <row r="61" spans="1:18" ht="14.25" customHeight="1" x14ac:dyDescent="0.35">
      <c r="A61" s="24" t="s">
        <v>286</v>
      </c>
      <c r="B61" s="24">
        <v>3240.16</v>
      </c>
      <c r="C61" s="24">
        <v>3805.17</v>
      </c>
      <c r="D61" s="24">
        <v>3358.76</v>
      </c>
      <c r="E61" s="24">
        <v>2800.26</v>
      </c>
      <c r="F61" s="24">
        <v>4159.63</v>
      </c>
      <c r="G61" s="24">
        <v>6219.62</v>
      </c>
      <c r="H61" s="24">
        <v>6265.26</v>
      </c>
      <c r="I61" s="24">
        <v>6932.69</v>
      </c>
      <c r="J61" s="24">
        <v>7467.86</v>
      </c>
      <c r="K61" s="24">
        <v>8947.26</v>
      </c>
      <c r="M61" s="24" t="s">
        <v>413</v>
      </c>
      <c r="N61" s="47">
        <f>MEDIAN(N55:N59)</f>
        <v>9.7799999999999998E-2</v>
      </c>
    </row>
    <row r="62" spans="1:18" ht="14.25" customHeight="1" x14ac:dyDescent="0.35">
      <c r="A62" s="24" t="s">
        <v>288</v>
      </c>
      <c r="B62" s="24">
        <v>2491.58</v>
      </c>
      <c r="C62" s="24">
        <v>2826.84</v>
      </c>
      <c r="D62" s="24">
        <v>3045.06</v>
      </c>
      <c r="E62" s="24">
        <v>4137.07</v>
      </c>
      <c r="F62" s="24">
        <v>4283.37</v>
      </c>
      <c r="G62" s="24">
        <v>3588.84</v>
      </c>
      <c r="H62" s="24">
        <v>3633.24</v>
      </c>
      <c r="I62" s="24">
        <v>4136.4399999999996</v>
      </c>
      <c r="J62" s="24">
        <v>4603.21</v>
      </c>
      <c r="K62" s="24">
        <v>4456.25</v>
      </c>
    </row>
    <row r="63" spans="1:18" s="25" customFormat="1" ht="14.25" customHeight="1" x14ac:dyDescent="0.35">
      <c r="A63" s="25" t="s">
        <v>53</v>
      </c>
      <c r="B63" s="25">
        <v>7732.24</v>
      </c>
      <c r="C63" s="25">
        <v>8701.6299999999992</v>
      </c>
      <c r="D63" s="25">
        <v>8436.64</v>
      </c>
      <c r="E63" s="25">
        <v>9336.58</v>
      </c>
      <c r="F63" s="25">
        <v>10833.22</v>
      </c>
      <c r="G63" s="25">
        <v>12283.86</v>
      </c>
      <c r="H63" s="25">
        <v>13652.28</v>
      </c>
      <c r="I63" s="25">
        <v>15116.36</v>
      </c>
      <c r="J63" s="25">
        <v>16229.75</v>
      </c>
      <c r="K63" s="25">
        <v>17479.91</v>
      </c>
    </row>
    <row r="64" spans="1:18" ht="14.25" customHeight="1" x14ac:dyDescent="0.35">
      <c r="A64" s="24" t="s">
        <v>414</v>
      </c>
      <c r="B64" s="24">
        <v>650.41999999999996</v>
      </c>
      <c r="C64" s="24">
        <v>706.08</v>
      </c>
      <c r="D64" s="24">
        <v>833.56</v>
      </c>
      <c r="E64" s="24">
        <v>813.89</v>
      </c>
      <c r="F64" s="24">
        <v>561.58000000000004</v>
      </c>
      <c r="G64" s="24">
        <v>646.15</v>
      </c>
      <c r="H64" s="24">
        <v>848.75</v>
      </c>
      <c r="I64" s="24">
        <v>898.72</v>
      </c>
      <c r="J64" s="24">
        <v>888.5</v>
      </c>
      <c r="K64" s="24">
        <v>715.41</v>
      </c>
    </row>
    <row r="65" spans="1:11" ht="14.25" customHeight="1" x14ac:dyDescent="0.35">
      <c r="A65" s="24" t="s">
        <v>293</v>
      </c>
      <c r="B65" s="24">
        <v>1106.71</v>
      </c>
      <c r="C65" s="24">
        <v>1256.18</v>
      </c>
      <c r="D65" s="24">
        <v>1300.53</v>
      </c>
      <c r="E65" s="24">
        <v>1379.57</v>
      </c>
      <c r="F65" s="24">
        <v>1734.28</v>
      </c>
      <c r="G65" s="24">
        <v>1911.37</v>
      </c>
      <c r="H65" s="24">
        <v>2024.2</v>
      </c>
      <c r="I65" s="24">
        <v>1946.97</v>
      </c>
      <c r="J65" s="24">
        <v>2300.11</v>
      </c>
      <c r="K65" s="24">
        <v>2321.63</v>
      </c>
    </row>
    <row r="66" spans="1:11" ht="14.25" customHeight="1" x14ac:dyDescent="0.35">
      <c r="A66" s="24" t="s">
        <v>415</v>
      </c>
      <c r="B66" s="24">
        <v>304.81</v>
      </c>
      <c r="C66" s="24">
        <v>306.06</v>
      </c>
      <c r="D66" s="24">
        <v>328.16</v>
      </c>
      <c r="E66" s="24">
        <v>811.37</v>
      </c>
      <c r="F66" s="24">
        <v>1329.03</v>
      </c>
      <c r="G66" s="24">
        <v>570.14</v>
      </c>
      <c r="H66" s="24">
        <v>325.92</v>
      </c>
      <c r="I66" s="24">
        <v>666.36</v>
      </c>
      <c r="J66" s="24">
        <v>578.01</v>
      </c>
      <c r="K66" s="24">
        <v>562.07000000000005</v>
      </c>
    </row>
    <row r="67" spans="1:11" ht="14.25" customHeight="1" x14ac:dyDescent="0.35">
      <c r="A67" s="24" t="s">
        <v>416</v>
      </c>
      <c r="B67" s="24">
        <v>1761520510</v>
      </c>
      <c r="C67" s="24">
        <v>1761520510</v>
      </c>
      <c r="D67" s="24">
        <v>1766291141</v>
      </c>
      <c r="E67" s="24">
        <v>1767063892</v>
      </c>
      <c r="F67" s="24">
        <v>1767425349</v>
      </c>
      <c r="G67" s="24">
        <v>1767856483</v>
      </c>
      <c r="H67" s="24">
        <v>1767856483</v>
      </c>
      <c r="I67" s="24">
        <v>1772039162</v>
      </c>
      <c r="J67" s="24">
        <v>1772318252</v>
      </c>
    </row>
    <row r="68" spans="1:11" ht="14.25" customHeight="1" x14ac:dyDescent="0.35">
      <c r="A68" s="24" t="s">
        <v>417</v>
      </c>
    </row>
    <row r="69" spans="1:11" ht="14.25" customHeight="1" x14ac:dyDescent="0.35">
      <c r="A69" s="24" t="s">
        <v>418</v>
      </c>
      <c r="B69" s="24">
        <v>1</v>
      </c>
      <c r="C69" s="24">
        <v>1</v>
      </c>
      <c r="D69" s="24">
        <v>1</v>
      </c>
      <c r="E69" s="24">
        <v>1</v>
      </c>
      <c r="F69" s="24">
        <v>1</v>
      </c>
      <c r="G69" s="24">
        <v>1</v>
      </c>
      <c r="H69" s="24">
        <v>1</v>
      </c>
      <c r="I69" s="24">
        <v>1</v>
      </c>
      <c r="J69" s="24">
        <v>1</v>
      </c>
      <c r="K69" s="24">
        <v>1</v>
      </c>
    </row>
    <row r="77" spans="1:11" ht="14.25" customHeight="1" x14ac:dyDescent="0.35">
      <c r="A77" s="25" t="s">
        <v>419</v>
      </c>
    </row>
    <row r="78" spans="1:11" s="42" customFormat="1" ht="14.25" customHeight="1" x14ac:dyDescent="0.35">
      <c r="A78" s="41" t="s">
        <v>394</v>
      </c>
      <c r="B78" s="18">
        <v>42825</v>
      </c>
      <c r="C78" s="18">
        <v>43190</v>
      </c>
      <c r="D78" s="18">
        <v>43555</v>
      </c>
      <c r="E78" s="18">
        <v>43921</v>
      </c>
      <c r="F78" s="18">
        <v>44286</v>
      </c>
      <c r="G78" s="18">
        <v>44651</v>
      </c>
      <c r="H78" s="18">
        <v>45016</v>
      </c>
      <c r="I78" s="18">
        <v>45382</v>
      </c>
      <c r="J78" s="18">
        <v>45747</v>
      </c>
      <c r="K78" s="18">
        <v>46112</v>
      </c>
    </row>
    <row r="79" spans="1:11" s="25" customFormat="1" ht="14.25" customHeight="1" x14ac:dyDescent="0.35">
      <c r="A79" s="24" t="s">
        <v>326</v>
      </c>
      <c r="B79" s="25">
        <v>1226.94</v>
      </c>
      <c r="C79" s="25">
        <v>1091.5</v>
      </c>
      <c r="D79" s="25">
        <v>1499.13</v>
      </c>
      <c r="E79" s="25">
        <v>1613.62</v>
      </c>
      <c r="F79" s="25">
        <v>2114.67</v>
      </c>
      <c r="G79" s="25">
        <v>1802.33</v>
      </c>
      <c r="H79" s="25">
        <v>1488.43</v>
      </c>
      <c r="I79" s="25">
        <v>2013.47</v>
      </c>
      <c r="J79" s="25">
        <v>1986.75</v>
      </c>
      <c r="K79" s="25">
        <v>2578.62</v>
      </c>
    </row>
    <row r="80" spans="1:11" ht="14.25" customHeight="1" x14ac:dyDescent="0.35">
      <c r="A80" s="24" t="s">
        <v>327</v>
      </c>
      <c r="B80" s="24">
        <v>-807.07</v>
      </c>
      <c r="C80" s="24">
        <v>-540.92999999999995</v>
      </c>
      <c r="D80" s="24">
        <v>337.58</v>
      </c>
      <c r="E80" s="24">
        <v>-516.63</v>
      </c>
      <c r="F80" s="24">
        <v>-1404.22</v>
      </c>
      <c r="G80" s="24">
        <v>-1273.45</v>
      </c>
      <c r="H80" s="24">
        <v>-582.79</v>
      </c>
      <c r="I80" s="24">
        <v>-971.04</v>
      </c>
      <c r="J80" s="24">
        <v>-448.26</v>
      </c>
      <c r="K80" s="24">
        <v>-1285.22</v>
      </c>
    </row>
    <row r="81" spans="1:11" ht="14.25" customHeight="1" x14ac:dyDescent="0.35">
      <c r="A81" s="24" t="s">
        <v>328</v>
      </c>
      <c r="B81" s="24">
        <v>-338.97</v>
      </c>
      <c r="C81" s="24">
        <v>-577.11</v>
      </c>
      <c r="D81" s="24">
        <v>-1888.2</v>
      </c>
      <c r="E81" s="24">
        <v>-1042.97</v>
      </c>
      <c r="F81" s="24">
        <v>-613.41</v>
      </c>
      <c r="G81" s="24">
        <v>-490.49</v>
      </c>
      <c r="H81" s="24">
        <v>-1035.24</v>
      </c>
      <c r="I81" s="24">
        <v>-1161.18</v>
      </c>
      <c r="J81" s="24">
        <v>-1405.34</v>
      </c>
      <c r="K81" s="24">
        <v>-1235.73</v>
      </c>
    </row>
    <row r="82" spans="1:11" s="25" customFormat="1" ht="14.25" customHeight="1" x14ac:dyDescent="0.35">
      <c r="A82" s="24" t="s">
        <v>329</v>
      </c>
      <c r="B82" s="25">
        <v>80.900000000000006</v>
      </c>
      <c r="C82" s="25">
        <v>-26.54</v>
      </c>
      <c r="D82" s="25">
        <v>-51.49</v>
      </c>
      <c r="E82" s="25">
        <v>54.02</v>
      </c>
      <c r="F82" s="25">
        <v>97.04</v>
      </c>
      <c r="G82" s="25">
        <v>38.39</v>
      </c>
      <c r="H82" s="25">
        <v>-129.6</v>
      </c>
      <c r="I82" s="25">
        <v>-118.75</v>
      </c>
      <c r="J82" s="25">
        <v>133.15</v>
      </c>
      <c r="K82" s="25">
        <v>57.67</v>
      </c>
    </row>
    <row r="87" spans="1:11" s="25" customFormat="1" ht="14.25" customHeight="1" x14ac:dyDescent="0.35">
      <c r="A87" s="25" t="s">
        <v>420</v>
      </c>
      <c r="B87" s="25">
        <v>277.35000000000002</v>
      </c>
      <c r="C87" s="25">
        <v>328.4</v>
      </c>
      <c r="D87" s="25">
        <v>408.8</v>
      </c>
      <c r="E87" s="25">
        <v>450.05</v>
      </c>
      <c r="F87" s="25">
        <v>540.5</v>
      </c>
      <c r="G87" s="25">
        <v>536.20000000000005</v>
      </c>
      <c r="H87" s="25">
        <v>544.9</v>
      </c>
      <c r="I87" s="25">
        <v>523.15</v>
      </c>
      <c r="J87" s="25">
        <v>506.5</v>
      </c>
      <c r="K87" s="25">
        <v>410.45</v>
      </c>
    </row>
    <row r="89" spans="1:11" s="25" customFormat="1" ht="14.25" customHeight="1" x14ac:dyDescent="0.35">
      <c r="A89" s="25" t="s">
        <v>421</v>
      </c>
    </row>
    <row r="90" spans="1:11" ht="14.25" customHeight="1" x14ac:dyDescent="0.35">
      <c r="A90" s="24" t="s">
        <v>422</v>
      </c>
      <c r="B90" s="49">
        <v>176.15</v>
      </c>
      <c r="C90" s="49">
        <v>176.15</v>
      </c>
      <c r="D90" s="49">
        <v>176.63</v>
      </c>
      <c r="E90" s="49">
        <v>176.71</v>
      </c>
      <c r="F90" s="49">
        <v>176.74</v>
      </c>
      <c r="G90" s="49">
        <v>176.79</v>
      </c>
      <c r="H90" s="49">
        <v>177.18</v>
      </c>
      <c r="I90" s="49">
        <v>177.2</v>
      </c>
      <c r="J90" s="49">
        <v>177.23</v>
      </c>
      <c r="K90" s="49">
        <v>177.37</v>
      </c>
    </row>
  </sheetData>
  <mergeCells count="3">
    <mergeCell ref="E2:K2"/>
    <mergeCell ref="B1:K1"/>
    <mergeCell ref="A12:K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5"/>
  <sheetViews>
    <sheetView showGridLines="0" zoomScale="68" zoomScaleNormal="100" workbookViewId="0">
      <selection activeCell="K21" sqref="K21"/>
    </sheetView>
  </sheetViews>
  <sheetFormatPr defaultColWidth="27.453125" defaultRowHeight="14" x14ac:dyDescent="0.3"/>
  <cols>
    <col min="1" max="1" width="6.36328125" style="321" bestFit="1" customWidth="1"/>
    <col min="2" max="2" width="22.08984375" style="321" customWidth="1"/>
    <col min="3" max="3" width="8.54296875" style="321" bestFit="1" customWidth="1"/>
    <col min="4" max="4" width="12.1796875" style="321" customWidth="1"/>
    <col min="5" max="5" width="15.54296875" style="321" customWidth="1"/>
    <col min="6" max="6" width="15.1796875" style="321" customWidth="1"/>
    <col min="7" max="7" width="10.7265625" style="321" bestFit="1" customWidth="1"/>
    <col min="8" max="8" width="7.6328125" style="321" bestFit="1" customWidth="1"/>
    <col min="9" max="9" width="10.1796875" style="321" bestFit="1" customWidth="1"/>
    <col min="10" max="10" width="15.90625" style="321" customWidth="1"/>
    <col min="11" max="11" width="12.1796875" style="321" customWidth="1"/>
    <col min="12" max="12" width="8.08984375" style="321" bestFit="1" customWidth="1"/>
    <col min="13" max="13" width="18.7265625" style="321" customWidth="1"/>
    <col min="14" max="14" width="12.36328125" style="321" bestFit="1" customWidth="1"/>
    <col min="15" max="15" width="15.7265625" style="321" customWidth="1"/>
    <col min="16" max="16384" width="27.453125" style="321"/>
  </cols>
  <sheetData>
    <row r="1" spans="1:15" ht="29.5" customHeight="1" x14ac:dyDescent="0.3">
      <c r="A1" s="449" t="s">
        <v>701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</row>
    <row r="2" spans="1:15" x14ac:dyDescent="0.3">
      <c r="A2" s="383"/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</row>
    <row r="4" spans="1:15" s="326" customFormat="1" ht="31" x14ac:dyDescent="0.35">
      <c r="A4" s="450" t="s">
        <v>423</v>
      </c>
      <c r="B4" s="450" t="s">
        <v>424</v>
      </c>
      <c r="C4" s="450" t="s">
        <v>707</v>
      </c>
      <c r="D4" s="450" t="s">
        <v>708</v>
      </c>
      <c r="E4" s="450" t="s">
        <v>709</v>
      </c>
      <c r="F4" s="450" t="s">
        <v>564</v>
      </c>
      <c r="G4" s="450" t="s">
        <v>710</v>
      </c>
      <c r="H4" s="450" t="s">
        <v>310</v>
      </c>
      <c r="I4" s="450" t="s">
        <v>711</v>
      </c>
      <c r="J4" s="450" t="s">
        <v>702</v>
      </c>
      <c r="K4" s="450" t="s">
        <v>703</v>
      </c>
      <c r="L4" s="450" t="s">
        <v>712</v>
      </c>
      <c r="M4" s="450" t="s">
        <v>704</v>
      </c>
      <c r="N4" s="450" t="s">
        <v>705</v>
      </c>
      <c r="O4" s="450" t="s">
        <v>706</v>
      </c>
    </row>
    <row r="5" spans="1:15" x14ac:dyDescent="0.3">
      <c r="A5" s="456">
        <v>1</v>
      </c>
      <c r="B5" s="451" t="s">
        <v>425</v>
      </c>
      <c r="C5" s="452">
        <v>1028</v>
      </c>
      <c r="D5" s="453">
        <v>105138</v>
      </c>
      <c r="E5" s="453">
        <v>14763</v>
      </c>
      <c r="F5" s="453">
        <v>3100</v>
      </c>
      <c r="G5" s="453">
        <v>2047</v>
      </c>
      <c r="H5" s="452">
        <v>20.12</v>
      </c>
      <c r="I5" s="454">
        <v>51.1</v>
      </c>
      <c r="J5" s="454">
        <v>34.799999999999997</v>
      </c>
      <c r="K5" s="454">
        <v>7.27</v>
      </c>
      <c r="L5" s="454">
        <v>10.199999999999999</v>
      </c>
      <c r="M5" s="455">
        <v>0.21</v>
      </c>
      <c r="N5" s="455">
        <v>8.2000000000000003E-2</v>
      </c>
      <c r="O5" s="455">
        <v>0.224</v>
      </c>
    </row>
    <row r="6" spans="1:15" x14ac:dyDescent="0.3">
      <c r="A6" s="456">
        <v>2</v>
      </c>
      <c r="B6" s="451" t="s">
        <v>426</v>
      </c>
      <c r="C6" s="452">
        <v>2157</v>
      </c>
      <c r="D6" s="453">
        <v>58665</v>
      </c>
      <c r="E6" s="453">
        <v>5827</v>
      </c>
      <c r="F6" s="453">
        <v>1688</v>
      </c>
      <c r="G6" s="453">
        <v>1241</v>
      </c>
      <c r="H6" s="452">
        <v>45.65</v>
      </c>
      <c r="I6" s="454">
        <v>47.3</v>
      </c>
      <c r="J6" s="454">
        <v>34.9</v>
      </c>
      <c r="K6" s="454">
        <v>10.15</v>
      </c>
      <c r="L6" s="454">
        <v>25.6</v>
      </c>
      <c r="M6" s="455">
        <v>0.28999999999999998</v>
      </c>
      <c r="N6" s="455">
        <v>9.0999999999999998E-2</v>
      </c>
      <c r="O6" s="455">
        <v>0.74099999999999999</v>
      </c>
    </row>
    <row r="7" spans="1:15" x14ac:dyDescent="0.3">
      <c r="A7" s="456">
        <v>3</v>
      </c>
      <c r="B7" s="451" t="s">
        <v>427</v>
      </c>
      <c r="C7" s="452">
        <v>9585</v>
      </c>
      <c r="D7" s="453">
        <v>31114</v>
      </c>
      <c r="E7" s="453">
        <v>4219</v>
      </c>
      <c r="F7" s="453">
        <v>935</v>
      </c>
      <c r="G7" s="453">
        <v>752</v>
      </c>
      <c r="H7" s="452">
        <v>231.85</v>
      </c>
      <c r="I7" s="454">
        <v>41.3</v>
      </c>
      <c r="J7" s="454">
        <v>33.5</v>
      </c>
      <c r="K7" s="454">
        <v>7.53</v>
      </c>
      <c r="L7" s="454">
        <v>9.1</v>
      </c>
      <c r="M7" s="455">
        <v>0.21199999999999999</v>
      </c>
      <c r="N7" s="455">
        <v>8.6999999999999994E-2</v>
      </c>
      <c r="O7" s="455">
        <v>0.26300000000000001</v>
      </c>
    </row>
    <row r="8" spans="1:15" x14ac:dyDescent="0.3">
      <c r="A8" s="456">
        <v>4</v>
      </c>
      <c r="B8" s="451" t="s">
        <v>428</v>
      </c>
      <c r="C8" s="452">
        <v>7784</v>
      </c>
      <c r="D8" s="453">
        <v>25366</v>
      </c>
      <c r="E8" s="453">
        <v>3106</v>
      </c>
      <c r="F8" s="453">
        <v>743</v>
      </c>
      <c r="G8" s="453">
        <v>583</v>
      </c>
      <c r="H8" s="452">
        <v>179</v>
      </c>
      <c r="I8" s="454">
        <v>43.5</v>
      </c>
      <c r="J8" s="454">
        <v>34.299999999999997</v>
      </c>
      <c r="K8" s="454">
        <v>8.32</v>
      </c>
      <c r="L8" s="454">
        <v>9.6999999999999993</v>
      </c>
      <c r="M8" s="455">
        <v>0.23899999999999999</v>
      </c>
      <c r="N8" s="455">
        <v>9.5000000000000001E-2</v>
      </c>
      <c r="O8" s="455">
        <v>0.30399999999999999</v>
      </c>
    </row>
    <row r="9" spans="1:15" x14ac:dyDescent="0.3">
      <c r="A9" s="464">
        <v>5</v>
      </c>
      <c r="B9" s="465" t="s">
        <v>429</v>
      </c>
      <c r="C9" s="466">
        <v>451.05</v>
      </c>
      <c r="D9" s="467">
        <v>80002</v>
      </c>
      <c r="E9" s="467">
        <v>13193</v>
      </c>
      <c r="F9" s="467">
        <v>2285</v>
      </c>
      <c r="G9" s="467">
        <v>1704</v>
      </c>
      <c r="H9" s="466">
        <v>9.61</v>
      </c>
      <c r="I9" s="468">
        <v>46.9</v>
      </c>
      <c r="J9" s="468">
        <v>35.299999999999997</v>
      </c>
      <c r="K9" s="468">
        <v>6.09</v>
      </c>
      <c r="L9" s="468">
        <v>7.15</v>
      </c>
      <c r="M9" s="469">
        <v>0.17299999999999999</v>
      </c>
      <c r="N9" s="469">
        <v>4.7E-2</v>
      </c>
      <c r="O9" s="469">
        <v>0.16600000000000001</v>
      </c>
    </row>
    <row r="11" spans="1:15" x14ac:dyDescent="0.3">
      <c r="A11" s="457"/>
      <c r="B11" s="458" t="s">
        <v>713</v>
      </c>
      <c r="C11" s="459">
        <f>AVERAGE(C5:C9)</f>
        <v>4201.01</v>
      </c>
      <c r="D11" s="459">
        <f t="shared" ref="D11:G11" si="0">AVERAGE(D5:D9)</f>
        <v>60057</v>
      </c>
      <c r="E11" s="459">
        <f t="shared" si="0"/>
        <v>8221.6</v>
      </c>
      <c r="F11" s="459">
        <f t="shared" si="0"/>
        <v>1750.2</v>
      </c>
      <c r="G11" s="459">
        <f t="shared" si="0"/>
        <v>1265.4000000000001</v>
      </c>
      <c r="H11" s="460">
        <f>MEDIAN(H5:H9)</f>
        <v>45.65</v>
      </c>
      <c r="I11" s="460">
        <f t="shared" ref="I11:O11" si="1">AVERAGE(I5:I9)</f>
        <v>46.019999999999996</v>
      </c>
      <c r="J11" s="460">
        <f t="shared" si="1"/>
        <v>34.56</v>
      </c>
      <c r="K11" s="460">
        <f t="shared" si="1"/>
        <v>7.8719999999999999</v>
      </c>
      <c r="L11" s="460">
        <f t="shared" si="1"/>
        <v>12.349999999999998</v>
      </c>
      <c r="M11" s="461">
        <f t="shared" si="1"/>
        <v>0.22479999999999997</v>
      </c>
      <c r="N11" s="461">
        <f t="shared" si="1"/>
        <v>8.0399999999999999E-2</v>
      </c>
      <c r="O11" s="462">
        <f t="shared" si="1"/>
        <v>0.33960000000000001</v>
      </c>
    </row>
    <row r="12" spans="1:15" x14ac:dyDescent="0.3">
      <c r="A12" s="457"/>
      <c r="B12" s="458" t="s">
        <v>523</v>
      </c>
      <c r="C12" s="459">
        <f>MEDIAN(C5:C9)</f>
        <v>2157</v>
      </c>
      <c r="D12" s="459">
        <f t="shared" ref="D12:F12" si="2">MEDIAN(D5:D9)</f>
        <v>58665</v>
      </c>
      <c r="E12" s="459">
        <f t="shared" si="2"/>
        <v>5827</v>
      </c>
      <c r="F12" s="459">
        <f t="shared" si="2"/>
        <v>1688</v>
      </c>
      <c r="G12" s="459">
        <f>MEDIAN(G5:G9)</f>
        <v>1241</v>
      </c>
      <c r="H12" s="460">
        <f>MEDIAN(H5:H9)</f>
        <v>45.65</v>
      </c>
      <c r="I12" s="460">
        <f t="shared" ref="I12:J12" si="3">MEDIAN(I5:I9)</f>
        <v>46.9</v>
      </c>
      <c r="J12" s="460">
        <f t="shared" si="3"/>
        <v>34.799999999999997</v>
      </c>
      <c r="K12" s="460">
        <f>MEDIAN(K5:K9)</f>
        <v>7.53</v>
      </c>
      <c r="L12" s="460">
        <f>MEDIAN(L5:L9)</f>
        <v>9.6999999999999993</v>
      </c>
      <c r="M12" s="461">
        <f>MEDIAN(M5:M9)</f>
        <v>0.21199999999999999</v>
      </c>
      <c r="N12" s="461">
        <f>MEDIAN(N5:N9)</f>
        <v>8.6999999999999994E-2</v>
      </c>
      <c r="O12" s="461">
        <f>MEDIAN(O5:O9)</f>
        <v>0.26300000000000001</v>
      </c>
    </row>
    <row r="13" spans="1:15" x14ac:dyDescent="0.3">
      <c r="A13" s="457"/>
      <c r="B13" s="458" t="s">
        <v>714</v>
      </c>
      <c r="C13" s="459">
        <f>MIN(C5:C9)</f>
        <v>451.05</v>
      </c>
      <c r="D13" s="463">
        <f>MIN(D5:D9)</f>
        <v>25366</v>
      </c>
      <c r="E13" s="463">
        <f>MIN(E5:E9)</f>
        <v>3106</v>
      </c>
      <c r="F13" s="463">
        <f t="shared" ref="F13:G13" si="4">MIN(F5:F9)</f>
        <v>743</v>
      </c>
      <c r="G13" s="463">
        <f t="shared" si="4"/>
        <v>583</v>
      </c>
      <c r="H13" s="460">
        <f>MIN(H5:H9)</f>
        <v>9.61</v>
      </c>
      <c r="I13" s="460">
        <f t="shared" ref="I13:L13" si="5">MIN(I5:I9)</f>
        <v>41.3</v>
      </c>
      <c r="J13" s="460">
        <f t="shared" si="5"/>
        <v>33.5</v>
      </c>
      <c r="K13" s="460">
        <f t="shared" si="5"/>
        <v>6.09</v>
      </c>
      <c r="L13" s="460">
        <f t="shared" si="5"/>
        <v>7.15</v>
      </c>
      <c r="M13" s="461">
        <f>MIN(M5:M9)</f>
        <v>0.17299999999999999</v>
      </c>
      <c r="N13" s="461">
        <f>MIN(N5:N9)</f>
        <v>4.7E-2</v>
      </c>
      <c r="O13" s="462">
        <f>MIN(O5:O9)</f>
        <v>0.16600000000000001</v>
      </c>
    </row>
    <row r="14" spans="1:15" x14ac:dyDescent="0.3">
      <c r="A14" s="457"/>
      <c r="B14" s="458" t="s">
        <v>715</v>
      </c>
      <c r="C14" s="459">
        <f t="shared" ref="C14:H14" si="6">MAX(C5:C9)</f>
        <v>9585</v>
      </c>
      <c r="D14" s="463">
        <f t="shared" si="6"/>
        <v>105138</v>
      </c>
      <c r="E14" s="463">
        <f t="shared" si="6"/>
        <v>14763</v>
      </c>
      <c r="F14" s="463">
        <f t="shared" si="6"/>
        <v>3100</v>
      </c>
      <c r="G14" s="463">
        <f t="shared" si="6"/>
        <v>2047</v>
      </c>
      <c r="H14" s="460">
        <f t="shared" si="6"/>
        <v>231.85</v>
      </c>
      <c r="I14" s="460">
        <f t="shared" ref="I14:L14" si="7">MAX(I5:I9)</f>
        <v>51.1</v>
      </c>
      <c r="J14" s="460">
        <f t="shared" si="7"/>
        <v>35.299999999999997</v>
      </c>
      <c r="K14" s="460">
        <f t="shared" si="7"/>
        <v>10.15</v>
      </c>
      <c r="L14" s="460">
        <f t="shared" si="7"/>
        <v>25.6</v>
      </c>
      <c r="M14" s="461">
        <f>MAX(M5:M9)</f>
        <v>0.28999999999999998</v>
      </c>
      <c r="N14" s="461">
        <f>MAX(N5:N9)</f>
        <v>9.5000000000000001E-2</v>
      </c>
      <c r="O14" s="462">
        <f>MAX(O5:O9)</f>
        <v>0.74099999999999999</v>
      </c>
    </row>
    <row r="17" spans="1:15" ht="21" customHeight="1" x14ac:dyDescent="0.3">
      <c r="A17" s="385" t="s">
        <v>716</v>
      </c>
      <c r="B17" s="386"/>
      <c r="C17" s="386"/>
      <c r="D17" s="386"/>
      <c r="E17" s="386"/>
      <c r="F17" s="386"/>
      <c r="G17" s="386"/>
      <c r="H17" s="386"/>
      <c r="I17" s="386"/>
      <c r="J17" s="336"/>
      <c r="K17" s="336"/>
      <c r="L17" s="336"/>
      <c r="M17" s="336"/>
      <c r="N17" s="336"/>
      <c r="O17" s="336"/>
    </row>
    <row r="18" spans="1:15" ht="38" customHeight="1" x14ac:dyDescent="0.3">
      <c r="A18" s="328"/>
      <c r="B18" s="328"/>
      <c r="C18" s="328" t="s">
        <v>430</v>
      </c>
      <c r="D18" s="328" t="s">
        <v>431</v>
      </c>
      <c r="E18" s="328" t="s">
        <v>432</v>
      </c>
      <c r="F18" s="328" t="s">
        <v>433</v>
      </c>
      <c r="G18" s="328" t="s">
        <v>434</v>
      </c>
      <c r="H18" s="328" t="s">
        <v>435</v>
      </c>
      <c r="I18" s="327" t="s">
        <v>717</v>
      </c>
      <c r="J18" s="337"/>
      <c r="K18" s="337"/>
      <c r="L18" s="337"/>
      <c r="M18" s="337"/>
      <c r="N18" s="337"/>
      <c r="O18" s="337"/>
    </row>
    <row r="19" spans="1:15" x14ac:dyDescent="0.3">
      <c r="A19" s="322"/>
      <c r="B19" s="329" t="s">
        <v>436</v>
      </c>
      <c r="C19" s="325">
        <f>I12</f>
        <v>46.9</v>
      </c>
      <c r="D19" s="323">
        <v>9.6080000000000005</v>
      </c>
      <c r="E19" s="330">
        <f>I12*9.608</f>
        <v>450.61520000000002</v>
      </c>
      <c r="F19" s="323">
        <v>451.05</v>
      </c>
      <c r="G19" s="331">
        <f>E19/F19-1</f>
        <v>-9.6397295200090216E-4</v>
      </c>
      <c r="H19" s="332">
        <v>0.35</v>
      </c>
      <c r="I19" s="330">
        <f>E19*H19</f>
        <v>157.71531999999999</v>
      </c>
    </row>
    <row r="20" spans="1:15" x14ac:dyDescent="0.3">
      <c r="A20" s="322"/>
      <c r="B20" s="329" t="s">
        <v>437</v>
      </c>
      <c r="C20" s="325">
        <f>J12</f>
        <v>34.799999999999997</v>
      </c>
      <c r="D20" s="324">
        <v>2285.48</v>
      </c>
      <c r="E20" s="330">
        <f>(J12*2285.48+562.07-1287.32)/177.37</f>
        <v>444.32234312454187</v>
      </c>
      <c r="F20" s="323">
        <v>451.05</v>
      </c>
      <c r="G20" s="331">
        <f>E20/F20-1</f>
        <v>-1.4915545672227304E-2</v>
      </c>
      <c r="H20" s="332">
        <v>0.35</v>
      </c>
      <c r="I20" s="330">
        <f>E20*H20</f>
        <v>155.51282009358965</v>
      </c>
    </row>
    <row r="21" spans="1:15" x14ac:dyDescent="0.3">
      <c r="A21" s="322"/>
      <c r="B21" s="329" t="s">
        <v>438</v>
      </c>
      <c r="C21" s="325">
        <f>K12</f>
        <v>7.53</v>
      </c>
      <c r="D21" s="324">
        <v>13192.57</v>
      </c>
      <c r="E21" s="330">
        <f>(K12*13192.57+562.07-1287.32)/177.37</f>
        <v>555.98354907819805</v>
      </c>
      <c r="F21" s="323">
        <v>451.05</v>
      </c>
      <c r="G21" s="331">
        <f>E21/F21-1</f>
        <v>0.23264283134507924</v>
      </c>
      <c r="H21" s="332">
        <v>0.15</v>
      </c>
      <c r="I21" s="330">
        <f>E21*H21</f>
        <v>83.397532361729702</v>
      </c>
    </row>
    <row r="22" spans="1:15" x14ac:dyDescent="0.3">
      <c r="A22" s="322"/>
      <c r="B22" s="329" t="s">
        <v>439</v>
      </c>
      <c r="C22" s="325">
        <f>L12</f>
        <v>9.6999999999999993</v>
      </c>
      <c r="D22" s="323">
        <v>64.382477307323697</v>
      </c>
      <c r="E22" s="330">
        <f>L12*64.3825</f>
        <v>624.51024999999993</v>
      </c>
      <c r="F22" s="323">
        <v>451.05</v>
      </c>
      <c r="G22" s="331">
        <f>E22/F22-1</f>
        <v>0.38456989247311801</v>
      </c>
      <c r="H22" s="332">
        <v>0.15</v>
      </c>
      <c r="I22" s="330">
        <f>E22*H22</f>
        <v>93.676537499999981</v>
      </c>
    </row>
    <row r="24" spans="1:15" ht="35" customHeight="1" thickBot="1" x14ac:dyDescent="0.35">
      <c r="A24" s="384" t="s">
        <v>718</v>
      </c>
      <c r="B24" s="384"/>
      <c r="C24" s="384"/>
      <c r="D24" s="384"/>
      <c r="E24" s="333">
        <f>SUM(I19+I20+I21+I22)</f>
        <v>490.30220995531937</v>
      </c>
      <c r="F24" s="334">
        <v>451.05</v>
      </c>
      <c r="G24" s="335">
        <f>E24/F24-1</f>
        <v>8.702407705424986E-2</v>
      </c>
    </row>
    <row r="25" spans="1:15" ht="14.5" thickTop="1" x14ac:dyDescent="0.3"/>
  </sheetData>
  <mergeCells count="4">
    <mergeCell ref="A1:O1"/>
    <mergeCell ref="A2:O2"/>
    <mergeCell ref="A24:D24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16"/>
  <sheetViews>
    <sheetView showGridLines="0" zoomScale="73" zoomScaleNormal="83" workbookViewId="0">
      <selection activeCell="D22" sqref="D22"/>
    </sheetView>
  </sheetViews>
  <sheetFormatPr defaultColWidth="8.6328125" defaultRowHeight="14.5" x14ac:dyDescent="0.35"/>
  <cols>
    <col min="1" max="1" width="2" customWidth="1"/>
    <col min="2" max="2" width="42" customWidth="1"/>
    <col min="3" max="7" width="14" customWidth="1"/>
    <col min="8" max="9" width="18" customWidth="1"/>
  </cols>
  <sheetData>
    <row r="2" spans="2:7" ht="21.75" customHeight="1" x14ac:dyDescent="0.35">
      <c r="B2" s="470" t="s">
        <v>440</v>
      </c>
      <c r="C2" s="470"/>
      <c r="D2" s="470"/>
      <c r="E2" s="470"/>
      <c r="F2" s="470"/>
      <c r="G2" s="470"/>
    </row>
    <row r="3" spans="2:7" ht="18" customHeight="1" x14ac:dyDescent="0.35">
      <c r="B3" s="471" t="s">
        <v>441</v>
      </c>
      <c r="C3" s="472">
        <v>2022</v>
      </c>
      <c r="D3" s="472">
        <v>2023</v>
      </c>
      <c r="E3" s="472">
        <v>2024</v>
      </c>
      <c r="F3" s="472">
        <v>2025</v>
      </c>
      <c r="G3" s="472">
        <v>2026</v>
      </c>
    </row>
    <row r="4" spans="2:7" ht="14.25" customHeight="1" x14ac:dyDescent="0.35">
      <c r="B4" s="50" t="s">
        <v>442</v>
      </c>
      <c r="C4" s="51"/>
      <c r="D4" s="52">
        <f>C8</f>
        <v>2307.9</v>
      </c>
      <c r="E4" s="52">
        <f>D8</f>
        <v>3578.65</v>
      </c>
      <c r="F4" s="52">
        <f>E8</f>
        <v>3815</v>
      </c>
      <c r="G4" s="52">
        <f>F8</f>
        <v>3989.69</v>
      </c>
    </row>
    <row r="5" spans="2:7" ht="14.25" customHeight="1" x14ac:dyDescent="0.35">
      <c r="B5" s="50" t="s">
        <v>443</v>
      </c>
      <c r="C5" s="51"/>
      <c r="D5" s="52">
        <f>D8-C8+D7</f>
        <v>1581.71</v>
      </c>
      <c r="E5" s="52">
        <f>E8-D8+E7</f>
        <v>635.55999999999995</v>
      </c>
      <c r="F5" s="52">
        <f>F8-E8+F7</f>
        <v>620.29000000000008</v>
      </c>
      <c r="G5" s="52">
        <f>G8-F8+G7</f>
        <v>418.16</v>
      </c>
    </row>
    <row r="6" spans="2:7" ht="14.25" customHeight="1" x14ac:dyDescent="0.35">
      <c r="B6" s="9" t="s">
        <v>444</v>
      </c>
      <c r="C6" s="53">
        <f>HistoricalFS!C57</f>
        <v>2307.9</v>
      </c>
      <c r="D6" s="53">
        <f>D4+D5</f>
        <v>3889.61</v>
      </c>
      <c r="E6" s="53">
        <f>E4+E5</f>
        <v>4214.21</v>
      </c>
      <c r="F6" s="53">
        <f>F4+F5</f>
        <v>4435.29</v>
      </c>
      <c r="G6" s="53">
        <f>G4+G5</f>
        <v>4407.8500000000004</v>
      </c>
    </row>
    <row r="7" spans="2:7" ht="14.25" customHeight="1" x14ac:dyDescent="0.35">
      <c r="B7" s="50" t="s">
        <v>445</v>
      </c>
      <c r="C7" s="52">
        <f>HistoricalFS!C20</f>
        <v>252.89</v>
      </c>
      <c r="D7" s="52">
        <f>HistoricalFS!D20</f>
        <v>310.95999999999998</v>
      </c>
      <c r="E7" s="52">
        <f>HistoricalFS!E20</f>
        <v>399.21</v>
      </c>
      <c r="F7" s="52">
        <f>HistoricalFS!F20</f>
        <v>445.6</v>
      </c>
      <c r="G7" s="52">
        <f>HistoricalFS!G20</f>
        <v>468.93</v>
      </c>
    </row>
    <row r="8" spans="2:7" ht="15" customHeight="1" x14ac:dyDescent="0.35">
      <c r="B8" s="54" t="s">
        <v>446</v>
      </c>
      <c r="C8" s="55">
        <f>HistoricalFS!C57</f>
        <v>2307.9</v>
      </c>
      <c r="D8" s="55">
        <f>HistoricalFS!D57</f>
        <v>3578.65</v>
      </c>
      <c r="E8" s="55">
        <f>HistoricalFS!E57</f>
        <v>3815</v>
      </c>
      <c r="F8" s="55">
        <f>HistoricalFS!F57</f>
        <v>3989.69</v>
      </c>
      <c r="G8" s="55">
        <f>HistoricalFS!G57</f>
        <v>3938.92</v>
      </c>
    </row>
    <row r="9" spans="2:7" ht="6" customHeight="1" x14ac:dyDescent="0.35">
      <c r="B9" s="27"/>
      <c r="C9" s="27"/>
      <c r="D9" s="27"/>
      <c r="E9" s="27"/>
      <c r="F9" s="27"/>
      <c r="G9" s="27"/>
    </row>
    <row r="10" spans="2:7" ht="14.25" customHeight="1" x14ac:dyDescent="0.35">
      <c r="B10" s="9" t="s">
        <v>447</v>
      </c>
      <c r="C10" s="51"/>
      <c r="D10" s="52">
        <f>D5-D7</f>
        <v>1270.75</v>
      </c>
      <c r="E10" s="52">
        <f>E5-E7</f>
        <v>236.34999999999997</v>
      </c>
      <c r="F10" s="52">
        <f>F5-F7</f>
        <v>174.69000000000005</v>
      </c>
      <c r="G10" s="52">
        <f>G5-G7</f>
        <v>-50.769999999999982</v>
      </c>
    </row>
    <row r="11" spans="2:7" ht="14.25" customHeight="1" x14ac:dyDescent="0.35">
      <c r="B11" s="9" t="s">
        <v>448</v>
      </c>
      <c r="C11" s="51"/>
      <c r="D11" s="56">
        <f>D10/HistoricalFS!D5</f>
        <v>0.11021354063221767</v>
      </c>
      <c r="E11" s="56">
        <f>E10/HistoricalFS!E5</f>
        <v>1.9054321949111615E-2</v>
      </c>
      <c r="F11" s="56">
        <f>F10/HistoricalFS!F5</f>
        <v>1.3905018590171689E-2</v>
      </c>
      <c r="G11" s="56">
        <f>G10/HistoricalFS!G5</f>
        <v>-3.8483782917202625E-3</v>
      </c>
    </row>
    <row r="12" spans="2:7" ht="6" customHeight="1" x14ac:dyDescent="0.35">
      <c r="B12" s="57"/>
      <c r="C12" s="27"/>
      <c r="D12" s="27"/>
      <c r="E12" s="27"/>
      <c r="F12" s="27"/>
      <c r="G12" s="27"/>
    </row>
    <row r="13" spans="2:7" ht="14.25" customHeight="1" x14ac:dyDescent="0.35">
      <c r="B13" s="58" t="s">
        <v>449</v>
      </c>
      <c r="C13" s="59">
        <f>MEDIAN(D11:G11)</f>
        <v>1.6479670269641651E-2</v>
      </c>
      <c r="D13" s="27"/>
      <c r="E13" s="27"/>
      <c r="F13" s="27"/>
      <c r="G13" s="27"/>
    </row>
    <row r="14" spans="2:7" ht="14.25" customHeight="1" x14ac:dyDescent="0.35">
      <c r="B14" s="60" t="s">
        <v>450</v>
      </c>
      <c r="C14" s="61">
        <f>AVERAGE(D11:G11)</f>
        <v>3.483112571994517E-2</v>
      </c>
      <c r="D14" s="27"/>
      <c r="E14" s="27"/>
      <c r="F14" s="27"/>
      <c r="G14" s="27"/>
    </row>
    <row r="15" spans="2:7" ht="14.25" customHeight="1" x14ac:dyDescent="0.35">
      <c r="B15" s="27"/>
      <c r="C15" s="27"/>
      <c r="D15" s="27"/>
      <c r="E15" s="27"/>
      <c r="F15" s="27"/>
      <c r="G15" s="27"/>
    </row>
    <row r="16" spans="2:7" ht="14.25" customHeight="1" x14ac:dyDescent="0.35">
      <c r="B16" s="387"/>
      <c r="C16" s="387"/>
      <c r="D16" s="387"/>
      <c r="E16" s="387"/>
      <c r="F16" s="387"/>
      <c r="G16" s="387"/>
    </row>
  </sheetData>
  <mergeCells count="2">
    <mergeCell ref="B2:G2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15"/>
  <sheetViews>
    <sheetView showGridLines="0" zoomScale="77" zoomScaleNormal="77" workbookViewId="0">
      <selection activeCell="D25" sqref="D25"/>
    </sheetView>
  </sheetViews>
  <sheetFormatPr defaultColWidth="8.6328125" defaultRowHeight="14.5" x14ac:dyDescent="0.35"/>
  <cols>
    <col min="1" max="1" width="2" customWidth="1"/>
    <col min="2" max="2" width="48" customWidth="1"/>
    <col min="3" max="7" width="14" customWidth="1"/>
    <col min="8" max="9" width="18" customWidth="1"/>
  </cols>
  <sheetData>
    <row r="2" spans="2:7" ht="21.75" customHeight="1" x14ac:dyDescent="0.35">
      <c r="B2" s="470" t="s">
        <v>451</v>
      </c>
      <c r="C2" s="470"/>
      <c r="D2" s="470"/>
      <c r="E2" s="470"/>
      <c r="F2" s="470"/>
      <c r="G2" s="470"/>
    </row>
    <row r="3" spans="2:7" ht="18" customHeight="1" x14ac:dyDescent="0.35">
      <c r="B3" s="471" t="s">
        <v>441</v>
      </c>
      <c r="C3" s="472" t="s">
        <v>452</v>
      </c>
      <c r="D3" s="472" t="s">
        <v>453</v>
      </c>
      <c r="E3" s="472" t="s">
        <v>454</v>
      </c>
      <c r="F3" s="472" t="s">
        <v>455</v>
      </c>
      <c r="G3" s="472" t="s">
        <v>456</v>
      </c>
    </row>
    <row r="4" spans="2:7" ht="14.25" customHeight="1" x14ac:dyDescent="0.35">
      <c r="B4" s="62" t="s">
        <v>457</v>
      </c>
      <c r="C4" s="63">
        <f>HistoricalFS!C64</f>
        <v>1911.37</v>
      </c>
      <c r="D4" s="63">
        <f>HistoricalFS!D64</f>
        <v>2024.2</v>
      </c>
      <c r="E4" s="63">
        <f>HistoricalFS!E64</f>
        <v>1946.97</v>
      </c>
      <c r="F4" s="63">
        <f>HistoricalFS!F64</f>
        <v>2300.11</v>
      </c>
      <c r="G4" s="64">
        <f>HistoricalFS!G64</f>
        <v>2321.63</v>
      </c>
    </row>
    <row r="5" spans="2:7" ht="14.25" customHeight="1" x14ac:dyDescent="0.35">
      <c r="B5" s="62" t="s">
        <v>414</v>
      </c>
      <c r="C5" s="63">
        <f>HistoricalFS!C63</f>
        <v>646.15</v>
      </c>
      <c r="D5" s="63">
        <f>HistoricalFS!D63</f>
        <v>848.75</v>
      </c>
      <c r="E5" s="63">
        <f>HistoricalFS!E63</f>
        <v>898.72</v>
      </c>
      <c r="F5" s="63">
        <f>HistoricalFS!F63</f>
        <v>888.5</v>
      </c>
      <c r="G5" s="64">
        <f>HistoricalFS!G63</f>
        <v>715.41</v>
      </c>
    </row>
    <row r="6" spans="2:7" ht="14.25" customHeight="1" x14ac:dyDescent="0.35">
      <c r="B6" s="62" t="s">
        <v>458</v>
      </c>
      <c r="C6" s="63">
        <f>'Balance Sheet'!U12</f>
        <v>2018</v>
      </c>
      <c r="D6" s="63">
        <f>'Balance Sheet'!V12</f>
        <v>2187</v>
      </c>
      <c r="E6" s="63">
        <f>'Balance Sheet'!W12</f>
        <v>2422</v>
      </c>
      <c r="F6" s="63">
        <f>'Balance Sheet'!X12</f>
        <v>2825</v>
      </c>
      <c r="G6" s="63">
        <f>'Balance Sheet'!Y12</f>
        <v>2954</v>
      </c>
    </row>
    <row r="7" spans="2:7" ht="14.25" customHeight="1" x14ac:dyDescent="0.35">
      <c r="B7" s="60" t="s">
        <v>459</v>
      </c>
      <c r="C7" s="65">
        <f>C4+C5-C6</f>
        <v>539.52</v>
      </c>
      <c r="D7" s="65">
        <f>D4+D5-D6</f>
        <v>685.94999999999982</v>
      </c>
      <c r="E7" s="65">
        <f>E4+E5-E6</f>
        <v>423.69000000000005</v>
      </c>
      <c r="F7" s="65">
        <f>F4+F5-F6</f>
        <v>363.61000000000013</v>
      </c>
      <c r="G7" s="66">
        <f>G4+G5-G6</f>
        <v>83.039999999999964</v>
      </c>
    </row>
    <row r="8" spans="2:7" ht="6" customHeight="1" x14ac:dyDescent="0.35">
      <c r="B8" s="27"/>
      <c r="C8" s="27"/>
      <c r="D8" s="27"/>
      <c r="E8" s="27"/>
      <c r="F8" s="27"/>
      <c r="G8" s="27"/>
    </row>
    <row r="9" spans="2:7" ht="14.25" customHeight="1" x14ac:dyDescent="0.35">
      <c r="B9" s="67" t="s">
        <v>460</v>
      </c>
      <c r="C9" s="68"/>
      <c r="D9" s="69">
        <f>D7-C7</f>
        <v>146.42999999999984</v>
      </c>
      <c r="E9" s="69">
        <f>E7-D7</f>
        <v>-262.25999999999976</v>
      </c>
      <c r="F9" s="69">
        <f>F7-E7</f>
        <v>-60.079999999999927</v>
      </c>
      <c r="G9" s="70">
        <f>G7-F7</f>
        <v>-280.57000000000016</v>
      </c>
    </row>
    <row r="10" spans="2:7" ht="14.25" customHeight="1" x14ac:dyDescent="0.35">
      <c r="B10" s="71" t="s">
        <v>461</v>
      </c>
      <c r="C10" s="72"/>
      <c r="D10" s="73">
        <f>D9/HistoricalFS!D5</f>
        <v>1.2700034432245221E-2</v>
      </c>
      <c r="E10" s="73">
        <f>E9/HistoricalFS!E5</f>
        <v>-2.1143162574038539E-2</v>
      </c>
      <c r="F10" s="73">
        <f>F9/HistoricalFS!F5</f>
        <v>-4.7822629623762887E-3</v>
      </c>
      <c r="G10" s="74">
        <f>G9/HistoricalFS!G5</f>
        <v>-2.1267273927672938E-2</v>
      </c>
    </row>
    <row r="11" spans="2:7" ht="6" customHeight="1" x14ac:dyDescent="0.35">
      <c r="B11" s="27"/>
      <c r="C11" s="27"/>
      <c r="D11" s="27"/>
      <c r="E11" s="27"/>
      <c r="F11" s="27"/>
      <c r="G11" s="27"/>
    </row>
    <row r="12" spans="2:7" ht="14.25" customHeight="1" x14ac:dyDescent="0.35">
      <c r="B12" s="67" t="s">
        <v>462</v>
      </c>
      <c r="C12" s="75">
        <f>MEDIAN(D10:G10)</f>
        <v>-1.2962712768207414E-2</v>
      </c>
      <c r="D12" s="27"/>
      <c r="E12" s="27"/>
      <c r="F12" s="27"/>
      <c r="G12" s="27"/>
    </row>
    <row r="13" spans="2:7" ht="14.25" customHeight="1" x14ac:dyDescent="0.35">
      <c r="B13" s="71" t="s">
        <v>463</v>
      </c>
      <c r="C13" s="76">
        <f>AVERAGE(D10:G10)</f>
        <v>-8.623166257960637E-3</v>
      </c>
      <c r="D13" s="27"/>
      <c r="E13" s="27"/>
      <c r="F13" s="27"/>
      <c r="G13" s="27"/>
    </row>
    <row r="15" spans="2:7" ht="14.25" customHeight="1" x14ac:dyDescent="0.35">
      <c r="B15" s="387"/>
      <c r="C15" s="387"/>
      <c r="D15" s="387"/>
      <c r="E15" s="387"/>
      <c r="F15" s="387"/>
      <c r="G15" s="387"/>
    </row>
  </sheetData>
  <mergeCells count="2">
    <mergeCell ref="B2:G2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1087"/>
  <sheetViews>
    <sheetView showGridLines="0" zoomScale="87" zoomScaleNormal="87" workbookViewId="0">
      <selection activeCell="H4" sqref="H4"/>
    </sheetView>
  </sheetViews>
  <sheetFormatPr defaultColWidth="8.7265625" defaultRowHeight="14" x14ac:dyDescent="0.3"/>
  <cols>
    <col min="1" max="1" width="3.26953125" style="2" customWidth="1"/>
    <col min="2" max="2" width="11.26953125" style="77" customWidth="1"/>
    <col min="3" max="3" width="7.6328125" style="2" customWidth="1"/>
    <col min="4" max="4" width="11.26953125" style="2" customWidth="1"/>
    <col min="5" max="5" width="10.08984375" style="2" customWidth="1"/>
    <col min="6" max="6" width="17.26953125" style="2" customWidth="1"/>
    <col min="7" max="7" width="12.453125" style="2" customWidth="1"/>
    <col min="8" max="8" width="13.54296875" style="2" customWidth="1"/>
    <col min="9" max="9" width="12.453125" style="2" customWidth="1"/>
    <col min="10" max="10" width="11.81640625" style="2" customWidth="1"/>
    <col min="11" max="11" width="12.453125" style="2" customWidth="1"/>
    <col min="12" max="12" width="11.81640625" style="2" customWidth="1"/>
    <col min="13" max="14" width="12" style="2" customWidth="1"/>
    <col min="15" max="16384" width="8.7265625" style="2"/>
  </cols>
  <sheetData>
    <row r="1" spans="2:7" ht="31.5" customHeight="1" x14ac:dyDescent="0.3">
      <c r="B1" s="473" t="s">
        <v>464</v>
      </c>
      <c r="C1" s="473"/>
      <c r="D1" s="473"/>
    </row>
    <row r="2" spans="2:7" ht="13.5" customHeight="1" x14ac:dyDescent="0.3">
      <c r="E2" s="388"/>
      <c r="F2" s="388"/>
    </row>
    <row r="3" spans="2:7" ht="13.5" customHeight="1" x14ac:dyDescent="0.3">
      <c r="B3" s="79" t="s">
        <v>465</v>
      </c>
      <c r="C3" s="80" t="s">
        <v>466</v>
      </c>
      <c r="D3" s="81" t="s">
        <v>467</v>
      </c>
      <c r="F3" s="82"/>
    </row>
    <row r="4" spans="2:7" ht="13.5" customHeight="1" x14ac:dyDescent="0.3">
      <c r="B4" s="83">
        <v>44565</v>
      </c>
      <c r="C4" s="2">
        <v>1.02</v>
      </c>
      <c r="D4" s="2">
        <v>-1.22</v>
      </c>
      <c r="E4" s="77"/>
    </row>
    <row r="5" spans="2:7" ht="14.25" customHeight="1" x14ac:dyDescent="0.3">
      <c r="B5" s="83">
        <v>44566</v>
      </c>
      <c r="C5" s="2">
        <v>0.67</v>
      </c>
      <c r="D5" s="2">
        <v>1.47</v>
      </c>
      <c r="E5" s="77"/>
    </row>
    <row r="6" spans="2:7" ht="14.25" customHeight="1" x14ac:dyDescent="0.3">
      <c r="B6" s="83">
        <v>44567</v>
      </c>
      <c r="C6" s="2">
        <v>-1</v>
      </c>
      <c r="D6" s="2">
        <v>0.01</v>
      </c>
      <c r="E6" s="77"/>
      <c r="F6" s="84" t="s">
        <v>468</v>
      </c>
      <c r="G6" s="85">
        <f>G26</f>
        <v>0.60376437511633996</v>
      </c>
    </row>
    <row r="7" spans="2:7" ht="13.5" customHeight="1" x14ac:dyDescent="0.3">
      <c r="B7" s="83">
        <v>44568</v>
      </c>
      <c r="C7" s="2">
        <v>0.38</v>
      </c>
      <c r="D7" s="2">
        <v>0.85</v>
      </c>
      <c r="E7" s="77"/>
    </row>
    <row r="8" spans="2:7" ht="13.5" customHeight="1" x14ac:dyDescent="0.3">
      <c r="B8" s="83">
        <v>44571</v>
      </c>
      <c r="C8" s="2">
        <v>1.07</v>
      </c>
      <c r="D8" s="2">
        <v>0.27</v>
      </c>
      <c r="E8" s="77"/>
    </row>
    <row r="9" spans="2:7" ht="13.5" customHeight="1" x14ac:dyDescent="0.3">
      <c r="B9" s="83">
        <v>44572</v>
      </c>
      <c r="C9" s="2">
        <v>0.28999999999999998</v>
      </c>
      <c r="D9" s="2">
        <v>-0.26</v>
      </c>
      <c r="E9" s="77"/>
      <c r="F9" s="2" t="s">
        <v>469</v>
      </c>
    </row>
    <row r="10" spans="2:7" ht="14.25" customHeight="1" x14ac:dyDescent="0.3">
      <c r="B10" s="83">
        <v>44573</v>
      </c>
      <c r="C10" s="2">
        <v>0.87</v>
      </c>
      <c r="D10" s="2">
        <v>-0.86</v>
      </c>
      <c r="E10" s="77"/>
    </row>
    <row r="11" spans="2:7" ht="14.25" customHeight="1" x14ac:dyDescent="0.35">
      <c r="B11" s="83">
        <v>44574</v>
      </c>
      <c r="C11" s="2">
        <v>0.25</v>
      </c>
      <c r="D11" s="2">
        <v>-0.31</v>
      </c>
      <c r="E11" s="77"/>
      <c r="F11" s="389" t="s">
        <v>470</v>
      </c>
      <c r="G11" s="389"/>
    </row>
    <row r="12" spans="2:7" ht="13.5" customHeight="1" x14ac:dyDescent="0.3">
      <c r="B12" s="83">
        <v>44575</v>
      </c>
      <c r="C12" s="2">
        <v>-0.01</v>
      </c>
      <c r="D12" s="2">
        <v>-0.84</v>
      </c>
      <c r="E12" s="77"/>
      <c r="F12" s="2" t="s">
        <v>471</v>
      </c>
      <c r="G12" s="2">
        <v>0.38592279607393598</v>
      </c>
    </row>
    <row r="13" spans="2:7" ht="13.5" customHeight="1" x14ac:dyDescent="0.3">
      <c r="B13" s="83">
        <v>44578</v>
      </c>
      <c r="C13" s="2">
        <v>0.28999999999999998</v>
      </c>
      <c r="D13" s="2">
        <v>-1.08</v>
      </c>
      <c r="E13" s="77"/>
      <c r="F13" s="2" t="s">
        <v>472</v>
      </c>
      <c r="G13" s="2">
        <v>0.148936404529525</v>
      </c>
    </row>
    <row r="14" spans="2:7" ht="13.5" customHeight="1" x14ac:dyDescent="0.3">
      <c r="B14" s="83">
        <v>44579</v>
      </c>
      <c r="C14" s="2">
        <v>-1.07</v>
      </c>
      <c r="D14" s="2">
        <v>-1</v>
      </c>
      <c r="E14" s="77"/>
      <c r="F14" s="2" t="s">
        <v>473</v>
      </c>
      <c r="G14" s="2">
        <v>0.14814692067472901</v>
      </c>
    </row>
    <row r="15" spans="2:7" ht="13.5" customHeight="1" x14ac:dyDescent="0.3">
      <c r="B15" s="83">
        <v>44580</v>
      </c>
      <c r="C15" s="2">
        <v>-0.96</v>
      </c>
      <c r="D15" s="2">
        <v>0.82</v>
      </c>
      <c r="E15" s="77"/>
      <c r="F15" s="2" t="s">
        <v>474</v>
      </c>
      <c r="G15" s="2">
        <v>1.26848806286548</v>
      </c>
    </row>
    <row r="16" spans="2:7" ht="14.25" customHeight="1" x14ac:dyDescent="0.3">
      <c r="B16" s="83">
        <v>44581</v>
      </c>
      <c r="C16" s="2">
        <v>-1.01</v>
      </c>
      <c r="D16" s="2">
        <v>-1.53</v>
      </c>
      <c r="E16" s="77"/>
      <c r="F16" s="87" t="s">
        <v>475</v>
      </c>
      <c r="G16" s="87">
        <v>1080</v>
      </c>
    </row>
    <row r="17" spans="2:14" ht="13.5" customHeight="1" x14ac:dyDescent="0.3">
      <c r="B17" s="83">
        <v>44582</v>
      </c>
      <c r="C17" s="2">
        <v>-0.79</v>
      </c>
      <c r="D17" s="2">
        <v>-1.48</v>
      </c>
      <c r="E17" s="77"/>
    </row>
    <row r="18" spans="2:14" ht="14.25" customHeight="1" x14ac:dyDescent="0.3">
      <c r="B18" s="83">
        <v>44585</v>
      </c>
      <c r="C18" s="2">
        <v>-2.66</v>
      </c>
      <c r="D18" s="2">
        <v>-0.99</v>
      </c>
      <c r="E18" s="77"/>
      <c r="F18" s="2" t="s">
        <v>476</v>
      </c>
    </row>
    <row r="19" spans="2:14" ht="14.25" customHeight="1" x14ac:dyDescent="0.35">
      <c r="B19" s="83">
        <v>44586</v>
      </c>
      <c r="C19" s="2">
        <v>0.75</v>
      </c>
      <c r="D19" s="2">
        <v>-0.6</v>
      </c>
      <c r="E19" s="77"/>
      <c r="F19" s="86"/>
      <c r="G19" s="86" t="s">
        <v>477</v>
      </c>
      <c r="H19" s="86" t="s">
        <v>478</v>
      </c>
      <c r="I19" s="86" t="s">
        <v>479</v>
      </c>
      <c r="J19" s="86" t="s">
        <v>480</v>
      </c>
      <c r="K19" s="86" t="s">
        <v>481</v>
      </c>
    </row>
    <row r="20" spans="2:14" ht="13.5" customHeight="1" x14ac:dyDescent="0.3">
      <c r="B20" s="83">
        <v>44588</v>
      </c>
      <c r="C20" s="2">
        <v>-0.97</v>
      </c>
      <c r="D20" s="2">
        <v>-2.5299999999999998</v>
      </c>
      <c r="E20" s="77"/>
      <c r="F20" s="2" t="s">
        <v>482</v>
      </c>
      <c r="G20" s="2">
        <v>1</v>
      </c>
      <c r="H20" s="2">
        <v>303.55010095588</v>
      </c>
      <c r="I20" s="2">
        <v>303.55010095588</v>
      </c>
      <c r="J20" s="2">
        <v>188.65034873695001</v>
      </c>
      <c r="K20" s="2">
        <v>1.11246587437339E-39</v>
      </c>
    </row>
    <row r="21" spans="2:14" ht="13.5" customHeight="1" x14ac:dyDescent="0.3">
      <c r="B21" s="83">
        <v>44589</v>
      </c>
      <c r="C21" s="2">
        <v>-0.05</v>
      </c>
      <c r="D21" s="2">
        <v>0.93</v>
      </c>
      <c r="E21" s="77"/>
      <c r="F21" s="2" t="s">
        <v>483</v>
      </c>
      <c r="G21" s="2">
        <v>1078</v>
      </c>
      <c r="H21" s="2">
        <v>1734.56879895153</v>
      </c>
      <c r="I21" s="2">
        <v>1.60906196563221</v>
      </c>
    </row>
    <row r="22" spans="2:14" ht="14.25" customHeight="1" x14ac:dyDescent="0.3">
      <c r="B22" s="83">
        <v>44592</v>
      </c>
      <c r="C22" s="2">
        <v>1.39</v>
      </c>
      <c r="D22" s="2">
        <v>0.52</v>
      </c>
      <c r="E22" s="77"/>
      <c r="F22" s="87" t="s">
        <v>53</v>
      </c>
      <c r="G22" s="87">
        <v>1079</v>
      </c>
      <c r="H22" s="87">
        <v>2038.11889990741</v>
      </c>
      <c r="I22" s="87"/>
      <c r="J22" s="87"/>
      <c r="K22" s="87"/>
    </row>
    <row r="23" spans="2:14" ht="14.25" customHeight="1" x14ac:dyDescent="0.3">
      <c r="B23" s="83">
        <v>44593</v>
      </c>
      <c r="C23" s="2">
        <v>1.37</v>
      </c>
      <c r="D23" s="2">
        <v>1.81</v>
      </c>
      <c r="E23" s="77"/>
    </row>
    <row r="24" spans="2:14" ht="14.25" customHeight="1" x14ac:dyDescent="0.35">
      <c r="B24" s="83">
        <v>44594</v>
      </c>
      <c r="C24" s="2">
        <v>1.1599999999999999</v>
      </c>
      <c r="D24" s="2">
        <v>2.0099999999999998</v>
      </c>
      <c r="E24" s="77"/>
      <c r="F24" s="86"/>
      <c r="G24" s="86" t="s">
        <v>484</v>
      </c>
      <c r="H24" s="86" t="s">
        <v>474</v>
      </c>
      <c r="I24" s="86" t="s">
        <v>485</v>
      </c>
      <c r="J24" s="86" t="s">
        <v>486</v>
      </c>
      <c r="K24" s="86" t="s">
        <v>487</v>
      </c>
      <c r="L24" s="86" t="s">
        <v>488</v>
      </c>
      <c r="M24" s="86" t="s">
        <v>489</v>
      </c>
      <c r="N24" s="86" t="s">
        <v>490</v>
      </c>
    </row>
    <row r="25" spans="2:14" ht="13.5" customHeight="1" x14ac:dyDescent="0.3">
      <c r="B25" s="83">
        <v>44595</v>
      </c>
      <c r="C25" s="2">
        <v>-1.24</v>
      </c>
      <c r="D25" s="2">
        <v>-0.18</v>
      </c>
      <c r="E25" s="77"/>
      <c r="F25" s="2" t="s">
        <v>491</v>
      </c>
      <c r="G25" s="2">
        <v>-3.0587584309235302E-2</v>
      </c>
      <c r="H25" s="2">
        <v>3.86238959773232E-2</v>
      </c>
      <c r="I25" s="2">
        <v>-0.79193420382018997</v>
      </c>
      <c r="J25" s="2">
        <v>0.42857326696412401</v>
      </c>
      <c r="K25" s="2">
        <v>-0.106374119877746</v>
      </c>
      <c r="L25" s="2">
        <v>4.5198951259274901E-2</v>
      </c>
      <c r="M25" s="2">
        <v>-0.106374119877746</v>
      </c>
      <c r="N25" s="2">
        <v>4.5198951259274901E-2</v>
      </c>
    </row>
    <row r="26" spans="2:14" ht="14.25" customHeight="1" x14ac:dyDescent="0.3">
      <c r="B26" s="83">
        <v>44596</v>
      </c>
      <c r="C26" s="2">
        <v>-0.25</v>
      </c>
      <c r="D26" s="2">
        <v>2.2599999999999998</v>
      </c>
      <c r="E26" s="77"/>
      <c r="F26" s="87" t="s">
        <v>492</v>
      </c>
      <c r="G26" s="87">
        <v>0.60376437511633996</v>
      </c>
      <c r="H26" s="87">
        <v>4.3958076236613103E-2</v>
      </c>
      <c r="I26" s="87">
        <v>13.735004504438701</v>
      </c>
      <c r="J26" s="87">
        <v>1.11246587437306E-39</v>
      </c>
      <c r="K26" s="87">
        <v>0.51751128686793302</v>
      </c>
      <c r="L26" s="87">
        <v>0.69001746336474701</v>
      </c>
      <c r="M26" s="87">
        <v>0.51751128686793302</v>
      </c>
      <c r="N26" s="87">
        <v>0.69001746336474701</v>
      </c>
    </row>
    <row r="27" spans="2:14" ht="13.5" customHeight="1" x14ac:dyDescent="0.3">
      <c r="B27" s="83">
        <v>44599</v>
      </c>
      <c r="C27" s="2">
        <v>-1.73</v>
      </c>
      <c r="D27" s="2">
        <v>-0.4</v>
      </c>
      <c r="E27" s="77"/>
    </row>
    <row r="28" spans="2:14" ht="13.5" customHeight="1" x14ac:dyDescent="0.3">
      <c r="B28" s="83">
        <v>44600</v>
      </c>
      <c r="C28" s="2">
        <v>0.31</v>
      </c>
      <c r="D28" s="2">
        <v>-0.79</v>
      </c>
      <c r="E28" s="77"/>
    </row>
    <row r="29" spans="2:14" ht="13.5" customHeight="1" x14ac:dyDescent="0.3">
      <c r="B29" s="83">
        <v>44601</v>
      </c>
      <c r="C29" s="2">
        <v>1.1399999999999999</v>
      </c>
      <c r="D29" s="2">
        <v>1.47</v>
      </c>
      <c r="E29" s="77"/>
    </row>
    <row r="30" spans="2:14" ht="13.5" customHeight="1" x14ac:dyDescent="0.3">
      <c r="B30" s="83">
        <v>44602</v>
      </c>
      <c r="C30" s="2">
        <v>0.81</v>
      </c>
      <c r="D30" s="2">
        <v>-1.03</v>
      </c>
      <c r="E30" s="77"/>
    </row>
    <row r="31" spans="2:14" ht="13.5" customHeight="1" x14ac:dyDescent="0.3">
      <c r="B31" s="83">
        <v>44603</v>
      </c>
      <c r="C31" s="2">
        <v>-1.31</v>
      </c>
      <c r="D31" s="2">
        <v>-0.66</v>
      </c>
      <c r="E31" s="77"/>
    </row>
    <row r="32" spans="2:14" ht="13.5" customHeight="1" x14ac:dyDescent="0.3">
      <c r="B32" s="83">
        <v>44606</v>
      </c>
      <c r="C32" s="2">
        <v>-3.06</v>
      </c>
      <c r="D32" s="2">
        <v>-1.38</v>
      </c>
      <c r="E32" s="77"/>
    </row>
    <row r="33" spans="2:5" ht="13.5" customHeight="1" x14ac:dyDescent="0.3">
      <c r="B33" s="83">
        <v>44607</v>
      </c>
      <c r="C33" s="2">
        <v>3.03</v>
      </c>
      <c r="D33" s="2">
        <v>1.69</v>
      </c>
      <c r="E33" s="77"/>
    </row>
    <row r="34" spans="2:5" ht="13.5" customHeight="1" x14ac:dyDescent="0.3">
      <c r="B34" s="83">
        <v>44608</v>
      </c>
      <c r="C34" s="2">
        <v>-0.17</v>
      </c>
      <c r="D34" s="2">
        <v>-0.11</v>
      </c>
      <c r="E34" s="77"/>
    </row>
    <row r="35" spans="2:5" ht="13.5" customHeight="1" x14ac:dyDescent="0.3">
      <c r="B35" s="83">
        <v>44609</v>
      </c>
      <c r="C35" s="2">
        <v>-0.1</v>
      </c>
      <c r="D35" s="2">
        <v>-1.33</v>
      </c>
      <c r="E35" s="77"/>
    </row>
    <row r="36" spans="2:5" ht="13.5" customHeight="1" x14ac:dyDescent="0.3">
      <c r="B36" s="83">
        <v>44610</v>
      </c>
      <c r="C36" s="2">
        <v>-0.16</v>
      </c>
      <c r="D36" s="2">
        <v>-1.19</v>
      </c>
      <c r="E36" s="77"/>
    </row>
    <row r="37" spans="2:5" ht="13.5" customHeight="1" x14ac:dyDescent="0.3">
      <c r="B37" s="83">
        <v>44613</v>
      </c>
      <c r="C37" s="2">
        <v>-0.4</v>
      </c>
      <c r="D37" s="2">
        <v>1.06</v>
      </c>
      <c r="E37" s="77"/>
    </row>
    <row r="38" spans="2:5" ht="13.5" customHeight="1" x14ac:dyDescent="0.3">
      <c r="B38" s="83">
        <v>44614</v>
      </c>
      <c r="C38" s="2">
        <v>-0.67</v>
      </c>
      <c r="D38" s="2">
        <v>-0.64</v>
      </c>
      <c r="E38" s="77"/>
    </row>
    <row r="39" spans="2:5" ht="13.5" customHeight="1" x14ac:dyDescent="0.3">
      <c r="B39" s="83">
        <v>44615</v>
      </c>
      <c r="C39" s="2">
        <v>-0.17</v>
      </c>
      <c r="D39" s="2">
        <v>-1.24</v>
      </c>
      <c r="E39" s="77"/>
    </row>
    <row r="40" spans="2:5" ht="13.5" customHeight="1" x14ac:dyDescent="0.3">
      <c r="B40" s="83">
        <v>44616</v>
      </c>
      <c r="C40" s="2">
        <v>-4.78</v>
      </c>
      <c r="D40" s="2">
        <v>-1.76</v>
      </c>
      <c r="E40" s="77"/>
    </row>
    <row r="41" spans="2:5" ht="13.5" customHeight="1" x14ac:dyDescent="0.3">
      <c r="B41" s="83">
        <v>44617</v>
      </c>
      <c r="C41" s="2">
        <v>2.5299999999999998</v>
      </c>
      <c r="D41" s="2">
        <v>2.09</v>
      </c>
      <c r="E41" s="77"/>
    </row>
    <row r="42" spans="2:5" ht="13.5" customHeight="1" x14ac:dyDescent="0.3">
      <c r="B42" s="83">
        <v>44620</v>
      </c>
      <c r="C42" s="2">
        <v>0.81</v>
      </c>
      <c r="D42" s="2">
        <v>3.4</v>
      </c>
      <c r="E42" s="77"/>
    </row>
    <row r="43" spans="2:5" ht="13.5" customHeight="1" x14ac:dyDescent="0.3">
      <c r="B43" s="83">
        <v>44622</v>
      </c>
      <c r="C43" s="2">
        <v>-1.1200000000000001</v>
      </c>
      <c r="D43" s="2">
        <v>0.34</v>
      </c>
      <c r="E43" s="77"/>
    </row>
    <row r="44" spans="2:5" ht="13.5" customHeight="1" x14ac:dyDescent="0.3">
      <c r="B44" s="83">
        <v>44623</v>
      </c>
      <c r="C44" s="2">
        <v>-0.65</v>
      </c>
      <c r="D44" s="2">
        <v>-0.42</v>
      </c>
      <c r="E44" s="77"/>
    </row>
    <row r="45" spans="2:5" ht="13.5" customHeight="1" x14ac:dyDescent="0.3">
      <c r="B45" s="83">
        <v>44624</v>
      </c>
      <c r="C45" s="2">
        <v>-1.53</v>
      </c>
      <c r="D45" s="2">
        <v>-4.24</v>
      </c>
      <c r="E45" s="77"/>
    </row>
    <row r="46" spans="2:5" ht="13.5" customHeight="1" x14ac:dyDescent="0.3">
      <c r="B46" s="83">
        <v>44627</v>
      </c>
      <c r="C46" s="2">
        <v>-2.35</v>
      </c>
      <c r="D46" s="2">
        <v>-6.14</v>
      </c>
      <c r="E46" s="77"/>
    </row>
    <row r="47" spans="2:5" ht="13.5" customHeight="1" x14ac:dyDescent="0.3">
      <c r="B47" s="83">
        <v>44628</v>
      </c>
      <c r="C47" s="2">
        <v>0.95</v>
      </c>
      <c r="D47" s="2">
        <v>3.08</v>
      </c>
      <c r="E47" s="77"/>
    </row>
    <row r="48" spans="2:5" ht="13.5" customHeight="1" x14ac:dyDescent="0.3">
      <c r="B48" s="83">
        <v>44629</v>
      </c>
      <c r="C48" s="2">
        <v>2.0699999999999998</v>
      </c>
      <c r="D48" s="2">
        <v>1.26</v>
      </c>
      <c r="E48" s="77"/>
    </row>
    <row r="49" spans="2:5" ht="13.5" customHeight="1" x14ac:dyDescent="0.3">
      <c r="B49" s="83">
        <v>44630</v>
      </c>
      <c r="C49" s="2">
        <v>1.53</v>
      </c>
      <c r="D49" s="2">
        <v>3.33</v>
      </c>
      <c r="E49" s="77"/>
    </row>
    <row r="50" spans="2:5" ht="13.5" customHeight="1" x14ac:dyDescent="0.3">
      <c r="B50" s="83">
        <v>44631</v>
      </c>
      <c r="C50" s="2">
        <v>0.21</v>
      </c>
      <c r="D50" s="2">
        <v>0.34</v>
      </c>
      <c r="E50" s="77"/>
    </row>
    <row r="51" spans="2:5" ht="13.5" customHeight="1" x14ac:dyDescent="0.3">
      <c r="B51" s="83">
        <v>44634</v>
      </c>
      <c r="C51" s="2">
        <v>1.45</v>
      </c>
      <c r="D51" s="2">
        <v>-1.27</v>
      </c>
      <c r="E51" s="77"/>
    </row>
    <row r="52" spans="2:5" ht="13.5" customHeight="1" x14ac:dyDescent="0.3">
      <c r="B52" s="83">
        <v>44635</v>
      </c>
      <c r="C52" s="2">
        <v>-1.23</v>
      </c>
      <c r="D52" s="2">
        <v>2.97</v>
      </c>
      <c r="E52" s="77"/>
    </row>
    <row r="53" spans="2:5" ht="13.5" customHeight="1" x14ac:dyDescent="0.3">
      <c r="B53" s="83">
        <v>44636</v>
      </c>
      <c r="C53" s="2">
        <v>1.87</v>
      </c>
      <c r="D53" s="2">
        <v>1.45</v>
      </c>
      <c r="E53" s="77"/>
    </row>
    <row r="54" spans="2:5" ht="13.5" customHeight="1" x14ac:dyDescent="0.3">
      <c r="B54" s="83">
        <v>44637</v>
      </c>
      <c r="C54" s="2">
        <v>1.84</v>
      </c>
      <c r="D54" s="2">
        <v>-0.79</v>
      </c>
      <c r="E54" s="77"/>
    </row>
    <row r="55" spans="2:5" ht="13.5" customHeight="1" x14ac:dyDescent="0.3">
      <c r="B55" s="83">
        <v>44641</v>
      </c>
      <c r="C55" s="2">
        <v>-0.98</v>
      </c>
      <c r="D55" s="2">
        <v>-1.91</v>
      </c>
      <c r="E55" s="77"/>
    </row>
    <row r="56" spans="2:5" ht="13.5" customHeight="1" x14ac:dyDescent="0.3">
      <c r="B56" s="83">
        <v>44642</v>
      </c>
      <c r="C56" s="2">
        <v>1.1599999999999999</v>
      </c>
      <c r="D56" s="2">
        <v>-2.83</v>
      </c>
      <c r="E56" s="77"/>
    </row>
    <row r="57" spans="2:5" ht="13.5" customHeight="1" x14ac:dyDescent="0.3">
      <c r="B57" s="83">
        <v>44643</v>
      </c>
      <c r="C57" s="2">
        <v>-0.4</v>
      </c>
      <c r="D57" s="2">
        <v>-2.09</v>
      </c>
      <c r="E57" s="77"/>
    </row>
    <row r="58" spans="2:5" ht="13.5" customHeight="1" x14ac:dyDescent="0.3">
      <c r="B58" s="83">
        <v>44644</v>
      </c>
      <c r="C58" s="2">
        <v>-0.13</v>
      </c>
      <c r="D58" s="2">
        <v>0.17</v>
      </c>
      <c r="E58" s="77"/>
    </row>
    <row r="59" spans="2:5" ht="13.5" customHeight="1" x14ac:dyDescent="0.3">
      <c r="B59" s="83">
        <v>44645</v>
      </c>
      <c r="C59" s="2">
        <v>-0.4</v>
      </c>
      <c r="D59" s="2">
        <v>-0.75</v>
      </c>
      <c r="E59" s="77"/>
    </row>
    <row r="60" spans="2:5" ht="13.5" customHeight="1" x14ac:dyDescent="0.3">
      <c r="B60" s="83">
        <v>44648</v>
      </c>
      <c r="C60" s="2">
        <v>0.4</v>
      </c>
      <c r="D60" s="2">
        <v>-0.89</v>
      </c>
      <c r="E60" s="77"/>
    </row>
    <row r="61" spans="2:5" ht="13.5" customHeight="1" x14ac:dyDescent="0.3">
      <c r="B61" s="83">
        <v>44649</v>
      </c>
      <c r="C61" s="2">
        <v>0.6</v>
      </c>
      <c r="D61" s="2">
        <v>0.13</v>
      </c>
      <c r="E61" s="77"/>
    </row>
    <row r="62" spans="2:5" ht="13.5" customHeight="1" x14ac:dyDescent="0.3">
      <c r="B62" s="83">
        <v>44650</v>
      </c>
      <c r="C62" s="2">
        <v>1</v>
      </c>
      <c r="D62" s="2">
        <v>2.31</v>
      </c>
      <c r="E62" s="77"/>
    </row>
    <row r="63" spans="2:5" ht="13.5" customHeight="1" x14ac:dyDescent="0.3">
      <c r="B63" s="83">
        <v>44651</v>
      </c>
      <c r="C63" s="2">
        <v>-0.19</v>
      </c>
      <c r="D63" s="2">
        <v>1.61</v>
      </c>
      <c r="E63" s="77"/>
    </row>
    <row r="64" spans="2:5" ht="13.5" customHeight="1" x14ac:dyDescent="0.3">
      <c r="B64" s="83">
        <v>44652</v>
      </c>
      <c r="C64" s="2">
        <v>1.18</v>
      </c>
      <c r="D64" s="2">
        <v>1.17</v>
      </c>
      <c r="E64" s="77"/>
    </row>
    <row r="65" spans="2:5" ht="13.5" customHeight="1" x14ac:dyDescent="0.3">
      <c r="B65" s="83">
        <v>44655</v>
      </c>
      <c r="C65" s="2">
        <v>2.17</v>
      </c>
      <c r="D65" s="2">
        <v>0.41</v>
      </c>
      <c r="E65" s="77"/>
    </row>
    <row r="66" spans="2:5" ht="13.5" customHeight="1" x14ac:dyDescent="0.3">
      <c r="B66" s="83">
        <v>44656</v>
      </c>
      <c r="C66" s="2">
        <v>-0.53</v>
      </c>
      <c r="D66" s="2">
        <v>0.79</v>
      </c>
      <c r="E66" s="77"/>
    </row>
    <row r="67" spans="2:5" ht="13.5" customHeight="1" x14ac:dyDescent="0.3">
      <c r="B67" s="83">
        <v>44657</v>
      </c>
      <c r="C67" s="2">
        <v>-0.83</v>
      </c>
      <c r="D67" s="2">
        <v>-1.37</v>
      </c>
      <c r="E67" s="77"/>
    </row>
    <row r="68" spans="2:5" ht="13.5" customHeight="1" x14ac:dyDescent="0.3">
      <c r="B68" s="83">
        <v>44658</v>
      </c>
      <c r="C68" s="2">
        <v>-0.94</v>
      </c>
      <c r="D68" s="2">
        <v>1.68</v>
      </c>
      <c r="E68" s="77"/>
    </row>
    <row r="69" spans="2:5" ht="13.5" customHeight="1" x14ac:dyDescent="0.3">
      <c r="B69" s="83">
        <v>44659</v>
      </c>
      <c r="C69" s="2">
        <v>0.82</v>
      </c>
      <c r="D69" s="2">
        <v>1.1599999999999999</v>
      </c>
      <c r="E69" s="77"/>
    </row>
    <row r="70" spans="2:5" ht="13.5" customHeight="1" x14ac:dyDescent="0.3">
      <c r="B70" s="83">
        <v>44662</v>
      </c>
      <c r="C70" s="2">
        <v>-0.62</v>
      </c>
      <c r="D70" s="2">
        <v>-0.82</v>
      </c>
      <c r="E70" s="77"/>
    </row>
    <row r="71" spans="2:5" ht="13.5" customHeight="1" x14ac:dyDescent="0.3">
      <c r="B71" s="83">
        <v>44663</v>
      </c>
      <c r="C71" s="2">
        <v>-0.82</v>
      </c>
      <c r="D71" s="2">
        <v>0.24</v>
      </c>
      <c r="E71" s="77"/>
    </row>
    <row r="72" spans="2:5" ht="13.5" customHeight="1" x14ac:dyDescent="0.3">
      <c r="B72" s="83">
        <v>44664</v>
      </c>
      <c r="C72" s="2">
        <v>-0.31</v>
      </c>
      <c r="D72" s="2">
        <v>0.39</v>
      </c>
      <c r="E72" s="77"/>
    </row>
    <row r="73" spans="2:5" ht="13.5" customHeight="1" x14ac:dyDescent="0.3">
      <c r="B73" s="83">
        <v>44669</v>
      </c>
      <c r="C73" s="2">
        <v>-1.73</v>
      </c>
      <c r="D73" s="2">
        <v>1.22</v>
      </c>
      <c r="E73" s="77"/>
    </row>
    <row r="74" spans="2:5" ht="13.5" customHeight="1" x14ac:dyDescent="0.3">
      <c r="B74" s="83">
        <v>44670</v>
      </c>
      <c r="C74" s="2">
        <v>-1.25</v>
      </c>
      <c r="D74" s="2">
        <v>-2.4300000000000002</v>
      </c>
      <c r="E74" s="77"/>
    </row>
    <row r="75" spans="2:5" ht="13.5" customHeight="1" x14ac:dyDescent="0.3">
      <c r="B75" s="83">
        <v>44671</v>
      </c>
      <c r="C75" s="2">
        <v>1.05</v>
      </c>
      <c r="D75" s="2">
        <v>0.24</v>
      </c>
      <c r="E75" s="77"/>
    </row>
    <row r="76" spans="2:5" ht="13.5" customHeight="1" x14ac:dyDescent="0.3">
      <c r="B76" s="83">
        <v>44672</v>
      </c>
      <c r="C76" s="2">
        <v>1.49</v>
      </c>
      <c r="D76" s="2">
        <v>2.1</v>
      </c>
      <c r="E76" s="77"/>
    </row>
    <row r="77" spans="2:5" ht="13.5" customHeight="1" x14ac:dyDescent="0.3">
      <c r="B77" s="83">
        <v>44673</v>
      </c>
      <c r="C77" s="2">
        <v>-1.27</v>
      </c>
      <c r="D77" s="2">
        <v>-0.36</v>
      </c>
      <c r="E77" s="77"/>
    </row>
    <row r="78" spans="2:5" ht="13.5" customHeight="1" x14ac:dyDescent="0.3">
      <c r="B78" s="83">
        <v>44676</v>
      </c>
      <c r="C78" s="2">
        <v>-1.27</v>
      </c>
      <c r="D78" s="2">
        <v>-1.53</v>
      </c>
      <c r="E78" s="77"/>
    </row>
    <row r="79" spans="2:5" ht="13.5" customHeight="1" x14ac:dyDescent="0.3">
      <c r="B79" s="83">
        <v>44677</v>
      </c>
      <c r="C79" s="2">
        <v>1.46</v>
      </c>
      <c r="D79" s="2">
        <v>1.56</v>
      </c>
      <c r="E79" s="77"/>
    </row>
    <row r="80" spans="2:5" ht="13.5" customHeight="1" x14ac:dyDescent="0.3">
      <c r="B80" s="83">
        <v>44678</v>
      </c>
      <c r="C80" s="2">
        <v>-0.94</v>
      </c>
      <c r="D80" s="2">
        <v>-0.01</v>
      </c>
      <c r="E80" s="77"/>
    </row>
    <row r="81" spans="2:5" ht="13.5" customHeight="1" x14ac:dyDescent="0.3">
      <c r="B81" s="83">
        <v>44679</v>
      </c>
      <c r="C81" s="2">
        <v>1.21</v>
      </c>
      <c r="D81" s="2">
        <v>2.21</v>
      </c>
      <c r="E81" s="77"/>
    </row>
    <row r="82" spans="2:5" ht="13.5" customHeight="1" x14ac:dyDescent="0.3">
      <c r="B82" s="83">
        <v>44680</v>
      </c>
      <c r="C82" s="2">
        <v>-0.83</v>
      </c>
      <c r="D82" s="2">
        <v>-2.72</v>
      </c>
      <c r="E82" s="77"/>
    </row>
    <row r="83" spans="2:5" ht="13.5" customHeight="1" x14ac:dyDescent="0.3">
      <c r="B83" s="83">
        <v>44683</v>
      </c>
      <c r="C83" s="2">
        <v>-0.2</v>
      </c>
      <c r="D83" s="2">
        <v>0.09</v>
      </c>
      <c r="E83" s="77"/>
    </row>
    <row r="84" spans="2:5" ht="13.5" customHeight="1" x14ac:dyDescent="0.3">
      <c r="B84" s="83">
        <v>44685</v>
      </c>
      <c r="C84" s="2">
        <v>-2.29</v>
      </c>
      <c r="D84" s="2">
        <v>-3.44</v>
      </c>
      <c r="E84" s="77"/>
    </row>
    <row r="85" spans="2:5" ht="13.5" customHeight="1" x14ac:dyDescent="0.3">
      <c r="B85" s="83">
        <v>44686</v>
      </c>
      <c r="C85" s="2">
        <v>0.03</v>
      </c>
      <c r="D85" s="2">
        <v>-1.67</v>
      </c>
      <c r="E85" s="77"/>
    </row>
    <row r="86" spans="2:5" ht="13.5" customHeight="1" x14ac:dyDescent="0.3">
      <c r="B86" s="83">
        <v>44687</v>
      </c>
      <c r="C86" s="2">
        <v>-1.63</v>
      </c>
      <c r="D86" s="2">
        <v>-3.45</v>
      </c>
      <c r="E86" s="77"/>
    </row>
    <row r="87" spans="2:5" ht="13.5" customHeight="1" x14ac:dyDescent="0.3">
      <c r="B87" s="83">
        <v>44690</v>
      </c>
      <c r="C87" s="2">
        <v>-0.67</v>
      </c>
      <c r="D87" s="2">
        <v>-1.22</v>
      </c>
      <c r="E87" s="77"/>
    </row>
    <row r="88" spans="2:5" ht="13.5" customHeight="1" x14ac:dyDescent="0.3">
      <c r="B88" s="83">
        <v>44691</v>
      </c>
      <c r="C88" s="2">
        <v>-0.38</v>
      </c>
      <c r="D88" s="2">
        <v>-0.4</v>
      </c>
      <c r="E88" s="77"/>
    </row>
    <row r="89" spans="2:5" ht="13.5" customHeight="1" x14ac:dyDescent="0.3">
      <c r="B89" s="83">
        <v>44692</v>
      </c>
      <c r="C89" s="2">
        <v>-0.45</v>
      </c>
      <c r="D89" s="2">
        <v>0.91</v>
      </c>
      <c r="E89" s="77"/>
    </row>
    <row r="90" spans="2:5" ht="13.5" customHeight="1" x14ac:dyDescent="0.3">
      <c r="B90" s="83">
        <v>44693</v>
      </c>
      <c r="C90" s="2">
        <v>-2.2200000000000002</v>
      </c>
      <c r="D90" s="2">
        <v>-1.73</v>
      </c>
      <c r="E90" s="77"/>
    </row>
    <row r="91" spans="2:5" ht="13.5" customHeight="1" x14ac:dyDescent="0.3">
      <c r="B91" s="83">
        <v>44694</v>
      </c>
      <c r="C91" s="2">
        <v>-0.16</v>
      </c>
      <c r="D91" s="2">
        <v>0.49</v>
      </c>
      <c r="E91" s="77"/>
    </row>
    <row r="92" spans="2:5" ht="13.5" customHeight="1" x14ac:dyDescent="0.3">
      <c r="B92" s="83">
        <v>44697</v>
      </c>
      <c r="C92" s="2">
        <v>0.38</v>
      </c>
      <c r="D92" s="2">
        <v>-0.8</v>
      </c>
      <c r="E92" s="77"/>
    </row>
    <row r="93" spans="2:5" ht="13.5" customHeight="1" x14ac:dyDescent="0.3">
      <c r="B93" s="83">
        <v>44698</v>
      </c>
      <c r="C93" s="2">
        <v>2.63</v>
      </c>
      <c r="D93" s="2">
        <v>1.02</v>
      </c>
      <c r="E93" s="77"/>
    </row>
    <row r="94" spans="2:5" ht="13.5" customHeight="1" x14ac:dyDescent="0.3">
      <c r="B94" s="83">
        <v>44699</v>
      </c>
      <c r="C94" s="2">
        <v>-0.12</v>
      </c>
      <c r="D94" s="2">
        <v>1.58</v>
      </c>
      <c r="E94" s="77"/>
    </row>
    <row r="95" spans="2:5" ht="13.5" customHeight="1" x14ac:dyDescent="0.3">
      <c r="B95" s="83">
        <v>44700</v>
      </c>
      <c r="C95" s="2">
        <v>-2.65</v>
      </c>
      <c r="D95" s="2">
        <v>-3.47</v>
      </c>
      <c r="E95" s="77"/>
    </row>
    <row r="96" spans="2:5" ht="13.5" customHeight="1" x14ac:dyDescent="0.3">
      <c r="B96" s="83">
        <v>44701</v>
      </c>
      <c r="C96" s="2">
        <v>2.89</v>
      </c>
      <c r="D96" s="2">
        <v>2.29</v>
      </c>
      <c r="E96" s="77"/>
    </row>
    <row r="97" spans="2:5" ht="13.5" customHeight="1" x14ac:dyDescent="0.3">
      <c r="B97" s="83">
        <v>44704</v>
      </c>
      <c r="C97" s="2">
        <v>-0.32</v>
      </c>
      <c r="D97" s="2">
        <v>0.59</v>
      </c>
      <c r="E97" s="77"/>
    </row>
    <row r="98" spans="2:5" ht="13.5" customHeight="1" x14ac:dyDescent="0.3">
      <c r="B98" s="83">
        <v>44705</v>
      </c>
      <c r="C98" s="2">
        <v>-0.55000000000000004</v>
      </c>
      <c r="D98" s="2">
        <v>-0.82</v>
      </c>
      <c r="E98" s="77"/>
    </row>
    <row r="99" spans="2:5" ht="13.5" customHeight="1" x14ac:dyDescent="0.3">
      <c r="B99" s="83">
        <v>44706</v>
      </c>
      <c r="C99" s="2">
        <v>-0.62</v>
      </c>
      <c r="D99" s="2">
        <v>-1.53</v>
      </c>
      <c r="E99" s="77"/>
    </row>
    <row r="100" spans="2:5" ht="13.5" customHeight="1" x14ac:dyDescent="0.3">
      <c r="B100" s="83">
        <v>44707</v>
      </c>
      <c r="C100" s="2">
        <v>0.9</v>
      </c>
      <c r="D100" s="2">
        <v>0.69</v>
      </c>
      <c r="E100" s="77"/>
    </row>
    <row r="101" spans="2:5" ht="13.5" customHeight="1" x14ac:dyDescent="0.3">
      <c r="B101" s="83">
        <v>44708</v>
      </c>
      <c r="C101" s="2">
        <v>1.1299999999999999</v>
      </c>
      <c r="D101" s="2">
        <v>-0.03</v>
      </c>
      <c r="E101" s="77"/>
    </row>
    <row r="102" spans="2:5" ht="13.5" customHeight="1" x14ac:dyDescent="0.3">
      <c r="B102" s="83">
        <v>44711</v>
      </c>
      <c r="C102" s="2">
        <v>1.89</v>
      </c>
      <c r="D102" s="2">
        <v>2.4900000000000002</v>
      </c>
      <c r="E102" s="77"/>
    </row>
    <row r="103" spans="2:5" ht="13.5" customHeight="1" x14ac:dyDescent="0.3">
      <c r="B103" s="83">
        <v>44712</v>
      </c>
      <c r="C103" s="2">
        <v>-0.46</v>
      </c>
      <c r="D103" s="2">
        <v>1.74</v>
      </c>
      <c r="E103" s="77"/>
    </row>
    <row r="104" spans="2:5" ht="13.5" customHeight="1" x14ac:dyDescent="0.3">
      <c r="B104" s="83">
        <v>44713</v>
      </c>
      <c r="C104" s="2">
        <v>-0.37</v>
      </c>
      <c r="D104" s="2">
        <v>-0.28000000000000003</v>
      </c>
      <c r="E104" s="77"/>
    </row>
    <row r="105" spans="2:5" ht="13.5" customHeight="1" x14ac:dyDescent="0.3">
      <c r="B105" s="83">
        <v>44714</v>
      </c>
      <c r="C105" s="2">
        <v>0.64</v>
      </c>
      <c r="D105" s="2">
        <v>0.8</v>
      </c>
      <c r="E105" s="77"/>
    </row>
    <row r="106" spans="2:5" ht="13.5" customHeight="1" x14ac:dyDescent="0.3">
      <c r="B106" s="83">
        <v>44715</v>
      </c>
      <c r="C106" s="2">
        <v>-0.26</v>
      </c>
      <c r="D106" s="2">
        <v>-1.49</v>
      </c>
      <c r="E106" s="77"/>
    </row>
    <row r="107" spans="2:5" ht="13.5" customHeight="1" x14ac:dyDescent="0.3">
      <c r="B107" s="83">
        <v>44718</v>
      </c>
      <c r="C107" s="2">
        <v>-0.09</v>
      </c>
      <c r="D107" s="2">
        <v>-1.04</v>
      </c>
      <c r="E107" s="77"/>
    </row>
    <row r="108" spans="2:5" ht="13.5" customHeight="1" x14ac:dyDescent="0.3">
      <c r="B108" s="83">
        <v>44719</v>
      </c>
      <c r="C108" s="2">
        <v>-0.92</v>
      </c>
      <c r="D108" s="2">
        <v>-1.45</v>
      </c>
      <c r="E108" s="77"/>
    </row>
    <row r="109" spans="2:5" ht="13.5" customHeight="1" x14ac:dyDescent="0.3">
      <c r="B109" s="83">
        <v>44720</v>
      </c>
      <c r="C109" s="2">
        <v>-0.37</v>
      </c>
      <c r="D109" s="2">
        <v>-1.29</v>
      </c>
      <c r="E109" s="77"/>
    </row>
    <row r="110" spans="2:5" ht="13.5" customHeight="1" x14ac:dyDescent="0.3">
      <c r="B110" s="83">
        <v>44721</v>
      </c>
      <c r="C110" s="2">
        <v>0.74</v>
      </c>
      <c r="D110" s="2">
        <v>0.57999999999999996</v>
      </c>
      <c r="E110" s="77"/>
    </row>
    <row r="111" spans="2:5" ht="13.5" customHeight="1" x14ac:dyDescent="0.3">
      <c r="B111" s="83">
        <v>44722</v>
      </c>
      <c r="C111" s="2">
        <v>-1.68</v>
      </c>
      <c r="D111" s="2">
        <v>0.92</v>
      </c>
      <c r="E111" s="77"/>
    </row>
    <row r="112" spans="2:5" ht="13.5" customHeight="1" x14ac:dyDescent="0.3">
      <c r="B112" s="83">
        <v>44725</v>
      </c>
      <c r="C112" s="2">
        <v>-2.64</v>
      </c>
      <c r="D112" s="2">
        <v>-0.89</v>
      </c>
      <c r="E112" s="77"/>
    </row>
    <row r="113" spans="2:5" ht="13.5" customHeight="1" x14ac:dyDescent="0.3">
      <c r="B113" s="83">
        <v>44726</v>
      </c>
      <c r="C113" s="2">
        <v>-0.27</v>
      </c>
      <c r="D113" s="2">
        <v>-0.43</v>
      </c>
      <c r="E113" s="77"/>
    </row>
    <row r="114" spans="2:5" ht="13.5" customHeight="1" x14ac:dyDescent="0.3">
      <c r="B114" s="83">
        <v>44727</v>
      </c>
      <c r="C114" s="2">
        <v>-0.25</v>
      </c>
      <c r="D114" s="2">
        <v>0.13</v>
      </c>
      <c r="E114" s="77"/>
    </row>
    <row r="115" spans="2:5" ht="13.5" customHeight="1" x14ac:dyDescent="0.3">
      <c r="B115" s="83">
        <v>44728</v>
      </c>
      <c r="C115" s="2">
        <v>-2.11</v>
      </c>
      <c r="D115" s="2">
        <v>0.14000000000000001</v>
      </c>
      <c r="E115" s="77"/>
    </row>
    <row r="116" spans="2:5" ht="13.5" customHeight="1" x14ac:dyDescent="0.3">
      <c r="B116" s="83">
        <v>44729</v>
      </c>
      <c r="C116" s="2">
        <v>-0.44</v>
      </c>
      <c r="D116" s="2">
        <v>-2.4900000000000002</v>
      </c>
      <c r="E116" s="77"/>
    </row>
    <row r="117" spans="2:5" ht="13.5" customHeight="1" x14ac:dyDescent="0.3">
      <c r="B117" s="83">
        <v>44732</v>
      </c>
      <c r="C117" s="2">
        <v>0.37</v>
      </c>
      <c r="D117" s="2">
        <v>3.34</v>
      </c>
      <c r="E117" s="77"/>
    </row>
    <row r="118" spans="2:5" ht="13.5" customHeight="1" x14ac:dyDescent="0.3">
      <c r="B118" s="83">
        <v>44733</v>
      </c>
      <c r="C118" s="2">
        <v>1.88</v>
      </c>
      <c r="D118" s="2">
        <v>1.02</v>
      </c>
      <c r="E118" s="77"/>
    </row>
    <row r="119" spans="2:5" ht="13.5" customHeight="1" x14ac:dyDescent="0.3">
      <c r="B119" s="83">
        <v>44734</v>
      </c>
      <c r="C119" s="2">
        <v>-1.44</v>
      </c>
      <c r="D119" s="2">
        <v>-1.37</v>
      </c>
      <c r="E119" s="77"/>
    </row>
    <row r="120" spans="2:5" ht="13.5" customHeight="1" x14ac:dyDescent="0.3">
      <c r="B120" s="83">
        <v>44735</v>
      </c>
      <c r="C120" s="2">
        <v>0.93</v>
      </c>
      <c r="D120" s="2">
        <v>1.24</v>
      </c>
      <c r="E120" s="77"/>
    </row>
    <row r="121" spans="2:5" ht="13.5" customHeight="1" x14ac:dyDescent="0.3">
      <c r="B121" s="83">
        <v>44736</v>
      </c>
      <c r="C121" s="2">
        <v>0.92</v>
      </c>
      <c r="D121" s="2">
        <v>0.91</v>
      </c>
      <c r="E121" s="77"/>
    </row>
    <row r="122" spans="2:5" ht="13.5" customHeight="1" x14ac:dyDescent="0.3">
      <c r="B122" s="83">
        <v>44739</v>
      </c>
      <c r="C122" s="2">
        <v>0.85</v>
      </c>
      <c r="D122" s="2">
        <v>1.17</v>
      </c>
      <c r="E122" s="77"/>
    </row>
    <row r="123" spans="2:5" ht="13.5" customHeight="1" x14ac:dyDescent="0.3">
      <c r="B123" s="83">
        <v>44740</v>
      </c>
      <c r="C123" s="2">
        <v>0.11</v>
      </c>
      <c r="D123" s="2">
        <v>-0.7</v>
      </c>
      <c r="E123" s="77"/>
    </row>
    <row r="124" spans="2:5" ht="13.5" customHeight="1" x14ac:dyDescent="0.3">
      <c r="B124" s="83">
        <v>44741</v>
      </c>
      <c r="C124" s="2">
        <v>-0.32</v>
      </c>
      <c r="D124" s="2">
        <v>-2.13</v>
      </c>
      <c r="E124" s="77"/>
    </row>
    <row r="125" spans="2:5" ht="13.5" customHeight="1" x14ac:dyDescent="0.3">
      <c r="B125" s="83">
        <v>44742</v>
      </c>
      <c r="C125" s="2">
        <v>-0.12</v>
      </c>
      <c r="D125" s="2">
        <v>-1.05</v>
      </c>
      <c r="E125" s="77"/>
    </row>
    <row r="126" spans="2:5" ht="13.5" customHeight="1" x14ac:dyDescent="0.3">
      <c r="B126" s="83">
        <v>44743</v>
      </c>
      <c r="C126" s="2">
        <v>-0.18</v>
      </c>
      <c r="D126" s="2">
        <v>3.08</v>
      </c>
      <c r="E126" s="77"/>
    </row>
    <row r="127" spans="2:5" ht="13.5" customHeight="1" x14ac:dyDescent="0.3">
      <c r="B127" s="83">
        <v>44746</v>
      </c>
      <c r="C127" s="2">
        <v>0.53</v>
      </c>
      <c r="D127" s="2">
        <v>2.69</v>
      </c>
      <c r="E127" s="77"/>
    </row>
    <row r="128" spans="2:5" ht="13.5" customHeight="1" x14ac:dyDescent="0.3">
      <c r="B128" s="83">
        <v>44747</v>
      </c>
      <c r="C128" s="2">
        <v>-0.15</v>
      </c>
      <c r="D128" s="2">
        <v>1.0900000000000001</v>
      </c>
      <c r="E128" s="77"/>
    </row>
    <row r="129" spans="2:5" ht="13.5" customHeight="1" x14ac:dyDescent="0.3">
      <c r="B129" s="83">
        <v>44748</v>
      </c>
      <c r="C129" s="2">
        <v>1.1299999999999999</v>
      </c>
      <c r="D129" s="2">
        <v>2.31</v>
      </c>
      <c r="E129" s="77"/>
    </row>
    <row r="130" spans="2:5" ht="13.5" customHeight="1" x14ac:dyDescent="0.3">
      <c r="B130" s="83">
        <v>44749</v>
      </c>
      <c r="C130" s="2">
        <v>0.89</v>
      </c>
      <c r="D130" s="2">
        <v>0.11</v>
      </c>
      <c r="E130" s="77"/>
    </row>
    <row r="131" spans="2:5" ht="13.5" customHeight="1" x14ac:dyDescent="0.3">
      <c r="B131" s="83">
        <v>44750</v>
      </c>
      <c r="C131" s="2">
        <v>0.54</v>
      </c>
      <c r="D131" s="2">
        <v>0.06</v>
      </c>
      <c r="E131" s="77"/>
    </row>
    <row r="132" spans="2:5" ht="13.5" customHeight="1" x14ac:dyDescent="0.3">
      <c r="B132" s="83">
        <v>44753</v>
      </c>
      <c r="C132" s="2">
        <v>-0.03</v>
      </c>
      <c r="D132" s="2">
        <v>0.28000000000000003</v>
      </c>
      <c r="E132" s="77"/>
    </row>
    <row r="133" spans="2:5" ht="13.5" customHeight="1" x14ac:dyDescent="0.3">
      <c r="B133" s="83">
        <v>44754</v>
      </c>
      <c r="C133" s="2">
        <v>-0.97</v>
      </c>
      <c r="D133" s="2">
        <v>-0.36</v>
      </c>
      <c r="E133" s="77"/>
    </row>
    <row r="134" spans="2:5" ht="13.5" customHeight="1" x14ac:dyDescent="0.3">
      <c r="B134" s="83">
        <v>44755</v>
      </c>
      <c r="C134" s="2">
        <v>-0.56999999999999995</v>
      </c>
      <c r="D134" s="2">
        <v>0.34</v>
      </c>
      <c r="E134" s="77"/>
    </row>
    <row r="135" spans="2:5" ht="13.5" customHeight="1" x14ac:dyDescent="0.3">
      <c r="B135" s="83">
        <v>44756</v>
      </c>
      <c r="C135" s="2">
        <v>-0.18</v>
      </c>
      <c r="D135" s="2">
        <v>0.72</v>
      </c>
      <c r="E135" s="77"/>
    </row>
    <row r="136" spans="2:5" ht="13.5" customHeight="1" x14ac:dyDescent="0.3">
      <c r="B136" s="83">
        <v>44757</v>
      </c>
      <c r="C136" s="2">
        <v>0.69</v>
      </c>
      <c r="D136" s="2">
        <v>-0.16</v>
      </c>
      <c r="E136" s="77"/>
    </row>
    <row r="137" spans="2:5" ht="13.5" customHeight="1" x14ac:dyDescent="0.3">
      <c r="B137" s="83">
        <v>44760</v>
      </c>
      <c r="C137" s="2">
        <v>1.43</v>
      </c>
      <c r="D137" s="2">
        <v>0.32</v>
      </c>
      <c r="E137" s="77"/>
    </row>
    <row r="138" spans="2:5" ht="13.5" customHeight="1" x14ac:dyDescent="0.3">
      <c r="B138" s="83">
        <v>44761</v>
      </c>
      <c r="C138" s="2">
        <v>0.38</v>
      </c>
      <c r="D138" s="2">
        <v>-0.12</v>
      </c>
      <c r="E138" s="77"/>
    </row>
    <row r="139" spans="2:5" ht="13.5" customHeight="1" x14ac:dyDescent="0.3">
      <c r="B139" s="83">
        <v>44762</v>
      </c>
      <c r="C139" s="2">
        <v>1.1000000000000001</v>
      </c>
      <c r="D139" s="2">
        <v>1.6</v>
      </c>
      <c r="E139" s="77"/>
    </row>
    <row r="140" spans="2:5" ht="13.5" customHeight="1" x14ac:dyDescent="0.3">
      <c r="B140" s="83">
        <v>44763</v>
      </c>
      <c r="C140" s="2">
        <v>0.51</v>
      </c>
      <c r="D140" s="2">
        <v>2.95</v>
      </c>
      <c r="E140" s="77"/>
    </row>
    <row r="141" spans="2:5" ht="13.5" customHeight="1" x14ac:dyDescent="0.3">
      <c r="B141" s="83">
        <v>44764</v>
      </c>
      <c r="C141" s="2">
        <v>0.69</v>
      </c>
      <c r="D141" s="2">
        <v>0.76</v>
      </c>
      <c r="E141" s="77"/>
    </row>
    <row r="142" spans="2:5" ht="13.5" customHeight="1" x14ac:dyDescent="0.3">
      <c r="B142" s="83">
        <v>44767</v>
      </c>
      <c r="C142" s="2">
        <v>-0.53</v>
      </c>
      <c r="D142" s="2">
        <v>-1.46</v>
      </c>
      <c r="E142" s="77"/>
    </row>
    <row r="143" spans="2:5" ht="13.5" customHeight="1" x14ac:dyDescent="0.3">
      <c r="B143" s="83">
        <v>44768</v>
      </c>
      <c r="C143" s="2">
        <v>-0.88</v>
      </c>
      <c r="D143" s="2">
        <v>-1.7</v>
      </c>
      <c r="E143" s="77"/>
    </row>
    <row r="144" spans="2:5" ht="13.5" customHeight="1" x14ac:dyDescent="0.3">
      <c r="B144" s="83">
        <v>44769</v>
      </c>
      <c r="C144" s="2">
        <v>0.96</v>
      </c>
      <c r="D144" s="2">
        <v>1.7</v>
      </c>
      <c r="E144" s="77"/>
    </row>
    <row r="145" spans="2:5" ht="13.5" customHeight="1" x14ac:dyDescent="0.3">
      <c r="B145" s="83">
        <v>44770</v>
      </c>
      <c r="C145" s="2">
        <v>1.73</v>
      </c>
      <c r="D145" s="2">
        <v>0.87</v>
      </c>
      <c r="E145" s="77"/>
    </row>
    <row r="146" spans="2:5" ht="13.5" customHeight="1" x14ac:dyDescent="0.3">
      <c r="B146" s="83">
        <v>44771</v>
      </c>
      <c r="C146" s="2">
        <v>1.35</v>
      </c>
      <c r="D146" s="2">
        <v>1.99</v>
      </c>
      <c r="E146" s="77"/>
    </row>
    <row r="147" spans="2:5" ht="13.5" customHeight="1" x14ac:dyDescent="0.3">
      <c r="B147" s="83">
        <v>44774</v>
      </c>
      <c r="C147" s="2">
        <v>1.06</v>
      </c>
      <c r="D147" s="2">
        <v>-0.56000000000000005</v>
      </c>
      <c r="E147" s="77"/>
    </row>
    <row r="148" spans="2:5" ht="13.5" customHeight="1" x14ac:dyDescent="0.3">
      <c r="B148" s="83">
        <v>44775</v>
      </c>
      <c r="C148" s="2">
        <v>0.03</v>
      </c>
      <c r="D148" s="2">
        <v>-0.44</v>
      </c>
      <c r="E148" s="77"/>
    </row>
    <row r="149" spans="2:5" ht="13.5" customHeight="1" x14ac:dyDescent="0.3">
      <c r="B149" s="83">
        <v>44776</v>
      </c>
      <c r="C149" s="2">
        <v>0.25</v>
      </c>
      <c r="D149" s="2">
        <v>-1.46</v>
      </c>
      <c r="E149" s="77"/>
    </row>
    <row r="150" spans="2:5" ht="13.5" customHeight="1" x14ac:dyDescent="0.3">
      <c r="B150" s="83">
        <v>44777</v>
      </c>
      <c r="C150" s="2">
        <v>-0.04</v>
      </c>
      <c r="D150" s="2">
        <v>0.72</v>
      </c>
      <c r="E150" s="77"/>
    </row>
    <row r="151" spans="2:5" ht="13.5" customHeight="1" x14ac:dyDescent="0.3">
      <c r="B151" s="83">
        <v>44778</v>
      </c>
      <c r="C151" s="2">
        <v>0.09</v>
      </c>
      <c r="D151" s="2">
        <v>0.91</v>
      </c>
      <c r="E151" s="77"/>
    </row>
    <row r="152" spans="2:5" ht="13.5" customHeight="1" x14ac:dyDescent="0.3">
      <c r="B152" s="83">
        <v>44781</v>
      </c>
      <c r="C152" s="2">
        <v>0.73</v>
      </c>
      <c r="D152" s="2">
        <v>1.27</v>
      </c>
      <c r="E152" s="77"/>
    </row>
    <row r="153" spans="2:5" ht="13.5" customHeight="1" x14ac:dyDescent="0.3">
      <c r="B153" s="83">
        <v>44783</v>
      </c>
      <c r="C153" s="2">
        <v>0.06</v>
      </c>
      <c r="D153" s="2">
        <v>-0.26</v>
      </c>
      <c r="E153" s="77"/>
    </row>
    <row r="154" spans="2:5" ht="13.5" customHeight="1" x14ac:dyDescent="0.3">
      <c r="B154" s="83">
        <v>44784</v>
      </c>
      <c r="C154" s="2">
        <v>0.71</v>
      </c>
      <c r="D154" s="2">
        <v>-0.38</v>
      </c>
      <c r="E154" s="77"/>
    </row>
    <row r="155" spans="2:5" ht="13.5" customHeight="1" x14ac:dyDescent="0.3">
      <c r="B155" s="83">
        <v>44785</v>
      </c>
      <c r="C155" s="2">
        <v>0.22</v>
      </c>
      <c r="D155" s="2">
        <v>-0.19</v>
      </c>
      <c r="E155" s="77"/>
    </row>
    <row r="156" spans="2:5" ht="13.5" customHeight="1" x14ac:dyDescent="0.3">
      <c r="B156" s="83">
        <v>44789</v>
      </c>
      <c r="C156" s="2">
        <v>0.72</v>
      </c>
      <c r="D156" s="2">
        <v>-0.34</v>
      </c>
      <c r="E156" s="77"/>
    </row>
    <row r="157" spans="2:5" ht="13.5" customHeight="1" x14ac:dyDescent="0.3">
      <c r="B157" s="83">
        <v>44790</v>
      </c>
      <c r="C157" s="2">
        <v>0.67</v>
      </c>
      <c r="D157" s="2">
        <v>0.92</v>
      </c>
      <c r="E157" s="77"/>
    </row>
    <row r="158" spans="2:5" ht="13.5" customHeight="1" x14ac:dyDescent="0.3">
      <c r="B158" s="83">
        <v>44791</v>
      </c>
      <c r="C158" s="2">
        <v>7.0000000000000007E-2</v>
      </c>
      <c r="D158" s="2">
        <v>1.65</v>
      </c>
      <c r="E158" s="77"/>
    </row>
    <row r="159" spans="2:5" ht="13.5" customHeight="1" x14ac:dyDescent="0.3">
      <c r="B159" s="83">
        <v>44792</v>
      </c>
      <c r="C159" s="2">
        <v>-1.1000000000000001</v>
      </c>
      <c r="D159" s="2">
        <v>-1.24</v>
      </c>
      <c r="E159" s="77"/>
    </row>
    <row r="160" spans="2:5" ht="13.5" customHeight="1" x14ac:dyDescent="0.3">
      <c r="B160" s="83">
        <v>44795</v>
      </c>
      <c r="C160" s="2">
        <v>-1.51</v>
      </c>
      <c r="D160" s="2">
        <v>-0.51</v>
      </c>
      <c r="E160" s="77"/>
    </row>
    <row r="161" spans="2:5" ht="13.5" customHeight="1" x14ac:dyDescent="0.3">
      <c r="B161" s="83">
        <v>44796</v>
      </c>
      <c r="C161" s="2">
        <v>0.5</v>
      </c>
      <c r="D161" s="2">
        <v>0.67</v>
      </c>
      <c r="E161" s="77"/>
    </row>
    <row r="162" spans="2:5" ht="13.5" customHeight="1" x14ac:dyDescent="0.3">
      <c r="B162" s="83">
        <v>44797</v>
      </c>
      <c r="C162" s="2">
        <v>0.16</v>
      </c>
      <c r="D162" s="2">
        <v>-0.17</v>
      </c>
      <c r="E162" s="77"/>
    </row>
    <row r="163" spans="2:5" ht="13.5" customHeight="1" x14ac:dyDescent="0.3">
      <c r="B163" s="83">
        <v>44798</v>
      </c>
      <c r="C163" s="2">
        <v>-0.47</v>
      </c>
      <c r="D163" s="2">
        <v>-1.26</v>
      </c>
      <c r="E163" s="77"/>
    </row>
    <row r="164" spans="2:5" ht="13.5" customHeight="1" x14ac:dyDescent="0.3">
      <c r="B164" s="83">
        <v>44799</v>
      </c>
      <c r="C164" s="2">
        <v>0.21</v>
      </c>
      <c r="D164" s="2">
        <v>-1.33</v>
      </c>
      <c r="E164" s="77"/>
    </row>
    <row r="165" spans="2:5" ht="13.5" customHeight="1" x14ac:dyDescent="0.3">
      <c r="B165" s="83">
        <v>44802</v>
      </c>
      <c r="C165" s="2">
        <v>-1.4</v>
      </c>
      <c r="D165" s="2">
        <v>0.18</v>
      </c>
      <c r="E165" s="77"/>
    </row>
    <row r="166" spans="2:5" ht="13.5" customHeight="1" x14ac:dyDescent="0.3">
      <c r="B166" s="83">
        <v>44803</v>
      </c>
      <c r="C166" s="2">
        <v>2.58</v>
      </c>
      <c r="D166" s="2">
        <v>1.84</v>
      </c>
      <c r="E166" s="77"/>
    </row>
    <row r="167" spans="2:5" ht="13.5" customHeight="1" x14ac:dyDescent="0.3">
      <c r="B167" s="83">
        <v>44805</v>
      </c>
      <c r="C167" s="2">
        <v>-1.22</v>
      </c>
      <c r="D167" s="2">
        <v>-2.4</v>
      </c>
      <c r="E167" s="77"/>
    </row>
    <row r="168" spans="2:5" ht="13.5" customHeight="1" x14ac:dyDescent="0.3">
      <c r="B168" s="83">
        <v>44806</v>
      </c>
      <c r="C168" s="2">
        <v>-0.02</v>
      </c>
      <c r="D168" s="2">
        <v>0.19</v>
      </c>
      <c r="E168" s="77"/>
    </row>
    <row r="169" spans="2:5" ht="13.5" customHeight="1" x14ac:dyDescent="0.3">
      <c r="B169" s="83">
        <v>44809</v>
      </c>
      <c r="C169" s="2">
        <v>0.72</v>
      </c>
      <c r="D169" s="2">
        <v>-0.11</v>
      </c>
      <c r="E169" s="77"/>
    </row>
    <row r="170" spans="2:5" ht="13.5" customHeight="1" x14ac:dyDescent="0.3">
      <c r="B170" s="83">
        <v>44810</v>
      </c>
      <c r="C170" s="2">
        <v>-0.06</v>
      </c>
      <c r="D170" s="2">
        <v>0.16</v>
      </c>
      <c r="E170" s="77"/>
    </row>
    <row r="171" spans="2:5" ht="13.5" customHeight="1" x14ac:dyDescent="0.3">
      <c r="B171" s="83">
        <v>44811</v>
      </c>
      <c r="C171" s="2">
        <v>-0.18</v>
      </c>
      <c r="D171" s="2">
        <v>0.24</v>
      </c>
      <c r="E171" s="77"/>
    </row>
    <row r="172" spans="2:5" ht="13.5" customHeight="1" x14ac:dyDescent="0.3">
      <c r="B172" s="83">
        <v>44812</v>
      </c>
      <c r="C172" s="2">
        <v>0.99</v>
      </c>
      <c r="D172" s="2">
        <v>-0.34</v>
      </c>
      <c r="E172" s="77"/>
    </row>
    <row r="173" spans="2:5" ht="13.5" customHeight="1" x14ac:dyDescent="0.3">
      <c r="B173" s="83">
        <v>44813</v>
      </c>
      <c r="C173" s="2">
        <v>0.19</v>
      </c>
      <c r="D173" s="2">
        <v>0.79</v>
      </c>
      <c r="E173" s="77"/>
    </row>
    <row r="174" spans="2:5" ht="13.5" customHeight="1" x14ac:dyDescent="0.3">
      <c r="B174" s="83">
        <v>44816</v>
      </c>
      <c r="C174" s="2">
        <v>0.57999999999999996</v>
      </c>
      <c r="D174" s="2">
        <v>-0.78</v>
      </c>
      <c r="E174" s="77"/>
    </row>
    <row r="175" spans="2:5" ht="13.5" customHeight="1" x14ac:dyDescent="0.3">
      <c r="B175" s="83">
        <v>44817</v>
      </c>
      <c r="C175" s="2">
        <v>0.75</v>
      </c>
      <c r="D175" s="2">
        <v>0.11</v>
      </c>
      <c r="E175" s="77"/>
    </row>
    <row r="176" spans="2:5" ht="13.5" customHeight="1" x14ac:dyDescent="0.3">
      <c r="B176" s="83">
        <v>44818</v>
      </c>
      <c r="C176" s="2">
        <v>-0.37</v>
      </c>
      <c r="D176" s="2">
        <v>-0.7</v>
      </c>
      <c r="E176" s="77"/>
    </row>
    <row r="177" spans="2:5" ht="13.5" customHeight="1" x14ac:dyDescent="0.3">
      <c r="B177" s="83">
        <v>44819</v>
      </c>
      <c r="C177" s="2">
        <v>-0.7</v>
      </c>
      <c r="D177" s="2">
        <v>-0.63</v>
      </c>
      <c r="E177" s="77"/>
    </row>
    <row r="178" spans="2:5" ht="13.5" customHeight="1" x14ac:dyDescent="0.3">
      <c r="B178" s="83">
        <v>44820</v>
      </c>
      <c r="C178" s="2">
        <v>-1.94</v>
      </c>
      <c r="D178" s="2">
        <v>-3.03</v>
      </c>
      <c r="E178" s="77"/>
    </row>
    <row r="179" spans="2:5" ht="13.5" customHeight="1" x14ac:dyDescent="0.3">
      <c r="B179" s="83">
        <v>44823</v>
      </c>
      <c r="C179" s="2">
        <v>0.52</v>
      </c>
      <c r="D179" s="2">
        <v>0.32</v>
      </c>
      <c r="E179" s="77"/>
    </row>
    <row r="180" spans="2:5" ht="13.5" customHeight="1" x14ac:dyDescent="0.3">
      <c r="B180" s="83">
        <v>44824</v>
      </c>
      <c r="C180" s="2">
        <v>1.1000000000000001</v>
      </c>
      <c r="D180" s="2">
        <v>1.58</v>
      </c>
      <c r="E180" s="77"/>
    </row>
    <row r="181" spans="2:5" ht="13.5" customHeight="1" x14ac:dyDescent="0.3">
      <c r="B181" s="83">
        <v>44825</v>
      </c>
      <c r="C181" s="2">
        <v>-0.55000000000000004</v>
      </c>
      <c r="D181" s="2">
        <v>0.84</v>
      </c>
      <c r="E181" s="77"/>
    </row>
    <row r="182" spans="2:5" ht="13.5" customHeight="1" x14ac:dyDescent="0.3">
      <c r="B182" s="83">
        <v>44826</v>
      </c>
      <c r="C182" s="2">
        <v>-0.5</v>
      </c>
      <c r="D182" s="2">
        <v>2.52</v>
      </c>
      <c r="E182" s="77"/>
    </row>
    <row r="183" spans="2:5" ht="13.5" customHeight="1" x14ac:dyDescent="0.3">
      <c r="B183" s="83">
        <v>44827</v>
      </c>
      <c r="C183" s="2">
        <v>-1.72</v>
      </c>
      <c r="D183" s="2">
        <v>-1.23</v>
      </c>
      <c r="E183" s="77"/>
    </row>
    <row r="184" spans="2:5" ht="13.5" customHeight="1" x14ac:dyDescent="0.3">
      <c r="B184" s="83">
        <v>44830</v>
      </c>
      <c r="C184" s="2">
        <v>-1.8</v>
      </c>
      <c r="D184" s="2">
        <v>-2.17</v>
      </c>
      <c r="E184" s="77"/>
    </row>
    <row r="185" spans="2:5" ht="13.5" customHeight="1" x14ac:dyDescent="0.3">
      <c r="B185" s="83">
        <v>44831</v>
      </c>
      <c r="C185" s="2">
        <v>-0.05</v>
      </c>
      <c r="D185" s="2">
        <v>0.77</v>
      </c>
      <c r="E185" s="77"/>
    </row>
    <row r="186" spans="2:5" ht="13.5" customHeight="1" x14ac:dyDescent="0.3">
      <c r="B186" s="83">
        <v>44832</v>
      </c>
      <c r="C186" s="2">
        <v>-0.87</v>
      </c>
      <c r="D186" s="2">
        <v>0.63</v>
      </c>
      <c r="E186" s="77"/>
    </row>
    <row r="187" spans="2:5" ht="13.5" customHeight="1" x14ac:dyDescent="0.3">
      <c r="B187" s="83">
        <v>44833</v>
      </c>
      <c r="C187" s="2">
        <v>-0.24</v>
      </c>
      <c r="D187" s="2">
        <v>2.0699999999999998</v>
      </c>
      <c r="E187" s="77"/>
    </row>
    <row r="188" spans="2:5" ht="13.5" customHeight="1" x14ac:dyDescent="0.3">
      <c r="B188" s="83">
        <v>44834</v>
      </c>
      <c r="C188" s="2">
        <v>1.64</v>
      </c>
      <c r="D188" s="2">
        <v>-0.49</v>
      </c>
      <c r="E188" s="77"/>
    </row>
    <row r="189" spans="2:5" ht="13.5" customHeight="1" x14ac:dyDescent="0.3">
      <c r="B189" s="83">
        <v>44837</v>
      </c>
      <c r="C189" s="2">
        <v>-1.21</v>
      </c>
      <c r="D189" s="2">
        <v>-2.76</v>
      </c>
      <c r="E189" s="77"/>
    </row>
    <row r="190" spans="2:5" ht="13.5" customHeight="1" x14ac:dyDescent="0.3">
      <c r="B190" s="83">
        <v>44838</v>
      </c>
      <c r="C190" s="2">
        <v>2.29</v>
      </c>
      <c r="D190" s="2">
        <v>-0.6</v>
      </c>
      <c r="E190" s="77"/>
    </row>
    <row r="191" spans="2:5" ht="13.5" customHeight="1" x14ac:dyDescent="0.3">
      <c r="B191" s="83">
        <v>44840</v>
      </c>
      <c r="C191" s="2">
        <v>0.33</v>
      </c>
      <c r="D191" s="2">
        <v>-1.34</v>
      </c>
      <c r="E191" s="77"/>
    </row>
    <row r="192" spans="2:5" ht="13.5" customHeight="1" x14ac:dyDescent="0.3">
      <c r="B192" s="83">
        <v>44841</v>
      </c>
      <c r="C192" s="2">
        <v>-0.1</v>
      </c>
      <c r="D192" s="2">
        <v>-1.1399999999999999</v>
      </c>
      <c r="E192" s="77"/>
    </row>
    <row r="193" spans="2:5" ht="13.5" customHeight="1" x14ac:dyDescent="0.3">
      <c r="B193" s="83">
        <v>44844</v>
      </c>
      <c r="C193" s="2">
        <v>-0.43</v>
      </c>
      <c r="D193" s="2">
        <v>-2.0499999999999998</v>
      </c>
      <c r="E193" s="77"/>
    </row>
    <row r="194" spans="2:5" ht="13.5" customHeight="1" x14ac:dyDescent="0.3">
      <c r="B194" s="83">
        <v>44845</v>
      </c>
      <c r="C194" s="2">
        <v>-1.49</v>
      </c>
      <c r="D194" s="2">
        <v>-1.92</v>
      </c>
      <c r="E194" s="77"/>
    </row>
    <row r="195" spans="2:5" ht="13.5" customHeight="1" x14ac:dyDescent="0.3">
      <c r="B195" s="83">
        <v>44846</v>
      </c>
      <c r="C195" s="2">
        <v>0.82</v>
      </c>
      <c r="D195" s="2">
        <v>2.82</v>
      </c>
      <c r="E195" s="77"/>
    </row>
    <row r="196" spans="2:5" ht="13.5" customHeight="1" x14ac:dyDescent="0.3">
      <c r="B196" s="83">
        <v>44847</v>
      </c>
      <c r="C196" s="2">
        <v>-0.64</v>
      </c>
      <c r="D196" s="2">
        <v>-0.67</v>
      </c>
      <c r="E196" s="77"/>
    </row>
    <row r="197" spans="2:5" ht="13.5" customHeight="1" x14ac:dyDescent="0.3">
      <c r="B197" s="83">
        <v>44848</v>
      </c>
      <c r="C197" s="2">
        <v>1.01</v>
      </c>
      <c r="D197" s="2">
        <v>0.25</v>
      </c>
      <c r="E197" s="77"/>
    </row>
    <row r="198" spans="2:5" ht="13.5" customHeight="1" x14ac:dyDescent="0.3">
      <c r="B198" s="83">
        <v>44851</v>
      </c>
      <c r="C198" s="2">
        <v>0.73</v>
      </c>
      <c r="D198" s="2">
        <v>-0.26</v>
      </c>
      <c r="E198" s="77"/>
    </row>
    <row r="199" spans="2:5" ht="13.5" customHeight="1" x14ac:dyDescent="0.3">
      <c r="B199" s="83">
        <v>44852</v>
      </c>
      <c r="C199" s="2">
        <v>1.01</v>
      </c>
      <c r="D199" s="2">
        <v>0.26</v>
      </c>
      <c r="E199" s="77"/>
    </row>
    <row r="200" spans="2:5" ht="13.5" customHeight="1" x14ac:dyDescent="0.3">
      <c r="B200" s="83">
        <v>44853</v>
      </c>
      <c r="C200" s="2">
        <v>0.14000000000000001</v>
      </c>
      <c r="D200" s="2">
        <v>-0.99</v>
      </c>
      <c r="E200" s="77"/>
    </row>
    <row r="201" spans="2:5" ht="13.5" customHeight="1" x14ac:dyDescent="0.3">
      <c r="B201" s="83">
        <v>44854</v>
      </c>
      <c r="C201" s="2">
        <v>0.3</v>
      </c>
      <c r="D201" s="2">
        <v>1.87</v>
      </c>
      <c r="E201" s="77"/>
    </row>
    <row r="202" spans="2:5" ht="13.5" customHeight="1" x14ac:dyDescent="0.3">
      <c r="B202" s="83">
        <v>44855</v>
      </c>
      <c r="C202" s="2">
        <v>7.0000000000000007E-2</v>
      </c>
      <c r="D202" s="2">
        <v>0.37</v>
      </c>
      <c r="E202" s="77"/>
    </row>
    <row r="203" spans="2:5" ht="13.5" customHeight="1" x14ac:dyDescent="0.3">
      <c r="B203" s="83">
        <v>44858</v>
      </c>
      <c r="C203" s="2">
        <v>0.88</v>
      </c>
      <c r="D203" s="2">
        <v>-0.2</v>
      </c>
      <c r="E203" s="77"/>
    </row>
    <row r="204" spans="2:5" ht="13.5" customHeight="1" x14ac:dyDescent="0.3">
      <c r="B204" s="83">
        <v>44859</v>
      </c>
      <c r="C204" s="2">
        <v>-0.42</v>
      </c>
      <c r="D204" s="2">
        <v>-0.88</v>
      </c>
      <c r="E204" s="77"/>
    </row>
    <row r="205" spans="2:5" ht="13.5" customHeight="1" x14ac:dyDescent="0.3">
      <c r="B205" s="83">
        <v>44861</v>
      </c>
      <c r="C205" s="2">
        <v>0.46</v>
      </c>
      <c r="D205" s="2">
        <v>3.18</v>
      </c>
      <c r="E205" s="77"/>
    </row>
    <row r="206" spans="2:5" ht="13.5" customHeight="1" x14ac:dyDescent="0.3">
      <c r="B206" s="83">
        <v>44862</v>
      </c>
      <c r="C206" s="2">
        <v>0.28000000000000003</v>
      </c>
      <c r="D206" s="2">
        <v>0.36</v>
      </c>
      <c r="E206" s="77"/>
    </row>
    <row r="207" spans="2:5" ht="13.5" customHeight="1" x14ac:dyDescent="0.3">
      <c r="B207" s="83">
        <v>44865</v>
      </c>
      <c r="C207" s="2">
        <v>1.27</v>
      </c>
      <c r="D207" s="2">
        <v>0.66</v>
      </c>
      <c r="E207" s="77"/>
    </row>
    <row r="208" spans="2:5" ht="13.5" customHeight="1" x14ac:dyDescent="0.3">
      <c r="B208" s="83">
        <v>44866</v>
      </c>
      <c r="C208" s="2">
        <v>0.74</v>
      </c>
      <c r="D208" s="2">
        <v>1.64</v>
      </c>
      <c r="E208" s="77"/>
    </row>
    <row r="209" spans="2:5" ht="13.5" customHeight="1" x14ac:dyDescent="0.3">
      <c r="B209" s="83">
        <v>44867</v>
      </c>
      <c r="C209" s="2">
        <v>-0.34</v>
      </c>
      <c r="D209" s="2">
        <v>-0.27</v>
      </c>
      <c r="E209" s="77"/>
    </row>
    <row r="210" spans="2:5" ht="13.5" customHeight="1" x14ac:dyDescent="0.3">
      <c r="B210" s="83">
        <v>44868</v>
      </c>
      <c r="C210" s="2">
        <v>-0.17</v>
      </c>
      <c r="D210" s="2">
        <v>-0.69</v>
      </c>
      <c r="E210" s="77"/>
    </row>
    <row r="211" spans="2:5" ht="13.5" customHeight="1" x14ac:dyDescent="0.3">
      <c r="B211" s="83">
        <v>44869</v>
      </c>
      <c r="C211" s="2">
        <v>0.36</v>
      </c>
      <c r="D211" s="2">
        <v>0.28999999999999998</v>
      </c>
      <c r="E211" s="77"/>
    </row>
    <row r="212" spans="2:5" ht="13.5" customHeight="1" x14ac:dyDescent="0.3">
      <c r="B212" s="83">
        <v>44872</v>
      </c>
      <c r="C212" s="2">
        <v>0.47</v>
      </c>
      <c r="D212" s="2">
        <v>-0.7</v>
      </c>
      <c r="E212" s="77"/>
    </row>
    <row r="213" spans="2:5" ht="13.5" customHeight="1" x14ac:dyDescent="0.3">
      <c r="B213" s="83">
        <v>44874</v>
      </c>
      <c r="C213" s="2">
        <v>-0.25</v>
      </c>
      <c r="D213" s="2">
        <v>0.1</v>
      </c>
      <c r="E213" s="77"/>
    </row>
    <row r="214" spans="2:5" ht="13.5" customHeight="1" x14ac:dyDescent="0.3">
      <c r="B214" s="83">
        <v>44875</v>
      </c>
      <c r="C214" s="2">
        <v>-0.71</v>
      </c>
      <c r="D214" s="2">
        <v>-0.05</v>
      </c>
      <c r="E214" s="77"/>
    </row>
    <row r="215" spans="2:5" ht="13.5" customHeight="1" x14ac:dyDescent="0.3">
      <c r="B215" s="83">
        <v>44876</v>
      </c>
      <c r="C215" s="2">
        <v>1.78</v>
      </c>
      <c r="D215" s="2">
        <v>-0.14000000000000001</v>
      </c>
      <c r="E215" s="77"/>
    </row>
    <row r="216" spans="2:5" ht="13.5" customHeight="1" x14ac:dyDescent="0.3">
      <c r="B216" s="83">
        <v>44879</v>
      </c>
      <c r="C216" s="2">
        <v>-0.11</v>
      </c>
      <c r="D216" s="2">
        <v>0.02</v>
      </c>
      <c r="E216" s="77"/>
    </row>
    <row r="217" spans="2:5" ht="13.5" customHeight="1" x14ac:dyDescent="0.3">
      <c r="B217" s="83">
        <v>44880</v>
      </c>
      <c r="C217" s="2">
        <v>0.41</v>
      </c>
      <c r="D217" s="2">
        <v>-0.44</v>
      </c>
      <c r="E217" s="77"/>
    </row>
    <row r="218" spans="2:5" ht="13.5" customHeight="1" x14ac:dyDescent="0.3">
      <c r="B218" s="83">
        <v>44881</v>
      </c>
      <c r="C218" s="2">
        <v>0.03</v>
      </c>
      <c r="D218" s="2">
        <v>-0.13</v>
      </c>
      <c r="E218" s="77"/>
    </row>
    <row r="219" spans="2:5" ht="13.5" customHeight="1" x14ac:dyDescent="0.3">
      <c r="B219" s="83">
        <v>44882</v>
      </c>
      <c r="C219" s="2">
        <v>-0.36</v>
      </c>
      <c r="D219" s="2">
        <v>0.34</v>
      </c>
      <c r="E219" s="77"/>
    </row>
    <row r="220" spans="2:5" ht="13.5" customHeight="1" x14ac:dyDescent="0.3">
      <c r="B220" s="83">
        <v>44883</v>
      </c>
      <c r="C220" s="2">
        <v>-0.2</v>
      </c>
      <c r="D220" s="2">
        <v>-0.62</v>
      </c>
      <c r="E220" s="77"/>
    </row>
    <row r="221" spans="2:5" ht="13.5" customHeight="1" x14ac:dyDescent="0.3">
      <c r="B221" s="83">
        <v>44886</v>
      </c>
      <c r="C221" s="2">
        <v>-0.81</v>
      </c>
      <c r="D221" s="2">
        <v>0.42</v>
      </c>
      <c r="E221" s="77"/>
    </row>
    <row r="222" spans="2:5" ht="13.5" customHeight="1" x14ac:dyDescent="0.3">
      <c r="B222" s="83">
        <v>44887</v>
      </c>
      <c r="C222" s="2">
        <v>0.46</v>
      </c>
      <c r="D222" s="2">
        <v>-0.79</v>
      </c>
      <c r="E222" s="77"/>
    </row>
    <row r="223" spans="2:5" ht="13.5" customHeight="1" x14ac:dyDescent="0.3">
      <c r="B223" s="83">
        <v>44888</v>
      </c>
      <c r="C223" s="2">
        <v>0.13</v>
      </c>
      <c r="D223" s="2">
        <v>0.91</v>
      </c>
      <c r="E223" s="77"/>
    </row>
    <row r="224" spans="2:5" ht="13.5" customHeight="1" x14ac:dyDescent="0.3">
      <c r="B224" s="83">
        <v>44889</v>
      </c>
      <c r="C224" s="2">
        <v>1.19</v>
      </c>
      <c r="D224" s="2">
        <v>0.4</v>
      </c>
      <c r="E224" s="77"/>
    </row>
    <row r="225" spans="2:5" ht="13.5" customHeight="1" x14ac:dyDescent="0.3">
      <c r="B225" s="83">
        <v>44890</v>
      </c>
      <c r="C225" s="2">
        <v>0.16</v>
      </c>
      <c r="D225" s="2">
        <v>0.53</v>
      </c>
      <c r="E225" s="77"/>
    </row>
    <row r="226" spans="2:5" ht="13.5" customHeight="1" x14ac:dyDescent="0.3">
      <c r="B226" s="83">
        <v>44893</v>
      </c>
      <c r="C226" s="2">
        <v>0.27</v>
      </c>
      <c r="D226" s="2">
        <v>0.37</v>
      </c>
      <c r="E226" s="77"/>
    </row>
    <row r="227" spans="2:5" ht="13.5" customHeight="1" x14ac:dyDescent="0.3">
      <c r="B227" s="83">
        <v>44894</v>
      </c>
      <c r="C227" s="2">
        <v>0.3</v>
      </c>
      <c r="D227" s="2">
        <v>6.18</v>
      </c>
      <c r="E227" s="77"/>
    </row>
    <row r="228" spans="2:5" ht="13.5" customHeight="1" x14ac:dyDescent="0.3">
      <c r="B228" s="83">
        <v>44895</v>
      </c>
      <c r="C228" s="2">
        <v>0.75</v>
      </c>
      <c r="D228" s="2">
        <v>-0.8</v>
      </c>
      <c r="E228" s="77"/>
    </row>
    <row r="229" spans="2:5" ht="13.5" customHeight="1" x14ac:dyDescent="0.3">
      <c r="B229" s="83">
        <v>44896</v>
      </c>
      <c r="C229" s="2">
        <v>0.28999999999999998</v>
      </c>
      <c r="D229" s="2">
        <v>-0.26</v>
      </c>
      <c r="E229" s="77"/>
    </row>
    <row r="230" spans="2:5" ht="13.5" customHeight="1" x14ac:dyDescent="0.3">
      <c r="B230" s="83">
        <v>44897</v>
      </c>
      <c r="C230" s="2">
        <v>-0.62</v>
      </c>
      <c r="D230" s="2">
        <v>0.74</v>
      </c>
      <c r="E230" s="77"/>
    </row>
    <row r="231" spans="2:5" ht="13.5" customHeight="1" x14ac:dyDescent="0.3">
      <c r="B231" s="83">
        <v>44900</v>
      </c>
      <c r="C231" s="2">
        <v>0.03</v>
      </c>
      <c r="D231" s="2">
        <v>-0.69</v>
      </c>
      <c r="E231" s="77"/>
    </row>
    <row r="232" spans="2:5" ht="13.5" customHeight="1" x14ac:dyDescent="0.3">
      <c r="B232" s="83">
        <v>44901</v>
      </c>
      <c r="C232" s="2">
        <v>-0.31</v>
      </c>
      <c r="D232" s="2">
        <v>0.94</v>
      </c>
      <c r="E232" s="77"/>
    </row>
    <row r="233" spans="2:5" ht="13.5" customHeight="1" x14ac:dyDescent="0.3">
      <c r="B233" s="83">
        <v>44902</v>
      </c>
      <c r="C233" s="2">
        <v>-0.44</v>
      </c>
      <c r="D233" s="2">
        <v>1.63</v>
      </c>
      <c r="E233" s="77"/>
    </row>
    <row r="234" spans="2:5" ht="13.5" customHeight="1" x14ac:dyDescent="0.3">
      <c r="B234" s="83">
        <v>44903</v>
      </c>
      <c r="C234" s="2">
        <v>0.26</v>
      </c>
      <c r="D234" s="2">
        <v>0.36</v>
      </c>
      <c r="E234" s="77"/>
    </row>
    <row r="235" spans="2:5" ht="13.5" customHeight="1" x14ac:dyDescent="0.3">
      <c r="B235" s="83">
        <v>44904</v>
      </c>
      <c r="C235" s="2">
        <v>-0.61</v>
      </c>
      <c r="D235" s="2">
        <v>-0.93</v>
      </c>
      <c r="E235" s="77"/>
    </row>
    <row r="236" spans="2:5" ht="13.5" customHeight="1" x14ac:dyDescent="0.3">
      <c r="B236" s="83">
        <v>44907</v>
      </c>
      <c r="C236" s="2">
        <v>0</v>
      </c>
      <c r="D236" s="2">
        <v>0.62</v>
      </c>
      <c r="E236" s="77"/>
    </row>
    <row r="237" spans="2:5" ht="13.5" customHeight="1" x14ac:dyDescent="0.3">
      <c r="B237" s="83">
        <v>44908</v>
      </c>
      <c r="C237" s="2">
        <v>0.6</v>
      </c>
      <c r="D237" s="2">
        <v>-1.37</v>
      </c>
      <c r="E237" s="77"/>
    </row>
    <row r="238" spans="2:5" ht="13.5" customHeight="1" x14ac:dyDescent="0.3">
      <c r="B238" s="83">
        <v>44909</v>
      </c>
      <c r="C238" s="2">
        <v>0.28000000000000003</v>
      </c>
      <c r="D238" s="2">
        <v>-1.19</v>
      </c>
      <c r="E238" s="77"/>
    </row>
    <row r="239" spans="2:5" ht="13.5" customHeight="1" x14ac:dyDescent="0.3">
      <c r="B239" s="83">
        <v>44910</v>
      </c>
      <c r="C239" s="2">
        <v>-1.32</v>
      </c>
      <c r="D239" s="2">
        <v>-0.03</v>
      </c>
      <c r="E239" s="77"/>
    </row>
    <row r="240" spans="2:5" ht="13.5" customHeight="1" x14ac:dyDescent="0.3">
      <c r="B240" s="83">
        <v>44911</v>
      </c>
      <c r="C240" s="2">
        <v>-0.79</v>
      </c>
      <c r="D240" s="2">
        <v>-1.22</v>
      </c>
      <c r="E240" s="77"/>
    </row>
    <row r="241" spans="2:5" ht="13.5" customHeight="1" x14ac:dyDescent="0.3">
      <c r="B241" s="83">
        <v>44914</v>
      </c>
      <c r="C241" s="2">
        <v>0.83</v>
      </c>
      <c r="D241" s="2">
        <v>1.6</v>
      </c>
      <c r="E241" s="77"/>
    </row>
    <row r="242" spans="2:5" ht="13.5" customHeight="1" x14ac:dyDescent="0.3">
      <c r="B242" s="83">
        <v>44915</v>
      </c>
      <c r="C242" s="2">
        <v>-0.19</v>
      </c>
      <c r="D242" s="2">
        <v>-1.62</v>
      </c>
      <c r="E242" s="77"/>
    </row>
    <row r="243" spans="2:5" ht="13.5" customHeight="1" x14ac:dyDescent="0.3">
      <c r="B243" s="83">
        <v>44916</v>
      </c>
      <c r="C243" s="2">
        <v>-1.01</v>
      </c>
      <c r="D243" s="2">
        <v>-0.39</v>
      </c>
      <c r="E243" s="77"/>
    </row>
    <row r="244" spans="2:5" ht="13.5" customHeight="1" x14ac:dyDescent="0.3">
      <c r="B244" s="83">
        <v>44917</v>
      </c>
      <c r="C244" s="2">
        <v>-0.39</v>
      </c>
      <c r="D244" s="2">
        <v>0.09</v>
      </c>
      <c r="E244" s="77"/>
    </row>
    <row r="245" spans="2:5" ht="13.5" customHeight="1" x14ac:dyDescent="0.3">
      <c r="B245" s="83">
        <v>44918</v>
      </c>
      <c r="C245" s="2">
        <v>-1.77</v>
      </c>
      <c r="D245" s="2">
        <v>-2.06</v>
      </c>
      <c r="E245" s="77"/>
    </row>
    <row r="246" spans="2:5" ht="13.5" customHeight="1" x14ac:dyDescent="0.3">
      <c r="B246" s="83">
        <v>44921</v>
      </c>
      <c r="C246" s="2">
        <v>1.17</v>
      </c>
      <c r="D246" s="2">
        <v>0.04</v>
      </c>
      <c r="E246" s="77"/>
    </row>
    <row r="247" spans="2:5" ht="13.5" customHeight="1" x14ac:dyDescent="0.3">
      <c r="B247" s="83">
        <v>44922</v>
      </c>
      <c r="C247" s="2">
        <v>0.65</v>
      </c>
      <c r="D247" s="2">
        <v>1.31</v>
      </c>
      <c r="E247" s="77"/>
    </row>
    <row r="248" spans="2:5" ht="13.5" customHeight="1" x14ac:dyDescent="0.3">
      <c r="B248" s="83">
        <v>44923</v>
      </c>
      <c r="C248" s="2">
        <v>-0.05</v>
      </c>
      <c r="D248" s="2">
        <v>-0.76</v>
      </c>
      <c r="E248" s="77"/>
    </row>
    <row r="249" spans="2:5" ht="13.5" customHeight="1" x14ac:dyDescent="0.3">
      <c r="B249" s="83">
        <v>44924</v>
      </c>
      <c r="C249" s="2">
        <v>0.38</v>
      </c>
      <c r="D249" s="2">
        <v>-1.44</v>
      </c>
      <c r="E249" s="77"/>
    </row>
    <row r="250" spans="2:5" ht="13.5" customHeight="1" x14ac:dyDescent="0.3">
      <c r="B250" s="83">
        <v>44925</v>
      </c>
      <c r="C250" s="2">
        <v>-0.47</v>
      </c>
      <c r="D250" s="2">
        <v>0.09</v>
      </c>
      <c r="E250" s="77"/>
    </row>
    <row r="251" spans="2:5" ht="13.5" customHeight="1" x14ac:dyDescent="0.3">
      <c r="B251" s="83">
        <v>44928</v>
      </c>
      <c r="C251" s="2">
        <v>0.51</v>
      </c>
      <c r="D251" s="2">
        <v>0.02</v>
      </c>
      <c r="E251" s="77"/>
    </row>
    <row r="252" spans="2:5" ht="13.5" customHeight="1" x14ac:dyDescent="0.3">
      <c r="B252" s="83">
        <v>44929</v>
      </c>
      <c r="C252" s="2">
        <v>0.19</v>
      </c>
      <c r="D252" s="2">
        <v>-0.12</v>
      </c>
      <c r="E252" s="77"/>
    </row>
    <row r="253" spans="2:5" ht="13.5" customHeight="1" x14ac:dyDescent="0.3">
      <c r="B253" s="83">
        <v>44930</v>
      </c>
      <c r="C253" s="2">
        <v>-1.04</v>
      </c>
      <c r="D253" s="2">
        <v>-0.18</v>
      </c>
      <c r="E253" s="77"/>
    </row>
    <row r="254" spans="2:5" ht="13.5" customHeight="1" x14ac:dyDescent="0.3">
      <c r="B254" s="83">
        <v>44931</v>
      </c>
      <c r="C254" s="2">
        <v>-0.28000000000000003</v>
      </c>
      <c r="D254" s="2">
        <v>2.2999999999999998</v>
      </c>
      <c r="E254" s="77"/>
    </row>
    <row r="255" spans="2:5" ht="13.5" customHeight="1" x14ac:dyDescent="0.3">
      <c r="B255" s="83">
        <v>44932</v>
      </c>
      <c r="C255" s="2">
        <v>-0.74</v>
      </c>
      <c r="D255" s="2">
        <v>-3.47</v>
      </c>
      <c r="E255" s="77"/>
    </row>
    <row r="256" spans="2:5" ht="13.5" customHeight="1" x14ac:dyDescent="0.3">
      <c r="B256" s="83">
        <v>44935</v>
      </c>
      <c r="C256" s="2">
        <v>1.35</v>
      </c>
      <c r="D256" s="2">
        <v>-0.6</v>
      </c>
      <c r="E256" s="77"/>
    </row>
    <row r="257" spans="2:5" ht="13.5" customHeight="1" x14ac:dyDescent="0.3">
      <c r="B257" s="83">
        <v>44936</v>
      </c>
      <c r="C257" s="2">
        <v>-1.03</v>
      </c>
      <c r="D257" s="2">
        <v>0.92</v>
      </c>
      <c r="E257" s="77"/>
    </row>
    <row r="258" spans="2:5" ht="13.5" customHeight="1" x14ac:dyDescent="0.3">
      <c r="B258" s="83">
        <v>44937</v>
      </c>
      <c r="C258" s="2">
        <v>-0.1</v>
      </c>
      <c r="D258" s="2">
        <v>-1.1299999999999999</v>
      </c>
      <c r="E258" s="77"/>
    </row>
    <row r="259" spans="2:5" ht="13.5" customHeight="1" x14ac:dyDescent="0.3">
      <c r="B259" s="83">
        <v>44938</v>
      </c>
      <c r="C259" s="2">
        <v>-0.21</v>
      </c>
      <c r="D259" s="2">
        <v>-0.62</v>
      </c>
      <c r="E259" s="77"/>
    </row>
    <row r="260" spans="2:5" ht="13.5" customHeight="1" x14ac:dyDescent="0.3">
      <c r="B260" s="83">
        <v>44939</v>
      </c>
      <c r="C260" s="2">
        <v>0.55000000000000004</v>
      </c>
      <c r="D260" s="2">
        <v>-0.23</v>
      </c>
      <c r="E260" s="77"/>
    </row>
    <row r="261" spans="2:5" ht="13.5" customHeight="1" x14ac:dyDescent="0.3">
      <c r="B261" s="83">
        <v>44942</v>
      </c>
      <c r="C261" s="2">
        <v>-0.34</v>
      </c>
      <c r="D261" s="2">
        <v>1.72</v>
      </c>
      <c r="E261" s="77"/>
    </row>
    <row r="262" spans="2:5" ht="13.5" customHeight="1" x14ac:dyDescent="0.3">
      <c r="B262" s="83">
        <v>44943</v>
      </c>
      <c r="C262" s="2">
        <v>0.89</v>
      </c>
      <c r="D262" s="2">
        <v>0.63</v>
      </c>
      <c r="E262" s="77"/>
    </row>
    <row r="263" spans="2:5" ht="13.5" customHeight="1" x14ac:dyDescent="0.3">
      <c r="B263" s="83">
        <v>44944</v>
      </c>
      <c r="C263" s="2">
        <v>0.62</v>
      </c>
      <c r="D263" s="2">
        <v>0.19</v>
      </c>
      <c r="E263" s="77"/>
    </row>
    <row r="264" spans="2:5" ht="13.5" customHeight="1" x14ac:dyDescent="0.3">
      <c r="B264" s="83">
        <v>44945</v>
      </c>
      <c r="C264" s="2">
        <v>-0.32</v>
      </c>
      <c r="D264" s="2">
        <v>-0.48</v>
      </c>
      <c r="E264" s="77"/>
    </row>
    <row r="265" spans="2:5" ht="13.5" customHeight="1" x14ac:dyDescent="0.3">
      <c r="B265" s="83">
        <v>44946</v>
      </c>
      <c r="C265" s="2">
        <v>-0.44</v>
      </c>
      <c r="D265" s="2">
        <v>1.99</v>
      </c>
      <c r="E265" s="77"/>
    </row>
    <row r="266" spans="2:5" ht="13.5" customHeight="1" x14ac:dyDescent="0.3">
      <c r="B266" s="83">
        <v>44949</v>
      </c>
      <c r="C266" s="2">
        <v>0.5</v>
      </c>
      <c r="D266" s="2">
        <v>-0.28000000000000003</v>
      </c>
      <c r="E266" s="77"/>
    </row>
    <row r="267" spans="2:5" ht="13.5" customHeight="1" x14ac:dyDescent="0.3">
      <c r="B267" s="83">
        <v>44950</v>
      </c>
      <c r="C267" s="2">
        <v>0</v>
      </c>
      <c r="D267" s="2">
        <v>0.45</v>
      </c>
      <c r="E267" s="77"/>
    </row>
    <row r="268" spans="2:5" ht="13.5" customHeight="1" x14ac:dyDescent="0.3">
      <c r="B268" s="83">
        <v>44951</v>
      </c>
      <c r="C268" s="2">
        <v>-1.25</v>
      </c>
      <c r="D268" s="2">
        <v>-0.64</v>
      </c>
      <c r="E268" s="77"/>
    </row>
    <row r="269" spans="2:5" ht="13.5" customHeight="1" x14ac:dyDescent="0.3">
      <c r="B269" s="83">
        <v>44953</v>
      </c>
      <c r="C269" s="2">
        <v>-1.61</v>
      </c>
      <c r="D269" s="2">
        <v>-0.22</v>
      </c>
      <c r="E269" s="77"/>
    </row>
    <row r="270" spans="2:5" ht="13.5" customHeight="1" x14ac:dyDescent="0.3">
      <c r="B270" s="83">
        <v>44956</v>
      </c>
      <c r="C270" s="2">
        <v>0.25</v>
      </c>
      <c r="D270" s="2">
        <v>-0.71</v>
      </c>
      <c r="E270" s="77"/>
    </row>
    <row r="271" spans="2:5" ht="13.5" customHeight="1" x14ac:dyDescent="0.3">
      <c r="B271" s="83">
        <v>44957</v>
      </c>
      <c r="C271" s="2">
        <v>7.0000000000000007E-2</v>
      </c>
      <c r="D271" s="2">
        <v>-0.05</v>
      </c>
      <c r="E271" s="77"/>
    </row>
    <row r="272" spans="2:5" ht="13.5" customHeight="1" x14ac:dyDescent="0.3">
      <c r="B272" s="83">
        <v>44958</v>
      </c>
      <c r="C272" s="2">
        <v>-0.26</v>
      </c>
      <c r="D272" s="2">
        <v>0.75</v>
      </c>
      <c r="E272" s="77"/>
    </row>
    <row r="273" spans="2:5" ht="13.5" customHeight="1" x14ac:dyDescent="0.3">
      <c r="B273" s="83">
        <v>44959</v>
      </c>
      <c r="C273" s="2">
        <v>-0.03</v>
      </c>
      <c r="D273" s="2">
        <v>-1.33</v>
      </c>
      <c r="E273" s="77"/>
    </row>
    <row r="274" spans="2:5" ht="13.5" customHeight="1" x14ac:dyDescent="0.3">
      <c r="B274" s="83">
        <v>44960</v>
      </c>
      <c r="C274" s="2">
        <v>1.38</v>
      </c>
      <c r="D274" s="2">
        <v>-3.74</v>
      </c>
      <c r="E274" s="77"/>
    </row>
    <row r="275" spans="2:5" ht="13.5" customHeight="1" x14ac:dyDescent="0.3">
      <c r="B275" s="83">
        <v>44963</v>
      </c>
      <c r="C275" s="2">
        <v>-0.5</v>
      </c>
      <c r="D275" s="2">
        <v>2.06</v>
      </c>
      <c r="E275" s="77"/>
    </row>
    <row r="276" spans="2:5" ht="13.5" customHeight="1" x14ac:dyDescent="0.3">
      <c r="B276" s="83">
        <v>44964</v>
      </c>
      <c r="C276" s="2">
        <v>-0.24</v>
      </c>
      <c r="D276" s="2">
        <v>-1.66</v>
      </c>
      <c r="E276" s="77"/>
    </row>
    <row r="277" spans="2:5" ht="13.5" customHeight="1" x14ac:dyDescent="0.3">
      <c r="B277" s="83">
        <v>44965</v>
      </c>
      <c r="C277" s="2">
        <v>0.85</v>
      </c>
      <c r="D277" s="2">
        <v>-0.32</v>
      </c>
      <c r="E277" s="77"/>
    </row>
    <row r="278" spans="2:5" ht="13.5" customHeight="1" x14ac:dyDescent="0.3">
      <c r="B278" s="83">
        <v>44966</v>
      </c>
      <c r="C278" s="2">
        <v>0.12</v>
      </c>
      <c r="D278" s="2">
        <v>-0.13</v>
      </c>
      <c r="E278" s="77"/>
    </row>
    <row r="279" spans="2:5" ht="13.5" customHeight="1" x14ac:dyDescent="0.3">
      <c r="B279" s="83">
        <v>44967</v>
      </c>
      <c r="C279" s="2">
        <v>-0.21</v>
      </c>
      <c r="D279" s="2">
        <v>-0.16</v>
      </c>
      <c r="E279" s="77"/>
    </row>
    <row r="280" spans="2:5" ht="13.5" customHeight="1" x14ac:dyDescent="0.3">
      <c r="B280" s="83">
        <v>44970</v>
      </c>
      <c r="C280" s="2">
        <v>-0.48</v>
      </c>
      <c r="D280" s="2">
        <v>0.39</v>
      </c>
      <c r="E280" s="77"/>
    </row>
    <row r="281" spans="2:5" ht="13.5" customHeight="1" x14ac:dyDescent="0.3">
      <c r="B281" s="83">
        <v>44971</v>
      </c>
      <c r="C281" s="2">
        <v>0.89</v>
      </c>
      <c r="D281" s="2">
        <v>-0.83</v>
      </c>
      <c r="E281" s="77"/>
    </row>
    <row r="282" spans="2:5" ht="13.5" customHeight="1" x14ac:dyDescent="0.3">
      <c r="B282" s="83">
        <v>44972</v>
      </c>
      <c r="C282" s="2">
        <v>0.48</v>
      </c>
      <c r="D282" s="2">
        <v>0.92</v>
      </c>
      <c r="E282" s="77"/>
    </row>
    <row r="283" spans="2:5" ht="13.5" customHeight="1" x14ac:dyDescent="0.3">
      <c r="B283" s="83">
        <v>44973</v>
      </c>
      <c r="C283" s="2">
        <v>0.11</v>
      </c>
      <c r="D283" s="2">
        <v>0.14000000000000001</v>
      </c>
      <c r="E283" s="77"/>
    </row>
    <row r="284" spans="2:5" ht="13.5" customHeight="1" x14ac:dyDescent="0.3">
      <c r="B284" s="83">
        <v>44974</v>
      </c>
      <c r="C284" s="2">
        <v>-0.51</v>
      </c>
      <c r="D284" s="2">
        <v>-0.21</v>
      </c>
      <c r="E284" s="77"/>
    </row>
    <row r="285" spans="2:5" ht="13.5" customHeight="1" x14ac:dyDescent="0.3">
      <c r="B285" s="83">
        <v>44977</v>
      </c>
      <c r="C285" s="2">
        <v>-0.56000000000000005</v>
      </c>
      <c r="D285" s="2">
        <v>0.09</v>
      </c>
      <c r="E285" s="77"/>
    </row>
    <row r="286" spans="2:5" ht="13.5" customHeight="1" x14ac:dyDescent="0.3">
      <c r="B286" s="83">
        <v>44978</v>
      </c>
      <c r="C286" s="2">
        <v>-0.1</v>
      </c>
      <c r="D286" s="2">
        <v>0.03</v>
      </c>
      <c r="E286" s="77"/>
    </row>
    <row r="287" spans="2:5" ht="13.5" customHeight="1" x14ac:dyDescent="0.3">
      <c r="B287" s="83">
        <v>44979</v>
      </c>
      <c r="C287" s="2">
        <v>-1.53</v>
      </c>
      <c r="D287" s="2">
        <v>-0.36</v>
      </c>
      <c r="E287" s="77"/>
    </row>
    <row r="288" spans="2:5" ht="13.5" customHeight="1" x14ac:dyDescent="0.3">
      <c r="B288" s="83">
        <v>44980</v>
      </c>
      <c r="C288" s="2">
        <v>-0.25</v>
      </c>
      <c r="D288" s="2">
        <v>1.23</v>
      </c>
      <c r="E288" s="77"/>
    </row>
    <row r="289" spans="2:5" ht="13.5" customHeight="1" x14ac:dyDescent="0.3">
      <c r="B289" s="83">
        <v>44981</v>
      </c>
      <c r="C289" s="2">
        <v>-0.26</v>
      </c>
      <c r="D289" s="2">
        <v>-0.9</v>
      </c>
      <c r="E289" s="77"/>
    </row>
    <row r="290" spans="2:5" ht="13.5" customHeight="1" x14ac:dyDescent="0.3">
      <c r="B290" s="83">
        <v>44984</v>
      </c>
      <c r="C290" s="2">
        <v>-0.42</v>
      </c>
      <c r="D290" s="2">
        <v>-1.63</v>
      </c>
      <c r="E290" s="77"/>
    </row>
    <row r="291" spans="2:5" ht="13.5" customHeight="1" x14ac:dyDescent="0.3">
      <c r="B291" s="83">
        <v>44985</v>
      </c>
      <c r="C291" s="2">
        <v>-0.51</v>
      </c>
      <c r="D291" s="2">
        <v>1.22</v>
      </c>
      <c r="E291" s="77"/>
    </row>
    <row r="292" spans="2:5" ht="13.5" customHeight="1" x14ac:dyDescent="0.3">
      <c r="B292" s="83">
        <v>44986</v>
      </c>
      <c r="C292" s="2">
        <v>0.85</v>
      </c>
      <c r="D292" s="2">
        <v>-1</v>
      </c>
      <c r="E292" s="77"/>
    </row>
    <row r="293" spans="2:5" ht="13.5" customHeight="1" x14ac:dyDescent="0.3">
      <c r="B293" s="83">
        <v>44987</v>
      </c>
      <c r="C293" s="2">
        <v>-0.74</v>
      </c>
      <c r="D293" s="2">
        <v>0.54</v>
      </c>
      <c r="E293" s="77"/>
    </row>
    <row r="294" spans="2:5" ht="13.5" customHeight="1" x14ac:dyDescent="0.3">
      <c r="B294" s="83">
        <v>44988</v>
      </c>
      <c r="C294" s="2">
        <v>1.57</v>
      </c>
      <c r="D294" s="2">
        <v>0.89</v>
      </c>
      <c r="E294" s="77"/>
    </row>
    <row r="295" spans="2:5" ht="13.5" customHeight="1" x14ac:dyDescent="0.3">
      <c r="B295" s="83">
        <v>44991</v>
      </c>
      <c r="C295" s="2">
        <v>0.67</v>
      </c>
      <c r="D295" s="2">
        <v>0.41</v>
      </c>
      <c r="E295" s="77"/>
    </row>
    <row r="296" spans="2:5" ht="13.5" customHeight="1" x14ac:dyDescent="0.3">
      <c r="B296" s="83">
        <v>44993</v>
      </c>
      <c r="C296" s="2">
        <v>0.24</v>
      </c>
      <c r="D296" s="2">
        <v>-0.96</v>
      </c>
      <c r="E296" s="77"/>
    </row>
    <row r="297" spans="2:5" ht="13.5" customHeight="1" x14ac:dyDescent="0.3">
      <c r="B297" s="83">
        <v>44994</v>
      </c>
      <c r="C297" s="2">
        <v>-0.93</v>
      </c>
      <c r="D297" s="2">
        <v>-0.98</v>
      </c>
      <c r="E297" s="77"/>
    </row>
    <row r="298" spans="2:5" ht="13.5" customHeight="1" x14ac:dyDescent="0.3">
      <c r="B298" s="83">
        <v>44995</v>
      </c>
      <c r="C298" s="2">
        <v>-1</v>
      </c>
      <c r="D298" s="2">
        <v>0.63</v>
      </c>
      <c r="E298" s="77"/>
    </row>
    <row r="299" spans="2:5" ht="13.5" customHeight="1" x14ac:dyDescent="0.3">
      <c r="B299" s="83">
        <v>44998</v>
      </c>
      <c r="C299" s="2">
        <v>-1.49</v>
      </c>
      <c r="D299" s="2">
        <v>-1.21</v>
      </c>
      <c r="E299" s="77"/>
    </row>
    <row r="300" spans="2:5" ht="13.5" customHeight="1" x14ac:dyDescent="0.3">
      <c r="B300" s="83">
        <v>44999</v>
      </c>
      <c r="C300" s="2">
        <v>-0.65</v>
      </c>
      <c r="D300" s="2">
        <v>0.56000000000000005</v>
      </c>
      <c r="E300" s="77"/>
    </row>
    <row r="301" spans="2:5" ht="13.5" customHeight="1" x14ac:dyDescent="0.3">
      <c r="B301" s="83">
        <v>45000</v>
      </c>
      <c r="C301" s="2">
        <v>-0.42</v>
      </c>
      <c r="D301" s="2">
        <v>-0.88</v>
      </c>
      <c r="E301" s="77"/>
    </row>
    <row r="302" spans="2:5" ht="13.5" customHeight="1" x14ac:dyDescent="0.3">
      <c r="B302" s="83">
        <v>45001</v>
      </c>
      <c r="C302" s="2">
        <v>0.08</v>
      </c>
      <c r="D302" s="2">
        <v>2.42</v>
      </c>
      <c r="E302" s="77"/>
    </row>
    <row r="303" spans="2:5" ht="13.5" customHeight="1" x14ac:dyDescent="0.3">
      <c r="B303" s="83">
        <v>45002</v>
      </c>
      <c r="C303" s="2">
        <v>0.67</v>
      </c>
      <c r="D303" s="2">
        <v>0.31</v>
      </c>
      <c r="E303" s="77"/>
    </row>
    <row r="304" spans="2:5" ht="13.5" customHeight="1" x14ac:dyDescent="0.3">
      <c r="B304" s="83">
        <v>45005</v>
      </c>
      <c r="C304" s="2">
        <v>-0.65</v>
      </c>
      <c r="D304" s="2">
        <v>0.18</v>
      </c>
      <c r="E304" s="77"/>
    </row>
    <row r="305" spans="2:5" ht="13.5" customHeight="1" x14ac:dyDescent="0.3">
      <c r="B305" s="83">
        <v>45006</v>
      </c>
      <c r="C305" s="2">
        <v>0.7</v>
      </c>
      <c r="D305" s="2">
        <v>-0.89</v>
      </c>
      <c r="E305" s="77"/>
    </row>
    <row r="306" spans="2:5" ht="13.5" customHeight="1" x14ac:dyDescent="0.3">
      <c r="B306" s="83">
        <v>45007</v>
      </c>
      <c r="C306" s="2">
        <v>0.26</v>
      </c>
      <c r="D306" s="2">
        <v>1.47</v>
      </c>
      <c r="E306" s="77"/>
    </row>
    <row r="307" spans="2:5" ht="13.5" customHeight="1" x14ac:dyDescent="0.3">
      <c r="B307" s="83">
        <v>45008</v>
      </c>
      <c r="C307" s="2">
        <v>-0.44</v>
      </c>
      <c r="D307" s="2">
        <v>-0.14000000000000001</v>
      </c>
      <c r="E307" s="77"/>
    </row>
    <row r="308" spans="2:5" ht="13.5" customHeight="1" x14ac:dyDescent="0.3">
      <c r="B308" s="83">
        <v>45009</v>
      </c>
      <c r="C308" s="2">
        <v>-0.77</v>
      </c>
      <c r="D308" s="2">
        <v>-0.56000000000000005</v>
      </c>
      <c r="E308" s="77"/>
    </row>
    <row r="309" spans="2:5" ht="13.5" customHeight="1" x14ac:dyDescent="0.3">
      <c r="B309" s="83">
        <v>45012</v>
      </c>
      <c r="C309" s="2">
        <v>0.24</v>
      </c>
      <c r="D309" s="2">
        <v>0.94</v>
      </c>
      <c r="E309" s="77"/>
    </row>
    <row r="310" spans="2:5" ht="13.5" customHeight="1" x14ac:dyDescent="0.3">
      <c r="B310" s="83">
        <v>45013</v>
      </c>
      <c r="C310" s="2">
        <v>-0.2</v>
      </c>
      <c r="D310" s="2">
        <v>-1.41</v>
      </c>
      <c r="E310" s="77"/>
    </row>
    <row r="311" spans="2:5" ht="13.5" customHeight="1" x14ac:dyDescent="0.3">
      <c r="B311" s="83">
        <v>45014</v>
      </c>
      <c r="C311" s="2">
        <v>0.76</v>
      </c>
      <c r="D311" s="2">
        <v>0.35</v>
      </c>
      <c r="E311" s="77"/>
    </row>
    <row r="312" spans="2:5" ht="13.5" customHeight="1" x14ac:dyDescent="0.3">
      <c r="B312" s="83">
        <v>45016</v>
      </c>
      <c r="C312" s="2">
        <v>1.63</v>
      </c>
      <c r="D312" s="2">
        <v>1.73</v>
      </c>
      <c r="E312" s="77"/>
    </row>
    <row r="313" spans="2:5" ht="13.5" customHeight="1" x14ac:dyDescent="0.3">
      <c r="B313" s="83">
        <v>45019</v>
      </c>
      <c r="C313" s="2">
        <v>0.22</v>
      </c>
      <c r="D313" s="2">
        <v>0.5</v>
      </c>
      <c r="E313" s="77"/>
    </row>
    <row r="314" spans="2:5" ht="13.5" customHeight="1" x14ac:dyDescent="0.3">
      <c r="B314" s="83">
        <v>45021</v>
      </c>
      <c r="C314" s="2">
        <v>0.91</v>
      </c>
      <c r="D314" s="2">
        <v>0.08</v>
      </c>
      <c r="E314" s="77"/>
    </row>
    <row r="315" spans="2:5" ht="13.5" customHeight="1" x14ac:dyDescent="0.3">
      <c r="B315" s="83">
        <v>45022</v>
      </c>
      <c r="C315" s="2">
        <v>0.24</v>
      </c>
      <c r="D315" s="2">
        <v>-4.04</v>
      </c>
      <c r="E315" s="77"/>
    </row>
    <row r="316" spans="2:5" ht="13.5" customHeight="1" x14ac:dyDescent="0.3">
      <c r="B316" s="83">
        <v>45026</v>
      </c>
      <c r="C316" s="2">
        <v>0.14000000000000001</v>
      </c>
      <c r="D316" s="2">
        <v>-0.51</v>
      </c>
      <c r="E316" s="77"/>
    </row>
    <row r="317" spans="2:5" ht="13.5" customHeight="1" x14ac:dyDescent="0.3">
      <c r="B317" s="83">
        <v>45027</v>
      </c>
      <c r="C317" s="2">
        <v>0.56000000000000005</v>
      </c>
      <c r="D317" s="2">
        <v>-0.26</v>
      </c>
      <c r="E317" s="77"/>
    </row>
    <row r="318" spans="2:5" ht="13.5" customHeight="1" x14ac:dyDescent="0.3">
      <c r="B318" s="83">
        <v>45028</v>
      </c>
      <c r="C318" s="2">
        <v>0.51</v>
      </c>
      <c r="D318" s="2">
        <v>-0.8</v>
      </c>
      <c r="E318" s="77"/>
    </row>
    <row r="319" spans="2:5" ht="13.5" customHeight="1" x14ac:dyDescent="0.3">
      <c r="B319" s="83">
        <v>45029</v>
      </c>
      <c r="C319" s="2">
        <v>0.09</v>
      </c>
      <c r="D319" s="2">
        <v>1.84</v>
      </c>
      <c r="E319" s="77"/>
    </row>
    <row r="320" spans="2:5" ht="13.5" customHeight="1" x14ac:dyDescent="0.3">
      <c r="B320" s="83">
        <v>45033</v>
      </c>
      <c r="C320" s="2">
        <v>-0.68</v>
      </c>
      <c r="D320" s="2">
        <v>-0.57999999999999996</v>
      </c>
      <c r="E320" s="77"/>
    </row>
    <row r="321" spans="2:5" ht="13.5" customHeight="1" x14ac:dyDescent="0.3">
      <c r="B321" s="83">
        <v>45034</v>
      </c>
      <c r="C321" s="2">
        <v>-0.26</v>
      </c>
      <c r="D321" s="2">
        <v>-0.61</v>
      </c>
      <c r="E321" s="77"/>
    </row>
    <row r="322" spans="2:5" ht="13.5" customHeight="1" x14ac:dyDescent="0.3">
      <c r="B322" s="83">
        <v>45035</v>
      </c>
      <c r="C322" s="2">
        <v>-0.23</v>
      </c>
      <c r="D322" s="2">
        <v>-0.16</v>
      </c>
      <c r="E322" s="77"/>
    </row>
    <row r="323" spans="2:5" ht="13.5" customHeight="1" x14ac:dyDescent="0.3">
      <c r="B323" s="83">
        <v>45036</v>
      </c>
      <c r="C323" s="2">
        <v>0.03</v>
      </c>
      <c r="D323" s="2">
        <v>1.01</v>
      </c>
      <c r="E323" s="77"/>
    </row>
    <row r="324" spans="2:5" ht="13.5" customHeight="1" x14ac:dyDescent="0.3">
      <c r="B324" s="83">
        <v>45037</v>
      </c>
      <c r="C324" s="2">
        <v>0</v>
      </c>
      <c r="D324" s="2">
        <v>-0.03</v>
      </c>
      <c r="E324" s="77"/>
    </row>
    <row r="325" spans="2:5" ht="13.5" customHeight="1" x14ac:dyDescent="0.3">
      <c r="B325" s="83">
        <v>45040</v>
      </c>
      <c r="C325" s="2">
        <v>0.68</v>
      </c>
      <c r="D325" s="2">
        <v>-0.06</v>
      </c>
      <c r="E325" s="77"/>
    </row>
    <row r="326" spans="2:5" ht="13.5" customHeight="1" x14ac:dyDescent="0.3">
      <c r="B326" s="83">
        <v>45041</v>
      </c>
      <c r="C326" s="2">
        <v>0.15</v>
      </c>
      <c r="D326" s="2">
        <v>0.3</v>
      </c>
      <c r="E326" s="77"/>
    </row>
    <row r="327" spans="2:5" ht="13.5" customHeight="1" x14ac:dyDescent="0.3">
      <c r="B327" s="83">
        <v>45042</v>
      </c>
      <c r="C327" s="2">
        <v>0.25</v>
      </c>
      <c r="D327" s="2">
        <v>1.38</v>
      </c>
      <c r="E327" s="77"/>
    </row>
    <row r="328" spans="2:5" ht="13.5" customHeight="1" x14ac:dyDescent="0.3">
      <c r="B328" s="83">
        <v>45043</v>
      </c>
      <c r="C328" s="2">
        <v>0.56999999999999995</v>
      </c>
      <c r="D328" s="2">
        <v>-0.61</v>
      </c>
      <c r="E328" s="77"/>
    </row>
    <row r="329" spans="2:5" ht="13.5" customHeight="1" x14ac:dyDescent="0.3">
      <c r="B329" s="83">
        <v>45044</v>
      </c>
      <c r="C329" s="2">
        <v>0.84</v>
      </c>
      <c r="D329" s="2">
        <v>0.47</v>
      </c>
      <c r="E329" s="77"/>
    </row>
    <row r="330" spans="2:5" ht="13.5" customHeight="1" x14ac:dyDescent="0.3">
      <c r="B330" s="83">
        <v>45048</v>
      </c>
      <c r="C330" s="2">
        <v>0.46</v>
      </c>
      <c r="D330" s="2">
        <v>0.67</v>
      </c>
      <c r="E330" s="77"/>
    </row>
    <row r="331" spans="2:5" ht="13.5" customHeight="1" x14ac:dyDescent="0.3">
      <c r="B331" s="83">
        <v>45049</v>
      </c>
      <c r="C331" s="2">
        <v>-0.32</v>
      </c>
      <c r="D331" s="2">
        <v>0.28000000000000003</v>
      </c>
      <c r="E331" s="77"/>
    </row>
    <row r="332" spans="2:5" ht="13.5" customHeight="1" x14ac:dyDescent="0.3">
      <c r="B332" s="83">
        <v>45050</v>
      </c>
      <c r="C332" s="2">
        <v>0.92</v>
      </c>
      <c r="D332" s="2">
        <v>-1.4</v>
      </c>
      <c r="E332" s="77"/>
    </row>
    <row r="333" spans="2:5" ht="13.5" customHeight="1" x14ac:dyDescent="0.3">
      <c r="B333" s="83">
        <v>45051</v>
      </c>
      <c r="C333" s="2">
        <v>-1.02</v>
      </c>
      <c r="D333" s="2">
        <v>-4.79</v>
      </c>
      <c r="E333" s="77"/>
    </row>
    <row r="334" spans="2:5" ht="13.5" customHeight="1" x14ac:dyDescent="0.3">
      <c r="B334" s="83">
        <v>45054</v>
      </c>
      <c r="C334" s="2">
        <v>1.08</v>
      </c>
      <c r="D334" s="2">
        <v>1.76</v>
      </c>
      <c r="E334" s="77"/>
    </row>
    <row r="335" spans="2:5" ht="13.5" customHeight="1" x14ac:dyDescent="0.3">
      <c r="B335" s="83">
        <v>45055</v>
      </c>
      <c r="C335" s="2">
        <v>0.01</v>
      </c>
      <c r="D335" s="2">
        <v>0.78</v>
      </c>
      <c r="E335" s="77"/>
    </row>
    <row r="336" spans="2:5" ht="13.5" customHeight="1" x14ac:dyDescent="0.3">
      <c r="B336" s="83">
        <v>45056</v>
      </c>
      <c r="C336" s="2">
        <v>0.27</v>
      </c>
      <c r="D336" s="2">
        <v>-0.7</v>
      </c>
      <c r="E336" s="77"/>
    </row>
    <row r="337" spans="2:5" ht="13.5" customHeight="1" x14ac:dyDescent="0.3">
      <c r="B337" s="83">
        <v>45057</v>
      </c>
      <c r="C337" s="2">
        <v>-0.1</v>
      </c>
      <c r="D337" s="2">
        <v>1.1499999999999999</v>
      </c>
      <c r="E337" s="77"/>
    </row>
    <row r="338" spans="2:5" ht="13.5" customHeight="1" x14ac:dyDescent="0.3">
      <c r="B338" s="83">
        <v>45058</v>
      </c>
      <c r="C338" s="2">
        <v>0.1</v>
      </c>
      <c r="D338" s="2">
        <v>-0.36</v>
      </c>
      <c r="E338" s="77"/>
    </row>
    <row r="339" spans="2:5" ht="13.5" customHeight="1" x14ac:dyDescent="0.3">
      <c r="B339" s="83">
        <v>45061</v>
      </c>
      <c r="C339" s="2">
        <v>0.46</v>
      </c>
      <c r="D339" s="2">
        <v>2.84</v>
      </c>
      <c r="E339" s="77"/>
    </row>
    <row r="340" spans="2:5" ht="13.5" customHeight="1" x14ac:dyDescent="0.3">
      <c r="B340" s="83">
        <v>45062</v>
      </c>
      <c r="C340" s="2">
        <v>-0.61</v>
      </c>
      <c r="D340" s="2">
        <v>-0.43</v>
      </c>
      <c r="E340" s="77"/>
    </row>
    <row r="341" spans="2:5" ht="13.5" customHeight="1" x14ac:dyDescent="0.3">
      <c r="B341" s="83">
        <v>45063</v>
      </c>
      <c r="C341" s="2">
        <v>-0.56999999999999995</v>
      </c>
      <c r="D341" s="2">
        <v>-1.28</v>
      </c>
      <c r="E341" s="77"/>
    </row>
    <row r="342" spans="2:5" ht="13.5" customHeight="1" x14ac:dyDescent="0.3">
      <c r="B342" s="83">
        <v>45064</v>
      </c>
      <c r="C342" s="2">
        <v>-0.28000000000000003</v>
      </c>
      <c r="D342" s="2">
        <v>-0.1</v>
      </c>
      <c r="E342" s="77"/>
    </row>
    <row r="343" spans="2:5" ht="13.5" customHeight="1" x14ac:dyDescent="0.3">
      <c r="B343" s="83">
        <v>45065</v>
      </c>
      <c r="C343" s="2">
        <v>0.41</v>
      </c>
      <c r="D343" s="2">
        <v>-0.83</v>
      </c>
      <c r="E343" s="77"/>
    </row>
    <row r="344" spans="2:5" ht="13.5" customHeight="1" x14ac:dyDescent="0.3">
      <c r="B344" s="83">
        <v>45068</v>
      </c>
      <c r="C344" s="2">
        <v>0.61</v>
      </c>
      <c r="D344" s="2">
        <v>0.61</v>
      </c>
      <c r="E344" s="77"/>
    </row>
    <row r="345" spans="2:5" ht="13.5" customHeight="1" x14ac:dyDescent="0.3">
      <c r="B345" s="83">
        <v>45069</v>
      </c>
      <c r="C345" s="2">
        <v>0.18</v>
      </c>
      <c r="D345" s="2">
        <v>0.67</v>
      </c>
      <c r="E345" s="77"/>
    </row>
    <row r="346" spans="2:5" ht="13.5" customHeight="1" x14ac:dyDescent="0.3">
      <c r="B346" s="83">
        <v>45070</v>
      </c>
      <c r="C346" s="2">
        <v>-0.34</v>
      </c>
      <c r="D346" s="2">
        <v>0.18</v>
      </c>
      <c r="E346" s="77"/>
    </row>
    <row r="347" spans="2:5" ht="13.5" customHeight="1" x14ac:dyDescent="0.3">
      <c r="B347" s="83">
        <v>45071</v>
      </c>
      <c r="C347" s="2">
        <v>0.2</v>
      </c>
      <c r="D347" s="2">
        <v>0.66</v>
      </c>
      <c r="E347" s="77"/>
    </row>
    <row r="348" spans="2:5" ht="13.5" customHeight="1" x14ac:dyDescent="0.3">
      <c r="B348" s="83">
        <v>45072</v>
      </c>
      <c r="C348" s="2">
        <v>0.97</v>
      </c>
      <c r="D348" s="2">
        <v>2.25</v>
      </c>
      <c r="E348" s="77"/>
    </row>
    <row r="349" spans="2:5" ht="13.5" customHeight="1" x14ac:dyDescent="0.3">
      <c r="B349" s="83">
        <v>45075</v>
      </c>
      <c r="C349" s="2">
        <v>0.54</v>
      </c>
      <c r="D349" s="2">
        <v>1.1499999999999999</v>
      </c>
      <c r="E349" s="77"/>
    </row>
    <row r="350" spans="2:5" ht="13.5" customHeight="1" x14ac:dyDescent="0.3">
      <c r="B350" s="83">
        <v>45076</v>
      </c>
      <c r="C350" s="2">
        <v>0.19</v>
      </c>
      <c r="D350" s="2">
        <v>0.28000000000000003</v>
      </c>
      <c r="E350" s="77"/>
    </row>
    <row r="351" spans="2:5" ht="13.5" customHeight="1" x14ac:dyDescent="0.3">
      <c r="B351" s="83">
        <v>45077</v>
      </c>
      <c r="C351" s="2">
        <v>-0.53</v>
      </c>
      <c r="D351" s="2">
        <v>1</v>
      </c>
      <c r="E351" s="77"/>
    </row>
    <row r="352" spans="2:5" ht="13.5" customHeight="1" x14ac:dyDescent="0.3">
      <c r="B352" s="83">
        <v>45078</v>
      </c>
      <c r="C352" s="2">
        <v>-0.25</v>
      </c>
      <c r="D352" s="2">
        <v>0.27</v>
      </c>
      <c r="E352" s="77"/>
    </row>
    <row r="353" spans="2:5" ht="13.5" customHeight="1" x14ac:dyDescent="0.3">
      <c r="B353" s="83">
        <v>45079</v>
      </c>
      <c r="C353" s="2">
        <v>0.25</v>
      </c>
      <c r="D353" s="2">
        <v>0.05</v>
      </c>
      <c r="E353" s="77"/>
    </row>
    <row r="354" spans="2:5" ht="13.5" customHeight="1" x14ac:dyDescent="0.3">
      <c r="B354" s="83">
        <v>45082</v>
      </c>
      <c r="C354" s="2">
        <v>0.32</v>
      </c>
      <c r="D354" s="2">
        <v>-0.89</v>
      </c>
      <c r="E354" s="77"/>
    </row>
    <row r="355" spans="2:5" ht="13.5" customHeight="1" x14ac:dyDescent="0.3">
      <c r="B355" s="83">
        <v>45083</v>
      </c>
      <c r="C355" s="2">
        <v>0.03</v>
      </c>
      <c r="D355" s="2">
        <v>-0.86</v>
      </c>
      <c r="E355" s="77"/>
    </row>
    <row r="356" spans="2:5" ht="13.5" customHeight="1" x14ac:dyDescent="0.3">
      <c r="B356" s="83">
        <v>45084</v>
      </c>
      <c r="C356" s="2">
        <v>0.68</v>
      </c>
      <c r="D356" s="2">
        <v>1.64</v>
      </c>
      <c r="E356" s="77"/>
    </row>
    <row r="357" spans="2:5" ht="13.5" customHeight="1" x14ac:dyDescent="0.3">
      <c r="B357" s="83">
        <v>45085</v>
      </c>
      <c r="C357" s="2">
        <v>-0.49</v>
      </c>
      <c r="D357" s="2">
        <v>-0.79</v>
      </c>
      <c r="E357" s="77"/>
    </row>
    <row r="358" spans="2:5" ht="13.5" customHeight="1" x14ac:dyDescent="0.3">
      <c r="B358" s="83">
        <v>45086</v>
      </c>
      <c r="C358" s="2">
        <v>-0.38</v>
      </c>
      <c r="D358" s="2">
        <v>-0.39</v>
      </c>
      <c r="E358" s="77"/>
    </row>
    <row r="359" spans="2:5" ht="13.5" customHeight="1" x14ac:dyDescent="0.3">
      <c r="B359" s="83">
        <v>45089</v>
      </c>
      <c r="C359" s="2">
        <v>0.21</v>
      </c>
      <c r="D359" s="2">
        <v>0.66</v>
      </c>
      <c r="E359" s="77"/>
    </row>
    <row r="360" spans="2:5" ht="13.5" customHeight="1" x14ac:dyDescent="0.3">
      <c r="B360" s="83">
        <v>45090</v>
      </c>
      <c r="C360" s="2">
        <v>0.62</v>
      </c>
      <c r="D360" s="2">
        <v>1.24</v>
      </c>
      <c r="E360" s="77"/>
    </row>
    <row r="361" spans="2:5" ht="13.5" customHeight="1" x14ac:dyDescent="0.3">
      <c r="B361" s="83">
        <v>45091</v>
      </c>
      <c r="C361" s="2">
        <v>0.21</v>
      </c>
      <c r="D361" s="2">
        <v>0.34</v>
      </c>
      <c r="E361" s="77"/>
    </row>
    <row r="362" spans="2:5" ht="13.5" customHeight="1" x14ac:dyDescent="0.3">
      <c r="B362" s="83">
        <v>45092</v>
      </c>
      <c r="C362" s="2">
        <v>-0.36</v>
      </c>
      <c r="D362" s="2">
        <v>1.19</v>
      </c>
      <c r="E362" s="77"/>
    </row>
    <row r="363" spans="2:5" ht="13.5" customHeight="1" x14ac:dyDescent="0.3">
      <c r="B363" s="83">
        <v>45093</v>
      </c>
      <c r="C363" s="2">
        <v>0.74</v>
      </c>
      <c r="D363" s="2">
        <v>0.33</v>
      </c>
      <c r="E363" s="77"/>
    </row>
    <row r="364" spans="2:5" ht="13.5" customHeight="1" x14ac:dyDescent="0.3">
      <c r="B364" s="83">
        <v>45096</v>
      </c>
      <c r="C364" s="2">
        <v>-0.37</v>
      </c>
      <c r="D364" s="2">
        <v>-0.31</v>
      </c>
      <c r="E364" s="77"/>
    </row>
    <row r="365" spans="2:5" ht="13.5" customHeight="1" x14ac:dyDescent="0.3">
      <c r="B365" s="83">
        <v>45097</v>
      </c>
      <c r="C365" s="2">
        <v>0.33</v>
      </c>
      <c r="D365" s="2">
        <v>0.52</v>
      </c>
      <c r="E365" s="77"/>
    </row>
    <row r="366" spans="2:5" ht="13.5" customHeight="1" x14ac:dyDescent="0.3">
      <c r="B366" s="83">
        <v>45098</v>
      </c>
      <c r="C366" s="2">
        <v>0.21</v>
      </c>
      <c r="D366" s="2">
        <v>-0.87</v>
      </c>
      <c r="E366" s="77"/>
    </row>
    <row r="367" spans="2:5" ht="13.5" customHeight="1" x14ac:dyDescent="0.3">
      <c r="B367" s="83">
        <v>45099</v>
      </c>
      <c r="C367" s="2">
        <v>-0.45</v>
      </c>
      <c r="D367" s="2">
        <v>-0.78</v>
      </c>
      <c r="E367" s="77"/>
    </row>
    <row r="368" spans="2:5" ht="13.5" customHeight="1" x14ac:dyDescent="0.3">
      <c r="B368" s="83">
        <v>45100</v>
      </c>
      <c r="C368" s="2">
        <v>-0.56000000000000005</v>
      </c>
      <c r="D368" s="2">
        <v>0.12</v>
      </c>
      <c r="E368" s="77"/>
    </row>
    <row r="369" spans="2:5" ht="13.5" customHeight="1" x14ac:dyDescent="0.3">
      <c r="B369" s="83">
        <v>45103</v>
      </c>
      <c r="C369" s="2">
        <v>0.14000000000000001</v>
      </c>
      <c r="D369" s="2">
        <v>1.1000000000000001</v>
      </c>
      <c r="E369" s="77"/>
    </row>
    <row r="370" spans="2:5" ht="13.5" customHeight="1" x14ac:dyDescent="0.3">
      <c r="B370" s="83">
        <v>45104</v>
      </c>
      <c r="C370" s="2">
        <v>0.68</v>
      </c>
      <c r="D370" s="2">
        <v>0.18</v>
      </c>
      <c r="E370" s="77"/>
    </row>
    <row r="371" spans="2:5" ht="13.5" customHeight="1" x14ac:dyDescent="0.3">
      <c r="B371" s="83">
        <v>45105</v>
      </c>
      <c r="C371" s="2">
        <v>0.82</v>
      </c>
      <c r="D371" s="2">
        <v>0.61</v>
      </c>
      <c r="E371" s="77"/>
    </row>
    <row r="372" spans="2:5" ht="13.5" customHeight="1" x14ac:dyDescent="0.3">
      <c r="B372" s="83">
        <v>45107</v>
      </c>
      <c r="C372" s="2">
        <v>1.1399999999999999</v>
      </c>
      <c r="D372" s="2">
        <v>-0.2</v>
      </c>
      <c r="E372" s="77"/>
    </row>
    <row r="373" spans="2:5" ht="13.5" customHeight="1" x14ac:dyDescent="0.3">
      <c r="B373" s="83">
        <v>45110</v>
      </c>
      <c r="C373" s="2">
        <v>0.7</v>
      </c>
      <c r="D373" s="2">
        <v>1.62</v>
      </c>
      <c r="E373" s="77"/>
    </row>
    <row r="374" spans="2:5" ht="13.5" customHeight="1" x14ac:dyDescent="0.3">
      <c r="B374" s="83">
        <v>45111</v>
      </c>
      <c r="C374" s="2">
        <v>0.34</v>
      </c>
      <c r="D374" s="2">
        <v>-0.45</v>
      </c>
      <c r="E374" s="77"/>
    </row>
    <row r="375" spans="2:5" ht="13.5" customHeight="1" x14ac:dyDescent="0.3">
      <c r="B375" s="83">
        <v>45112</v>
      </c>
      <c r="C375" s="2">
        <v>0.05</v>
      </c>
      <c r="D375" s="2">
        <v>2.21</v>
      </c>
      <c r="E375" s="77"/>
    </row>
    <row r="376" spans="2:5" ht="13.5" customHeight="1" x14ac:dyDescent="0.3">
      <c r="B376" s="83">
        <v>45113</v>
      </c>
      <c r="C376" s="2">
        <v>0.51</v>
      </c>
      <c r="D376" s="2">
        <v>-0.08</v>
      </c>
      <c r="E376" s="77"/>
    </row>
    <row r="377" spans="2:5" ht="13.5" customHeight="1" x14ac:dyDescent="0.3">
      <c r="B377" s="83">
        <v>45114</v>
      </c>
      <c r="C377" s="2">
        <v>-0.85</v>
      </c>
      <c r="D377" s="2">
        <v>-3.34</v>
      </c>
      <c r="E377" s="77"/>
    </row>
    <row r="378" spans="2:5" ht="13.5" customHeight="1" x14ac:dyDescent="0.3">
      <c r="B378" s="83">
        <v>45117</v>
      </c>
      <c r="C378" s="2">
        <v>0.12</v>
      </c>
      <c r="D378" s="2">
        <v>0.09</v>
      </c>
      <c r="E378" s="77"/>
    </row>
    <row r="379" spans="2:5" ht="13.5" customHeight="1" x14ac:dyDescent="0.3">
      <c r="B379" s="83">
        <v>45118</v>
      </c>
      <c r="C379" s="2">
        <v>0.43</v>
      </c>
      <c r="D379" s="2">
        <v>1.56</v>
      </c>
      <c r="E379" s="77"/>
    </row>
    <row r="380" spans="2:5" ht="13.5" customHeight="1" x14ac:dyDescent="0.3">
      <c r="B380" s="83">
        <v>45119</v>
      </c>
      <c r="C380" s="2">
        <v>-0.28000000000000003</v>
      </c>
      <c r="D380" s="2">
        <v>0.3</v>
      </c>
      <c r="E380" s="77"/>
    </row>
    <row r="381" spans="2:5" ht="13.5" customHeight="1" x14ac:dyDescent="0.3">
      <c r="B381" s="83">
        <v>45120</v>
      </c>
      <c r="C381" s="2">
        <v>0.15</v>
      </c>
      <c r="D381" s="2">
        <v>-0.98</v>
      </c>
      <c r="E381" s="77"/>
    </row>
    <row r="382" spans="2:5" ht="13.5" customHeight="1" x14ac:dyDescent="0.3">
      <c r="B382" s="83">
        <v>45121</v>
      </c>
      <c r="C382" s="2">
        <v>0.78</v>
      </c>
      <c r="D382" s="2">
        <v>1.52</v>
      </c>
      <c r="E382" s="77"/>
    </row>
    <row r="383" spans="2:5" ht="13.5" customHeight="1" x14ac:dyDescent="0.3">
      <c r="B383" s="83">
        <v>45124</v>
      </c>
      <c r="C383" s="2">
        <v>0.75</v>
      </c>
      <c r="D383" s="2">
        <v>-0.72</v>
      </c>
      <c r="E383" s="77"/>
    </row>
    <row r="384" spans="2:5" ht="13.5" customHeight="1" x14ac:dyDescent="0.3">
      <c r="B384" s="83">
        <v>45125</v>
      </c>
      <c r="C384" s="2">
        <v>0.19</v>
      </c>
      <c r="D384" s="2">
        <v>-0.9</v>
      </c>
      <c r="E384" s="77"/>
    </row>
    <row r="385" spans="2:5" ht="13.5" customHeight="1" x14ac:dyDescent="0.3">
      <c r="B385" s="83">
        <v>45126</v>
      </c>
      <c r="C385" s="2">
        <v>0.42</v>
      </c>
      <c r="D385" s="2">
        <v>-0.42</v>
      </c>
      <c r="E385" s="77"/>
    </row>
    <row r="386" spans="2:5" ht="13.5" customHeight="1" x14ac:dyDescent="0.3">
      <c r="B386" s="83">
        <v>45127</v>
      </c>
      <c r="C386" s="2">
        <v>0.74</v>
      </c>
      <c r="D386" s="2">
        <v>0.69</v>
      </c>
      <c r="E386" s="77"/>
    </row>
    <row r="387" spans="2:5" ht="13.5" customHeight="1" x14ac:dyDescent="0.3">
      <c r="B387" s="83">
        <v>45128</v>
      </c>
      <c r="C387" s="2">
        <v>-1.17</v>
      </c>
      <c r="D387" s="2">
        <v>-1.84</v>
      </c>
      <c r="E387" s="77"/>
    </row>
    <row r="388" spans="2:5" ht="13.5" customHeight="1" x14ac:dyDescent="0.3">
      <c r="B388" s="83">
        <v>45131</v>
      </c>
      <c r="C388" s="2">
        <v>-0.37</v>
      </c>
      <c r="D388" s="2">
        <v>0.02</v>
      </c>
      <c r="E388" s="77"/>
    </row>
    <row r="389" spans="2:5" ht="13.5" customHeight="1" x14ac:dyDescent="0.3">
      <c r="B389" s="83">
        <v>45132</v>
      </c>
      <c r="C389" s="2">
        <v>0.04</v>
      </c>
      <c r="D389" s="2">
        <v>0.54</v>
      </c>
      <c r="E389" s="77"/>
    </row>
    <row r="390" spans="2:5" ht="13.5" customHeight="1" x14ac:dyDescent="0.3">
      <c r="B390" s="83">
        <v>45133</v>
      </c>
      <c r="C390" s="2">
        <v>0.5</v>
      </c>
      <c r="D390" s="2">
        <v>1.17</v>
      </c>
      <c r="E390" s="77"/>
    </row>
    <row r="391" spans="2:5" ht="13.5" customHeight="1" x14ac:dyDescent="0.3">
      <c r="B391" s="83">
        <v>45134</v>
      </c>
      <c r="C391" s="2">
        <v>-0.6</v>
      </c>
      <c r="D391" s="2">
        <v>-0.21</v>
      </c>
      <c r="E391" s="77"/>
    </row>
    <row r="392" spans="2:5" ht="13.5" customHeight="1" x14ac:dyDescent="0.3">
      <c r="B392" s="83">
        <v>45135</v>
      </c>
      <c r="C392" s="2">
        <v>-7.0000000000000007E-2</v>
      </c>
      <c r="D392" s="2">
        <v>1.38</v>
      </c>
      <c r="E392" s="77"/>
    </row>
    <row r="393" spans="2:5" ht="13.5" customHeight="1" x14ac:dyDescent="0.3">
      <c r="B393" s="83">
        <v>45138</v>
      </c>
      <c r="C393" s="2">
        <v>0.55000000000000004</v>
      </c>
      <c r="D393" s="2">
        <v>-1.05</v>
      </c>
      <c r="E393" s="77"/>
    </row>
    <row r="394" spans="2:5" ht="13.5" customHeight="1" x14ac:dyDescent="0.3">
      <c r="B394" s="83">
        <v>45139</v>
      </c>
      <c r="C394" s="2">
        <v>-0.1</v>
      </c>
      <c r="D394" s="2">
        <v>-1.19</v>
      </c>
      <c r="E394" s="77"/>
    </row>
    <row r="395" spans="2:5" ht="13.5" customHeight="1" x14ac:dyDescent="0.3">
      <c r="B395" s="83">
        <v>45140</v>
      </c>
      <c r="C395" s="2">
        <v>-1.05</v>
      </c>
      <c r="D395" s="2">
        <v>-0.55000000000000004</v>
      </c>
      <c r="E395" s="77"/>
    </row>
    <row r="396" spans="2:5" ht="13.5" customHeight="1" x14ac:dyDescent="0.3">
      <c r="B396" s="83">
        <v>45141</v>
      </c>
      <c r="C396" s="2">
        <v>-0.74</v>
      </c>
      <c r="D396" s="2">
        <v>-1.87</v>
      </c>
      <c r="E396" s="77"/>
    </row>
    <row r="397" spans="2:5" ht="13.5" customHeight="1" x14ac:dyDescent="0.3">
      <c r="B397" s="83">
        <v>45142</v>
      </c>
      <c r="C397" s="2">
        <v>0.7</v>
      </c>
      <c r="D397" s="2">
        <v>2.64</v>
      </c>
      <c r="E397" s="77"/>
    </row>
    <row r="398" spans="2:5" ht="13.5" customHeight="1" x14ac:dyDescent="0.3">
      <c r="B398" s="83">
        <v>45145</v>
      </c>
      <c r="C398" s="2">
        <v>0.41</v>
      </c>
      <c r="D398" s="2">
        <v>-0.77</v>
      </c>
      <c r="E398" s="77"/>
    </row>
    <row r="399" spans="2:5" ht="13.5" customHeight="1" x14ac:dyDescent="0.3">
      <c r="B399" s="83">
        <v>45146</v>
      </c>
      <c r="C399" s="2">
        <v>-0.13</v>
      </c>
      <c r="D399" s="2">
        <v>-0.51</v>
      </c>
      <c r="E399" s="77"/>
    </row>
    <row r="400" spans="2:5" ht="13.5" customHeight="1" x14ac:dyDescent="0.3">
      <c r="B400" s="83">
        <v>45147</v>
      </c>
      <c r="C400" s="2">
        <v>0.32</v>
      </c>
      <c r="D400" s="2">
        <v>1.73</v>
      </c>
      <c r="E400" s="77"/>
    </row>
    <row r="401" spans="2:5" ht="13.5" customHeight="1" x14ac:dyDescent="0.3">
      <c r="B401" s="83">
        <v>45148</v>
      </c>
      <c r="C401" s="2">
        <v>-0.46</v>
      </c>
      <c r="D401" s="2">
        <v>-0.1</v>
      </c>
      <c r="E401" s="77"/>
    </row>
    <row r="402" spans="2:5" ht="13.5" customHeight="1" x14ac:dyDescent="0.3">
      <c r="B402" s="83">
        <v>45149</v>
      </c>
      <c r="C402" s="2">
        <v>-0.59</v>
      </c>
      <c r="D402" s="2">
        <v>-1.47</v>
      </c>
      <c r="E402" s="77"/>
    </row>
    <row r="403" spans="2:5" ht="13.5" customHeight="1" x14ac:dyDescent="0.3">
      <c r="B403" s="83">
        <v>45152</v>
      </c>
      <c r="C403" s="2">
        <v>0.03</v>
      </c>
      <c r="D403" s="2">
        <v>0.3</v>
      </c>
      <c r="E403" s="77"/>
    </row>
    <row r="404" spans="2:5" ht="13.5" customHeight="1" x14ac:dyDescent="0.3">
      <c r="B404" s="83">
        <v>45154</v>
      </c>
      <c r="C404" s="2">
        <v>0.16</v>
      </c>
      <c r="D404" s="2">
        <v>0.09</v>
      </c>
      <c r="E404" s="77"/>
    </row>
    <row r="405" spans="2:5" ht="13.5" customHeight="1" x14ac:dyDescent="0.3">
      <c r="B405" s="83">
        <v>45155</v>
      </c>
      <c r="C405" s="2">
        <v>-0.51</v>
      </c>
      <c r="D405" s="2">
        <v>-0.73</v>
      </c>
      <c r="E405" s="77"/>
    </row>
    <row r="406" spans="2:5" ht="13.5" customHeight="1" x14ac:dyDescent="0.3">
      <c r="B406" s="83">
        <v>45156</v>
      </c>
      <c r="C406" s="2">
        <v>-0.28000000000000003</v>
      </c>
      <c r="D406" s="2">
        <v>0.77</v>
      </c>
      <c r="E406" s="77"/>
    </row>
    <row r="407" spans="2:5" ht="13.5" customHeight="1" x14ac:dyDescent="0.3">
      <c r="B407" s="83">
        <v>45159</v>
      </c>
      <c r="C407" s="2">
        <v>0.43</v>
      </c>
      <c r="D407" s="2">
        <v>0.4</v>
      </c>
      <c r="E407" s="77"/>
    </row>
    <row r="408" spans="2:5" ht="13.5" customHeight="1" x14ac:dyDescent="0.3">
      <c r="B408" s="83">
        <v>45160</v>
      </c>
      <c r="C408" s="2">
        <v>0.01</v>
      </c>
      <c r="D408" s="2">
        <v>1.23</v>
      </c>
      <c r="E408" s="77"/>
    </row>
    <row r="409" spans="2:5" ht="13.5" customHeight="1" x14ac:dyDescent="0.3">
      <c r="B409" s="83">
        <v>45161</v>
      </c>
      <c r="C409" s="2">
        <v>0.25</v>
      </c>
      <c r="D409" s="2">
        <v>-1.3</v>
      </c>
      <c r="E409" s="77"/>
    </row>
    <row r="410" spans="2:5" ht="13.5" customHeight="1" x14ac:dyDescent="0.3">
      <c r="B410" s="83">
        <v>45162</v>
      </c>
      <c r="C410" s="2">
        <v>-0.28999999999999998</v>
      </c>
      <c r="D410" s="2">
        <v>-0.42</v>
      </c>
      <c r="E410" s="77"/>
    </row>
    <row r="411" spans="2:5" ht="13.5" customHeight="1" x14ac:dyDescent="0.3">
      <c r="B411" s="83">
        <v>45163</v>
      </c>
      <c r="C411" s="2">
        <v>-0.62</v>
      </c>
      <c r="D411" s="2">
        <v>-1.21</v>
      </c>
      <c r="E411" s="77"/>
    </row>
    <row r="412" spans="2:5" ht="13.5" customHeight="1" x14ac:dyDescent="0.3">
      <c r="B412" s="83">
        <v>45166</v>
      </c>
      <c r="C412" s="2">
        <v>0.21</v>
      </c>
      <c r="D412" s="2">
        <v>-0.7</v>
      </c>
      <c r="E412" s="77"/>
    </row>
    <row r="413" spans="2:5" ht="13.5" customHeight="1" x14ac:dyDescent="0.3">
      <c r="B413" s="83">
        <v>45167</v>
      </c>
      <c r="C413" s="2">
        <v>0.19</v>
      </c>
      <c r="D413" s="2">
        <v>-0.72</v>
      </c>
      <c r="E413" s="77"/>
    </row>
    <row r="414" spans="2:5" ht="13.5" customHeight="1" x14ac:dyDescent="0.3">
      <c r="B414" s="83">
        <v>45168</v>
      </c>
      <c r="C414" s="2">
        <v>0.02</v>
      </c>
      <c r="D414" s="2">
        <v>0.86</v>
      </c>
      <c r="E414" s="77"/>
    </row>
    <row r="415" spans="2:5" ht="13.5" customHeight="1" x14ac:dyDescent="0.3">
      <c r="B415" s="83">
        <v>45169</v>
      </c>
      <c r="C415" s="2">
        <v>-0.48</v>
      </c>
      <c r="D415" s="2">
        <v>-0.32</v>
      </c>
      <c r="E415" s="77"/>
    </row>
    <row r="416" spans="2:5" ht="13.5" customHeight="1" x14ac:dyDescent="0.3">
      <c r="B416" s="83">
        <v>45170</v>
      </c>
      <c r="C416" s="2">
        <v>0.94</v>
      </c>
      <c r="D416" s="2">
        <v>0.05</v>
      </c>
      <c r="E416" s="77"/>
    </row>
    <row r="417" spans="2:5" ht="13.5" customHeight="1" x14ac:dyDescent="0.3">
      <c r="B417" s="83">
        <v>45173</v>
      </c>
      <c r="C417" s="2">
        <v>0.48</v>
      </c>
      <c r="D417" s="2">
        <v>0.82</v>
      </c>
      <c r="E417" s="77"/>
    </row>
    <row r="418" spans="2:5" ht="13.5" customHeight="1" x14ac:dyDescent="0.3">
      <c r="B418" s="83">
        <v>45174</v>
      </c>
      <c r="C418" s="2">
        <v>0.24</v>
      </c>
      <c r="D418" s="2">
        <v>0.35</v>
      </c>
      <c r="E418" s="77"/>
    </row>
    <row r="419" spans="2:5" ht="13.5" customHeight="1" x14ac:dyDescent="0.3">
      <c r="B419" s="83">
        <v>45175</v>
      </c>
      <c r="C419" s="2">
        <v>0.18</v>
      </c>
      <c r="D419" s="2">
        <v>0.3</v>
      </c>
      <c r="E419" s="77"/>
    </row>
    <row r="420" spans="2:5" ht="13.5" customHeight="1" x14ac:dyDescent="0.3">
      <c r="B420" s="83">
        <v>45176</v>
      </c>
      <c r="C420" s="2">
        <v>0.59</v>
      </c>
      <c r="D420" s="2">
        <v>0.79</v>
      </c>
      <c r="E420" s="77"/>
    </row>
    <row r="421" spans="2:5" ht="13.5" customHeight="1" x14ac:dyDescent="0.3">
      <c r="B421" s="83">
        <v>45177</v>
      </c>
      <c r="C421" s="2">
        <v>0.47</v>
      </c>
      <c r="D421" s="2">
        <v>0.19</v>
      </c>
      <c r="E421" s="77"/>
    </row>
    <row r="422" spans="2:5" ht="13.5" customHeight="1" x14ac:dyDescent="0.3">
      <c r="B422" s="83">
        <v>45180</v>
      </c>
      <c r="C422" s="2">
        <v>0.89</v>
      </c>
      <c r="D422" s="2">
        <v>0.46</v>
      </c>
      <c r="E422" s="77"/>
    </row>
    <row r="423" spans="2:5" ht="13.5" customHeight="1" x14ac:dyDescent="0.3">
      <c r="B423" s="83">
        <v>45181</v>
      </c>
      <c r="C423" s="2">
        <v>-0.02</v>
      </c>
      <c r="D423" s="2">
        <v>-0.7</v>
      </c>
      <c r="E423" s="77"/>
    </row>
    <row r="424" spans="2:5" ht="13.5" customHeight="1" x14ac:dyDescent="0.3">
      <c r="B424" s="83">
        <v>45182</v>
      </c>
      <c r="C424" s="2">
        <v>0.38</v>
      </c>
      <c r="D424" s="2">
        <v>-0.04</v>
      </c>
      <c r="E424" s="77"/>
    </row>
    <row r="425" spans="2:5" ht="13.5" customHeight="1" x14ac:dyDescent="0.3">
      <c r="B425" s="83">
        <v>45183</v>
      </c>
      <c r="C425" s="2">
        <v>0.16</v>
      </c>
      <c r="D425" s="2">
        <v>0.34</v>
      </c>
      <c r="E425" s="77"/>
    </row>
    <row r="426" spans="2:5" ht="13.5" customHeight="1" x14ac:dyDescent="0.3">
      <c r="B426" s="83">
        <v>45184</v>
      </c>
      <c r="C426" s="2">
        <v>0.44</v>
      </c>
      <c r="D426" s="2">
        <v>-0.34</v>
      </c>
      <c r="E426" s="77"/>
    </row>
    <row r="427" spans="2:5" ht="13.5" customHeight="1" x14ac:dyDescent="0.3">
      <c r="B427" s="83">
        <v>45187</v>
      </c>
      <c r="C427" s="2">
        <v>-0.28999999999999998</v>
      </c>
      <c r="D427" s="2">
        <v>0.03</v>
      </c>
      <c r="E427" s="77"/>
    </row>
    <row r="428" spans="2:5" ht="13.5" customHeight="1" x14ac:dyDescent="0.3">
      <c r="B428" s="83">
        <v>45189</v>
      </c>
      <c r="C428" s="2">
        <v>-1.1499999999999999</v>
      </c>
      <c r="D428" s="2">
        <v>-0.8</v>
      </c>
      <c r="E428" s="77"/>
    </row>
    <row r="429" spans="2:5" ht="13.5" customHeight="1" x14ac:dyDescent="0.3">
      <c r="B429" s="83">
        <v>45190</v>
      </c>
      <c r="C429" s="2">
        <v>-0.8</v>
      </c>
      <c r="D429" s="2">
        <v>-0.18</v>
      </c>
      <c r="E429" s="77"/>
    </row>
    <row r="430" spans="2:5" ht="13.5" customHeight="1" x14ac:dyDescent="0.3">
      <c r="B430" s="83">
        <v>45191</v>
      </c>
      <c r="C430" s="2">
        <v>-0.34</v>
      </c>
      <c r="D430" s="2">
        <v>0.21</v>
      </c>
      <c r="E430" s="77"/>
    </row>
    <row r="431" spans="2:5" ht="13.5" customHeight="1" x14ac:dyDescent="0.3">
      <c r="B431" s="83">
        <v>45194</v>
      </c>
      <c r="C431" s="2">
        <v>0</v>
      </c>
      <c r="D431" s="2">
        <v>-1.25</v>
      </c>
      <c r="E431" s="77"/>
    </row>
    <row r="432" spans="2:5" ht="13.5" customHeight="1" x14ac:dyDescent="0.3">
      <c r="B432" s="83">
        <v>45195</v>
      </c>
      <c r="C432" s="2">
        <v>-0.05</v>
      </c>
      <c r="D432" s="2">
        <v>0.21</v>
      </c>
      <c r="E432" s="77"/>
    </row>
    <row r="433" spans="2:5" ht="13.5" customHeight="1" x14ac:dyDescent="0.3">
      <c r="B433" s="83">
        <v>45196</v>
      </c>
      <c r="C433" s="2">
        <v>0.26</v>
      </c>
      <c r="D433" s="2">
        <v>1</v>
      </c>
      <c r="E433" s="77"/>
    </row>
    <row r="434" spans="2:5" ht="13.5" customHeight="1" x14ac:dyDescent="0.3">
      <c r="B434" s="83">
        <v>45197</v>
      </c>
      <c r="C434" s="2">
        <v>-0.98</v>
      </c>
      <c r="D434" s="2">
        <v>-2.4500000000000002</v>
      </c>
      <c r="E434" s="77"/>
    </row>
    <row r="435" spans="2:5" ht="13.5" customHeight="1" x14ac:dyDescent="0.3">
      <c r="B435" s="83">
        <v>45198</v>
      </c>
      <c r="C435" s="2">
        <v>0.59</v>
      </c>
      <c r="D435" s="2">
        <v>0.79</v>
      </c>
      <c r="E435" s="77"/>
    </row>
    <row r="436" spans="2:5" ht="13.5" customHeight="1" x14ac:dyDescent="0.3">
      <c r="B436" s="83">
        <v>45202</v>
      </c>
      <c r="C436" s="2">
        <v>-0.56000000000000005</v>
      </c>
      <c r="D436" s="2">
        <v>0.36</v>
      </c>
      <c r="E436" s="77"/>
    </row>
    <row r="437" spans="2:5" ht="13.5" customHeight="1" x14ac:dyDescent="0.3">
      <c r="B437" s="83">
        <v>45203</v>
      </c>
      <c r="C437" s="2">
        <v>-0.47</v>
      </c>
      <c r="D437" s="2">
        <v>0.32</v>
      </c>
      <c r="E437" s="77"/>
    </row>
    <row r="438" spans="2:5" ht="13.5" customHeight="1" x14ac:dyDescent="0.3">
      <c r="B438" s="83">
        <v>45204</v>
      </c>
      <c r="C438" s="2">
        <v>0.56000000000000005</v>
      </c>
      <c r="D438" s="2">
        <v>-0.83</v>
      </c>
      <c r="E438" s="77"/>
    </row>
    <row r="439" spans="2:5" ht="13.5" customHeight="1" x14ac:dyDescent="0.3">
      <c r="B439" s="83">
        <v>45205</v>
      </c>
      <c r="C439" s="2">
        <v>0.55000000000000004</v>
      </c>
      <c r="D439" s="2">
        <v>-0.65</v>
      </c>
      <c r="E439" s="77"/>
    </row>
    <row r="440" spans="2:5" ht="13.5" customHeight="1" x14ac:dyDescent="0.3">
      <c r="B440" s="83">
        <v>45208</v>
      </c>
      <c r="C440" s="2">
        <v>-0.72</v>
      </c>
      <c r="D440" s="2">
        <v>-0.99</v>
      </c>
      <c r="E440" s="77"/>
    </row>
    <row r="441" spans="2:5" ht="13.5" customHeight="1" x14ac:dyDescent="0.3">
      <c r="B441" s="83">
        <v>45209</v>
      </c>
      <c r="C441" s="2">
        <v>0.91</v>
      </c>
      <c r="D441" s="2">
        <v>0.39</v>
      </c>
      <c r="E441" s="77"/>
    </row>
    <row r="442" spans="2:5" ht="13.5" customHeight="1" x14ac:dyDescent="0.3">
      <c r="B442" s="83">
        <v>45210</v>
      </c>
      <c r="C442" s="2">
        <v>0.62</v>
      </c>
      <c r="D442" s="2">
        <v>-0.02</v>
      </c>
      <c r="E442" s="77"/>
    </row>
    <row r="443" spans="2:5" ht="13.5" customHeight="1" x14ac:dyDescent="0.3">
      <c r="B443" s="83">
        <v>45211</v>
      </c>
      <c r="C443" s="2">
        <v>-0.09</v>
      </c>
      <c r="D443" s="2">
        <v>-0.51</v>
      </c>
      <c r="E443" s="77"/>
    </row>
    <row r="444" spans="2:5" ht="13.5" customHeight="1" x14ac:dyDescent="0.3">
      <c r="B444" s="83">
        <v>45212</v>
      </c>
      <c r="C444" s="2">
        <v>-0.22</v>
      </c>
      <c r="D444" s="2">
        <v>-0.4</v>
      </c>
      <c r="E444" s="77"/>
    </row>
    <row r="445" spans="2:5" ht="13.5" customHeight="1" x14ac:dyDescent="0.3">
      <c r="B445" s="83">
        <v>45215</v>
      </c>
      <c r="C445" s="2">
        <v>-0.1</v>
      </c>
      <c r="D445" s="2">
        <v>-0.35</v>
      </c>
      <c r="E445" s="77"/>
    </row>
    <row r="446" spans="2:5" ht="13.5" customHeight="1" x14ac:dyDescent="0.3">
      <c r="B446" s="83">
        <v>45216</v>
      </c>
      <c r="C446" s="2">
        <v>0.4</v>
      </c>
      <c r="D446" s="2">
        <v>0.61</v>
      </c>
      <c r="E446" s="77"/>
    </row>
    <row r="447" spans="2:5" ht="13.5" customHeight="1" x14ac:dyDescent="0.3">
      <c r="B447" s="83">
        <v>45217</v>
      </c>
      <c r="C447" s="2">
        <v>-0.71</v>
      </c>
      <c r="D447" s="2">
        <v>-1.1599999999999999</v>
      </c>
      <c r="E447" s="77"/>
    </row>
    <row r="448" spans="2:5" ht="13.5" customHeight="1" x14ac:dyDescent="0.3">
      <c r="B448" s="83">
        <v>45218</v>
      </c>
      <c r="C448" s="2">
        <v>-0.24</v>
      </c>
      <c r="D448" s="2">
        <v>-1.56</v>
      </c>
      <c r="E448" s="77"/>
    </row>
    <row r="449" spans="2:5" ht="13.5" customHeight="1" x14ac:dyDescent="0.3">
      <c r="B449" s="83">
        <v>45219</v>
      </c>
      <c r="C449" s="2">
        <v>-0.42</v>
      </c>
      <c r="D449" s="2">
        <v>-0.16</v>
      </c>
      <c r="E449" s="77"/>
    </row>
    <row r="450" spans="2:5" ht="13.5" customHeight="1" x14ac:dyDescent="0.3">
      <c r="B450" s="83">
        <v>45222</v>
      </c>
      <c r="C450" s="2">
        <v>-1.34</v>
      </c>
      <c r="D450" s="2">
        <v>-0.66</v>
      </c>
      <c r="E450" s="77"/>
    </row>
    <row r="451" spans="2:5" ht="13.5" customHeight="1" x14ac:dyDescent="0.3">
      <c r="B451" s="83">
        <v>45224</v>
      </c>
      <c r="C451" s="2">
        <v>-0.83</v>
      </c>
      <c r="D451" s="2">
        <v>-0.66</v>
      </c>
      <c r="E451" s="77"/>
    </row>
    <row r="452" spans="2:5" ht="13.5" customHeight="1" x14ac:dyDescent="0.3">
      <c r="B452" s="83">
        <v>45225</v>
      </c>
      <c r="C452" s="2">
        <v>-1.39</v>
      </c>
      <c r="D452" s="2">
        <v>-1.82</v>
      </c>
      <c r="E452" s="77"/>
    </row>
    <row r="453" spans="2:5" ht="13.5" customHeight="1" x14ac:dyDescent="0.3">
      <c r="B453" s="83">
        <v>45226</v>
      </c>
      <c r="C453" s="2">
        <v>1.01</v>
      </c>
      <c r="D453" s="2">
        <v>3.17</v>
      </c>
      <c r="E453" s="77"/>
    </row>
    <row r="454" spans="2:5" ht="13.5" customHeight="1" x14ac:dyDescent="0.3">
      <c r="B454" s="83">
        <v>45229</v>
      </c>
      <c r="C454" s="2">
        <v>0.49</v>
      </c>
      <c r="D454" s="2">
        <v>-0.21</v>
      </c>
      <c r="E454" s="77"/>
    </row>
    <row r="455" spans="2:5" ht="13.5" customHeight="1" x14ac:dyDescent="0.3">
      <c r="B455" s="83">
        <v>45230</v>
      </c>
      <c r="C455" s="2">
        <v>-0.32</v>
      </c>
      <c r="D455" s="2">
        <v>1.04</v>
      </c>
      <c r="E455" s="77"/>
    </row>
    <row r="456" spans="2:5" ht="13.5" customHeight="1" x14ac:dyDescent="0.3">
      <c r="B456" s="83">
        <v>45231</v>
      </c>
      <c r="C456" s="2">
        <v>-0.47</v>
      </c>
      <c r="D456" s="2">
        <v>-2.23</v>
      </c>
      <c r="E456" s="77"/>
    </row>
    <row r="457" spans="2:5" ht="13.5" customHeight="1" x14ac:dyDescent="0.3">
      <c r="B457" s="83">
        <v>45232</v>
      </c>
      <c r="C457" s="2">
        <v>0.76</v>
      </c>
      <c r="D457" s="2">
        <v>2.57</v>
      </c>
      <c r="E457" s="77"/>
    </row>
    <row r="458" spans="2:5" ht="13.5" customHeight="1" x14ac:dyDescent="0.3">
      <c r="B458" s="83">
        <v>45233</v>
      </c>
      <c r="C458" s="2">
        <v>0.51</v>
      </c>
      <c r="D458" s="2">
        <v>0.96</v>
      </c>
      <c r="E458" s="77"/>
    </row>
    <row r="459" spans="2:5" ht="13.5" customHeight="1" x14ac:dyDescent="0.3">
      <c r="B459" s="83">
        <v>45236</v>
      </c>
      <c r="C459" s="2">
        <v>0.94</v>
      </c>
      <c r="D459" s="2">
        <v>0.46</v>
      </c>
      <c r="E459" s="77"/>
    </row>
    <row r="460" spans="2:5" ht="13.5" customHeight="1" x14ac:dyDescent="0.3">
      <c r="B460" s="83">
        <v>45237</v>
      </c>
      <c r="C460" s="2">
        <v>-0.03</v>
      </c>
      <c r="D460" s="2">
        <v>-0.34</v>
      </c>
      <c r="E460" s="77"/>
    </row>
    <row r="461" spans="2:5" ht="13.5" customHeight="1" x14ac:dyDescent="0.3">
      <c r="B461" s="83">
        <v>45238</v>
      </c>
      <c r="C461" s="2">
        <v>0.19</v>
      </c>
      <c r="D461" s="2">
        <v>0.59</v>
      </c>
      <c r="E461" s="77"/>
    </row>
    <row r="462" spans="2:5" ht="13.5" customHeight="1" x14ac:dyDescent="0.3">
      <c r="B462" s="83">
        <v>45239</v>
      </c>
      <c r="C462" s="2">
        <v>-0.25</v>
      </c>
      <c r="D462" s="2">
        <v>-0.82</v>
      </c>
      <c r="E462" s="77"/>
    </row>
    <row r="463" spans="2:5" ht="13.5" customHeight="1" x14ac:dyDescent="0.3">
      <c r="B463" s="83">
        <v>45240</v>
      </c>
      <c r="C463" s="2">
        <v>0.15</v>
      </c>
      <c r="D463" s="2">
        <v>0.23</v>
      </c>
      <c r="E463" s="77"/>
    </row>
    <row r="464" spans="2:5" ht="13.5" customHeight="1" x14ac:dyDescent="0.3">
      <c r="B464" s="83">
        <v>45243</v>
      </c>
      <c r="C464" s="2">
        <v>0.09</v>
      </c>
      <c r="D464" s="2">
        <v>-0.61</v>
      </c>
      <c r="E464" s="77"/>
    </row>
    <row r="465" spans="2:5" ht="13.5" customHeight="1" x14ac:dyDescent="0.3">
      <c r="B465" s="83">
        <v>45245</v>
      </c>
      <c r="C465" s="2">
        <v>1.19</v>
      </c>
      <c r="D465" s="2">
        <v>-0.77</v>
      </c>
      <c r="E465" s="77"/>
    </row>
    <row r="466" spans="2:5" ht="13.5" customHeight="1" x14ac:dyDescent="0.3">
      <c r="B466" s="83">
        <v>45246</v>
      </c>
      <c r="C466" s="2">
        <v>0.46</v>
      </c>
      <c r="D466" s="2">
        <v>1.69</v>
      </c>
      <c r="E466" s="77"/>
    </row>
    <row r="467" spans="2:5" ht="13.5" customHeight="1" x14ac:dyDescent="0.3">
      <c r="B467" s="83">
        <v>45247</v>
      </c>
      <c r="C467" s="2">
        <v>-0.17</v>
      </c>
      <c r="D467" s="2">
        <v>1.08</v>
      </c>
      <c r="E467" s="77"/>
    </row>
    <row r="468" spans="2:5" ht="13.5" customHeight="1" x14ac:dyDescent="0.3">
      <c r="B468" s="83">
        <v>45250</v>
      </c>
      <c r="C468" s="2">
        <v>-0.19</v>
      </c>
      <c r="D468" s="2">
        <v>0.46</v>
      </c>
      <c r="E468" s="77"/>
    </row>
    <row r="469" spans="2:5" ht="13.5" customHeight="1" x14ac:dyDescent="0.3">
      <c r="B469" s="83">
        <v>45251</v>
      </c>
      <c r="C469" s="2">
        <v>0.45</v>
      </c>
      <c r="D469" s="2">
        <v>-0.43</v>
      </c>
      <c r="E469" s="77"/>
    </row>
    <row r="470" spans="2:5" ht="13.5" customHeight="1" x14ac:dyDescent="0.3">
      <c r="B470" s="83">
        <v>45252</v>
      </c>
      <c r="C470" s="2">
        <v>0.14000000000000001</v>
      </c>
      <c r="D470" s="2">
        <v>0.03</v>
      </c>
      <c r="E470" s="77"/>
    </row>
    <row r="471" spans="2:5" ht="13.5" customHeight="1" x14ac:dyDescent="0.3">
      <c r="B471" s="83">
        <v>45253</v>
      </c>
      <c r="C471" s="2">
        <v>-0.05</v>
      </c>
      <c r="D471" s="2">
        <v>-0.12</v>
      </c>
      <c r="E471" s="77"/>
    </row>
    <row r="472" spans="2:5" ht="13.5" customHeight="1" x14ac:dyDescent="0.3">
      <c r="B472" s="83">
        <v>45254</v>
      </c>
      <c r="C472" s="2">
        <v>-0.04</v>
      </c>
      <c r="D472" s="2">
        <v>-0.56000000000000005</v>
      </c>
      <c r="E472" s="77"/>
    </row>
    <row r="473" spans="2:5" ht="13.5" customHeight="1" x14ac:dyDescent="0.3">
      <c r="B473" s="83">
        <v>45258</v>
      </c>
      <c r="C473" s="2">
        <v>0.48</v>
      </c>
      <c r="D473" s="2">
        <v>-0.66</v>
      </c>
      <c r="E473" s="77"/>
    </row>
    <row r="474" spans="2:5" ht="13.5" customHeight="1" x14ac:dyDescent="0.3">
      <c r="B474" s="83">
        <v>45259</v>
      </c>
      <c r="C474" s="2">
        <v>1.04</v>
      </c>
      <c r="D474" s="2">
        <v>0.15</v>
      </c>
      <c r="E474" s="77"/>
    </row>
    <row r="475" spans="2:5" ht="13.5" customHeight="1" x14ac:dyDescent="0.3">
      <c r="B475" s="83">
        <v>45260</v>
      </c>
      <c r="C475" s="2">
        <v>0.18</v>
      </c>
      <c r="D475" s="2">
        <v>0.65</v>
      </c>
      <c r="E475" s="77"/>
    </row>
    <row r="476" spans="2:5" ht="13.5" customHeight="1" x14ac:dyDescent="0.3">
      <c r="B476" s="83">
        <v>45261</v>
      </c>
      <c r="C476" s="2">
        <v>0.67</v>
      </c>
      <c r="D476" s="2">
        <v>0.57999999999999996</v>
      </c>
      <c r="E476" s="77"/>
    </row>
    <row r="477" spans="2:5" ht="13.5" customHeight="1" x14ac:dyDescent="0.3">
      <c r="B477" s="83">
        <v>45264</v>
      </c>
      <c r="C477" s="2">
        <v>2.0699999999999998</v>
      </c>
      <c r="D477" s="2">
        <v>1.08</v>
      </c>
      <c r="E477" s="77"/>
    </row>
    <row r="478" spans="2:5" ht="13.5" customHeight="1" x14ac:dyDescent="0.3">
      <c r="B478" s="83">
        <v>45265</v>
      </c>
      <c r="C478" s="2">
        <v>0.81</v>
      </c>
      <c r="D478" s="2">
        <v>0.91</v>
      </c>
      <c r="E478" s="77"/>
    </row>
    <row r="479" spans="2:5" ht="13.5" customHeight="1" x14ac:dyDescent="0.3">
      <c r="B479" s="83">
        <v>45266</v>
      </c>
      <c r="C479" s="2">
        <v>0.4</v>
      </c>
      <c r="D479" s="2">
        <v>-0.35</v>
      </c>
      <c r="E479" s="77"/>
    </row>
    <row r="480" spans="2:5" ht="13.5" customHeight="1" x14ac:dyDescent="0.3">
      <c r="B480" s="83">
        <v>45267</v>
      </c>
      <c r="C480" s="2">
        <v>-0.17</v>
      </c>
      <c r="D480" s="2">
        <v>-0.77</v>
      </c>
      <c r="E480" s="77"/>
    </row>
    <row r="481" spans="2:5" ht="13.5" customHeight="1" x14ac:dyDescent="0.3">
      <c r="B481" s="83">
        <v>45268</v>
      </c>
      <c r="C481" s="2">
        <v>0.33</v>
      </c>
      <c r="D481" s="2">
        <v>0.31</v>
      </c>
      <c r="E481" s="77"/>
    </row>
    <row r="482" spans="2:5" ht="13.5" customHeight="1" x14ac:dyDescent="0.3">
      <c r="B482" s="83">
        <v>45271</v>
      </c>
      <c r="C482" s="2">
        <v>0.13</v>
      </c>
      <c r="D482" s="2">
        <v>0.55000000000000004</v>
      </c>
      <c r="E482" s="77"/>
    </row>
    <row r="483" spans="2:5" ht="13.5" customHeight="1" x14ac:dyDescent="0.3">
      <c r="B483" s="83">
        <v>45272</v>
      </c>
      <c r="C483" s="2">
        <v>-0.43</v>
      </c>
      <c r="D483" s="2">
        <v>-0.27</v>
      </c>
      <c r="E483" s="77"/>
    </row>
    <row r="484" spans="2:5" ht="13.5" customHeight="1" x14ac:dyDescent="0.3">
      <c r="B484" s="83">
        <v>45273</v>
      </c>
      <c r="C484" s="2">
        <v>0.1</v>
      </c>
      <c r="D484" s="2">
        <v>-0.26</v>
      </c>
      <c r="E484" s="77"/>
    </row>
    <row r="485" spans="2:5" ht="13.5" customHeight="1" x14ac:dyDescent="0.3">
      <c r="B485" s="83">
        <v>45274</v>
      </c>
      <c r="C485" s="2">
        <v>1.23</v>
      </c>
      <c r="D485" s="2">
        <v>-0.02</v>
      </c>
      <c r="E485" s="77"/>
    </row>
    <row r="486" spans="2:5" ht="13.5" customHeight="1" x14ac:dyDescent="0.3">
      <c r="B486" s="83">
        <v>45275</v>
      </c>
      <c r="C486" s="2">
        <v>1.29</v>
      </c>
      <c r="D486" s="2">
        <v>-1.42</v>
      </c>
      <c r="E486" s="77"/>
    </row>
    <row r="487" spans="2:5" ht="13.5" customHeight="1" x14ac:dyDescent="0.3">
      <c r="B487" s="83">
        <v>45278</v>
      </c>
      <c r="C487" s="2">
        <v>-0.18</v>
      </c>
      <c r="D487" s="2">
        <v>0.15</v>
      </c>
      <c r="E487" s="77"/>
    </row>
    <row r="488" spans="2:5" ht="13.5" customHeight="1" x14ac:dyDescent="0.3">
      <c r="B488" s="83">
        <v>45279</v>
      </c>
      <c r="C488" s="2">
        <v>0.16</v>
      </c>
      <c r="D488" s="2">
        <v>1.42</v>
      </c>
      <c r="E488" s="77"/>
    </row>
    <row r="489" spans="2:5" ht="13.5" customHeight="1" x14ac:dyDescent="0.3">
      <c r="B489" s="83">
        <v>45280</v>
      </c>
      <c r="C489" s="2">
        <v>-1.41</v>
      </c>
      <c r="D489" s="2">
        <v>-2.42</v>
      </c>
      <c r="E489" s="77"/>
    </row>
    <row r="490" spans="2:5" ht="13.5" customHeight="1" x14ac:dyDescent="0.3">
      <c r="B490" s="83">
        <v>45281</v>
      </c>
      <c r="C490" s="2">
        <v>0.5</v>
      </c>
      <c r="D490" s="2">
        <v>-0.88</v>
      </c>
      <c r="E490" s="77"/>
    </row>
    <row r="491" spans="2:5" ht="13.5" customHeight="1" x14ac:dyDescent="0.3">
      <c r="B491" s="83">
        <v>45282</v>
      </c>
      <c r="C491" s="2">
        <v>0.44</v>
      </c>
      <c r="D491" s="2">
        <v>-0.18</v>
      </c>
      <c r="E491" s="77"/>
    </row>
    <row r="492" spans="2:5" ht="13.5" customHeight="1" x14ac:dyDescent="0.3">
      <c r="B492" s="83">
        <v>45286</v>
      </c>
      <c r="C492" s="2">
        <v>0.43</v>
      </c>
      <c r="D492" s="2">
        <v>0.25</v>
      </c>
      <c r="E492" s="77"/>
    </row>
    <row r="493" spans="2:5" ht="13.5" customHeight="1" x14ac:dyDescent="0.3">
      <c r="B493" s="83">
        <v>45287</v>
      </c>
      <c r="C493" s="2">
        <v>1</v>
      </c>
      <c r="D493" s="2">
        <v>0.71</v>
      </c>
      <c r="E493" s="77"/>
    </row>
    <row r="494" spans="2:5" ht="13.5" customHeight="1" x14ac:dyDescent="0.3">
      <c r="B494" s="83">
        <v>45288</v>
      </c>
      <c r="C494" s="2">
        <v>0.56999999999999995</v>
      </c>
      <c r="D494" s="2">
        <v>1.64</v>
      </c>
      <c r="E494" s="77"/>
    </row>
    <row r="495" spans="2:5" ht="13.5" customHeight="1" x14ac:dyDescent="0.3">
      <c r="B495" s="83">
        <v>45289</v>
      </c>
      <c r="C495" s="2">
        <v>-0.22</v>
      </c>
      <c r="D495" s="2">
        <v>2.6</v>
      </c>
      <c r="E495" s="77"/>
    </row>
    <row r="496" spans="2:5" ht="13.5" customHeight="1" x14ac:dyDescent="0.3">
      <c r="B496" s="83">
        <v>45292</v>
      </c>
      <c r="C496" s="2">
        <v>0.05</v>
      </c>
      <c r="D496" s="2">
        <v>0.04</v>
      </c>
      <c r="E496" s="77"/>
    </row>
    <row r="497" spans="2:5" ht="13.5" customHeight="1" x14ac:dyDescent="0.3">
      <c r="B497" s="83">
        <v>45293</v>
      </c>
      <c r="C497" s="2">
        <v>-0.35</v>
      </c>
      <c r="D497" s="2">
        <v>-0.11</v>
      </c>
      <c r="E497" s="77"/>
    </row>
    <row r="498" spans="2:5" ht="13.5" customHeight="1" x14ac:dyDescent="0.3">
      <c r="B498" s="83">
        <v>45294</v>
      </c>
      <c r="C498" s="2">
        <v>-0.69</v>
      </c>
      <c r="D498" s="2">
        <v>-1.03</v>
      </c>
      <c r="E498" s="77"/>
    </row>
    <row r="499" spans="2:5" ht="13.5" customHeight="1" x14ac:dyDescent="0.3">
      <c r="B499" s="83">
        <v>45295</v>
      </c>
      <c r="C499" s="2">
        <v>0.66</v>
      </c>
      <c r="D499" s="2">
        <v>2.75</v>
      </c>
      <c r="E499" s="77"/>
    </row>
    <row r="500" spans="2:5" ht="13.5" customHeight="1" x14ac:dyDescent="0.3">
      <c r="B500" s="83">
        <v>45296</v>
      </c>
      <c r="C500" s="2">
        <v>0.24</v>
      </c>
      <c r="D500" s="2">
        <v>0.49</v>
      </c>
      <c r="E500" s="77"/>
    </row>
    <row r="501" spans="2:5" ht="13.5" customHeight="1" x14ac:dyDescent="0.3">
      <c r="B501" s="83">
        <v>45299</v>
      </c>
      <c r="C501" s="2">
        <v>-0.91</v>
      </c>
      <c r="D501" s="2">
        <v>-2.78</v>
      </c>
      <c r="E501" s="77"/>
    </row>
    <row r="502" spans="2:5" ht="13.5" customHeight="1" x14ac:dyDescent="0.3">
      <c r="B502" s="83">
        <v>45300</v>
      </c>
      <c r="C502" s="2">
        <v>0.15</v>
      </c>
      <c r="D502" s="2">
        <v>-0.98</v>
      </c>
      <c r="E502" s="77"/>
    </row>
    <row r="503" spans="2:5" ht="13.5" customHeight="1" x14ac:dyDescent="0.3">
      <c r="B503" s="83">
        <v>45301</v>
      </c>
      <c r="C503" s="2">
        <v>0.34</v>
      </c>
      <c r="D503" s="2">
        <v>-0.09</v>
      </c>
      <c r="E503" s="77"/>
    </row>
    <row r="504" spans="2:5" ht="13.5" customHeight="1" x14ac:dyDescent="0.3">
      <c r="B504" s="83">
        <v>45302</v>
      </c>
      <c r="C504" s="2">
        <v>0.13</v>
      </c>
      <c r="D504" s="2">
        <v>0.85</v>
      </c>
      <c r="E504" s="77"/>
    </row>
    <row r="505" spans="2:5" ht="13.5" customHeight="1" x14ac:dyDescent="0.3">
      <c r="B505" s="83">
        <v>45303</v>
      </c>
      <c r="C505" s="2">
        <v>1.1399999999999999</v>
      </c>
      <c r="D505" s="2">
        <v>-0.42</v>
      </c>
      <c r="E505" s="77"/>
    </row>
    <row r="506" spans="2:5" ht="13.5" customHeight="1" x14ac:dyDescent="0.3">
      <c r="B506" s="83">
        <v>45306</v>
      </c>
      <c r="C506" s="2">
        <v>0.93</v>
      </c>
      <c r="D506" s="2">
        <v>0.81</v>
      </c>
      <c r="E506" s="77"/>
    </row>
    <row r="507" spans="2:5" ht="13.5" customHeight="1" x14ac:dyDescent="0.3">
      <c r="B507" s="83">
        <v>45307</v>
      </c>
      <c r="C507" s="2">
        <v>-0.28999999999999998</v>
      </c>
      <c r="D507" s="2">
        <v>0.84</v>
      </c>
      <c r="E507" s="77"/>
    </row>
    <row r="508" spans="2:5" ht="13.5" customHeight="1" x14ac:dyDescent="0.3">
      <c r="B508" s="83">
        <v>45308</v>
      </c>
      <c r="C508" s="2">
        <v>-2.09</v>
      </c>
      <c r="D508" s="2">
        <v>-1.67</v>
      </c>
      <c r="E508" s="77"/>
    </row>
    <row r="509" spans="2:5" ht="13.5" customHeight="1" x14ac:dyDescent="0.3">
      <c r="B509" s="83">
        <v>45309</v>
      </c>
      <c r="C509" s="2">
        <v>-0.51</v>
      </c>
      <c r="D509" s="2">
        <v>-1.82</v>
      </c>
      <c r="E509" s="77"/>
    </row>
    <row r="510" spans="2:5" ht="13.5" customHeight="1" x14ac:dyDescent="0.3">
      <c r="B510" s="83">
        <v>45310</v>
      </c>
      <c r="C510" s="2">
        <v>0.75</v>
      </c>
      <c r="D510" s="2">
        <v>0.53</v>
      </c>
      <c r="E510" s="77"/>
    </row>
    <row r="511" spans="2:5" ht="13.5" customHeight="1" x14ac:dyDescent="0.3">
      <c r="B511" s="83">
        <v>45314</v>
      </c>
      <c r="C511" s="2">
        <v>-1.77</v>
      </c>
      <c r="D511" s="2">
        <v>-3.23</v>
      </c>
      <c r="E511" s="77"/>
    </row>
    <row r="512" spans="2:5" ht="13.5" customHeight="1" x14ac:dyDescent="0.3">
      <c r="B512" s="83">
        <v>45315</v>
      </c>
      <c r="C512" s="2">
        <v>1.01</v>
      </c>
      <c r="D512" s="2">
        <v>2.25</v>
      </c>
      <c r="E512" s="77"/>
    </row>
    <row r="513" spans="2:5" ht="13.5" customHeight="1" x14ac:dyDescent="0.3">
      <c r="B513" s="83">
        <v>45316</v>
      </c>
      <c r="C513" s="2">
        <v>-0.47</v>
      </c>
      <c r="D513" s="2">
        <v>-0.93</v>
      </c>
      <c r="E513" s="77"/>
    </row>
    <row r="514" spans="2:5" ht="13.5" customHeight="1" x14ac:dyDescent="0.3">
      <c r="B514" s="83">
        <v>45320</v>
      </c>
      <c r="C514" s="2">
        <v>1.8</v>
      </c>
      <c r="D514" s="2">
        <v>0.5</v>
      </c>
      <c r="E514" s="77"/>
    </row>
    <row r="515" spans="2:5" ht="13.5" customHeight="1" x14ac:dyDescent="0.3">
      <c r="B515" s="83">
        <v>45321</v>
      </c>
      <c r="C515" s="2">
        <v>-0.99</v>
      </c>
      <c r="D515" s="2">
        <v>0.32</v>
      </c>
      <c r="E515" s="77"/>
    </row>
    <row r="516" spans="2:5" ht="13.5" customHeight="1" x14ac:dyDescent="0.3">
      <c r="B516" s="83">
        <v>45322</v>
      </c>
      <c r="C516" s="2">
        <v>0.95</v>
      </c>
      <c r="D516" s="2">
        <v>0.68</v>
      </c>
      <c r="E516" s="77"/>
    </row>
    <row r="517" spans="2:5" ht="13.5" customHeight="1" x14ac:dyDescent="0.3">
      <c r="B517" s="83">
        <v>45323</v>
      </c>
      <c r="C517" s="2">
        <v>-0.13</v>
      </c>
      <c r="D517" s="2">
        <v>2.74</v>
      </c>
      <c r="E517" s="77"/>
    </row>
    <row r="518" spans="2:5" ht="13.5" customHeight="1" x14ac:dyDescent="0.3">
      <c r="B518" s="83">
        <v>45324</v>
      </c>
      <c r="C518" s="2">
        <v>0.72</v>
      </c>
      <c r="D518" s="2">
        <v>-1.76</v>
      </c>
      <c r="E518" s="77"/>
    </row>
    <row r="519" spans="2:5" ht="13.5" customHeight="1" x14ac:dyDescent="0.3">
      <c r="B519" s="83">
        <v>45327</v>
      </c>
      <c r="C519" s="2">
        <v>-0.38</v>
      </c>
      <c r="D519" s="2">
        <v>-2.02</v>
      </c>
      <c r="E519" s="77"/>
    </row>
    <row r="520" spans="2:5" ht="13.5" customHeight="1" x14ac:dyDescent="0.3">
      <c r="B520" s="83">
        <v>45328</v>
      </c>
      <c r="C520" s="2">
        <v>0.72</v>
      </c>
      <c r="D520" s="2">
        <v>-0.18</v>
      </c>
      <c r="E520" s="77"/>
    </row>
    <row r="521" spans="2:5" ht="13.5" customHeight="1" x14ac:dyDescent="0.3">
      <c r="B521" s="83">
        <v>45329</v>
      </c>
      <c r="C521" s="2">
        <v>0.01</v>
      </c>
      <c r="D521" s="2">
        <v>0.88</v>
      </c>
      <c r="E521" s="77"/>
    </row>
    <row r="522" spans="2:5" ht="13.5" customHeight="1" x14ac:dyDescent="0.3">
      <c r="B522" s="83">
        <v>45330</v>
      </c>
      <c r="C522" s="2">
        <v>-0.97</v>
      </c>
      <c r="D522" s="2">
        <v>-0.64</v>
      </c>
      <c r="E522" s="77"/>
    </row>
    <row r="523" spans="2:5" ht="13.5" customHeight="1" x14ac:dyDescent="0.3">
      <c r="B523" s="83">
        <v>45331</v>
      </c>
      <c r="C523" s="2">
        <v>0.3</v>
      </c>
      <c r="D523" s="2">
        <v>0.98</v>
      </c>
      <c r="E523" s="77"/>
    </row>
    <row r="524" spans="2:5" ht="13.5" customHeight="1" x14ac:dyDescent="0.3">
      <c r="B524" s="83">
        <v>45334</v>
      </c>
      <c r="C524" s="2">
        <v>-0.76</v>
      </c>
      <c r="D524" s="2">
        <v>-0.49</v>
      </c>
      <c r="E524" s="77"/>
    </row>
    <row r="525" spans="2:5" ht="13.5" customHeight="1" x14ac:dyDescent="0.3">
      <c r="B525" s="83">
        <v>45335</v>
      </c>
      <c r="C525" s="2">
        <v>0.59</v>
      </c>
      <c r="D525" s="2">
        <v>0.41</v>
      </c>
      <c r="E525" s="77"/>
    </row>
    <row r="526" spans="2:5" ht="13.5" customHeight="1" x14ac:dyDescent="0.3">
      <c r="B526" s="83">
        <v>45336</v>
      </c>
      <c r="C526" s="2">
        <v>0.45</v>
      </c>
      <c r="D526" s="2">
        <v>1.03</v>
      </c>
      <c r="E526" s="77"/>
    </row>
    <row r="527" spans="2:5" ht="13.5" customHeight="1" x14ac:dyDescent="0.3">
      <c r="B527" s="83">
        <v>45337</v>
      </c>
      <c r="C527" s="2">
        <v>0.32</v>
      </c>
      <c r="D527" s="2">
        <v>-0.02</v>
      </c>
      <c r="E527" s="77"/>
    </row>
    <row r="528" spans="2:5" ht="13.5" customHeight="1" x14ac:dyDescent="0.3">
      <c r="B528" s="83">
        <v>45338</v>
      </c>
      <c r="C528" s="2">
        <v>0.59</v>
      </c>
      <c r="D528" s="2">
        <v>0.06</v>
      </c>
      <c r="E528" s="77"/>
    </row>
    <row r="529" spans="2:5" ht="13.5" customHeight="1" x14ac:dyDescent="0.3">
      <c r="B529" s="83">
        <v>45341</v>
      </c>
      <c r="C529" s="2">
        <v>0.37</v>
      </c>
      <c r="D529" s="2">
        <v>0.57999999999999996</v>
      </c>
      <c r="E529" s="77"/>
    </row>
    <row r="530" spans="2:5" ht="13.5" customHeight="1" x14ac:dyDescent="0.3">
      <c r="B530" s="83">
        <v>45342</v>
      </c>
      <c r="C530" s="2">
        <v>0.34</v>
      </c>
      <c r="D530" s="2">
        <v>-0.02</v>
      </c>
      <c r="E530" s="77"/>
    </row>
    <row r="531" spans="2:5" ht="13.5" customHeight="1" x14ac:dyDescent="0.3">
      <c r="B531" s="83">
        <v>45343</v>
      </c>
      <c r="C531" s="2">
        <v>-0.64</v>
      </c>
      <c r="D531" s="2">
        <v>-0.23</v>
      </c>
      <c r="E531" s="77"/>
    </row>
    <row r="532" spans="2:5" ht="13.5" customHeight="1" x14ac:dyDescent="0.3">
      <c r="B532" s="83">
        <v>45344</v>
      </c>
      <c r="C532" s="2">
        <v>0.74</v>
      </c>
      <c r="D532" s="2">
        <v>-0.86</v>
      </c>
      <c r="E532" s="77"/>
    </row>
    <row r="533" spans="2:5" ht="13.5" customHeight="1" x14ac:dyDescent="0.3">
      <c r="B533" s="83">
        <v>45345</v>
      </c>
      <c r="C533" s="2">
        <v>-0.02</v>
      </c>
      <c r="D533" s="2">
        <v>-1.1599999999999999</v>
      </c>
      <c r="E533" s="77"/>
    </row>
    <row r="534" spans="2:5" ht="13.5" customHeight="1" x14ac:dyDescent="0.3">
      <c r="B534" s="83">
        <v>45348</v>
      </c>
      <c r="C534" s="2">
        <v>-0.41</v>
      </c>
      <c r="D534" s="2">
        <v>-1.1299999999999999</v>
      </c>
      <c r="E534" s="77"/>
    </row>
    <row r="535" spans="2:5" ht="13.5" customHeight="1" x14ac:dyDescent="0.3">
      <c r="B535" s="83">
        <v>45349</v>
      </c>
      <c r="C535" s="2">
        <v>0.34</v>
      </c>
      <c r="D535" s="2">
        <v>1.2</v>
      </c>
      <c r="E535" s="77"/>
    </row>
    <row r="536" spans="2:5" ht="13.5" customHeight="1" x14ac:dyDescent="0.3">
      <c r="B536" s="83">
        <v>45350</v>
      </c>
      <c r="C536" s="2">
        <v>-1.1100000000000001</v>
      </c>
      <c r="D536" s="2">
        <v>0.12</v>
      </c>
      <c r="E536" s="77"/>
    </row>
    <row r="537" spans="2:5" ht="13.5" customHeight="1" x14ac:dyDescent="0.3">
      <c r="B537" s="83">
        <v>45351</v>
      </c>
      <c r="C537" s="2">
        <v>0.14000000000000001</v>
      </c>
      <c r="D537" s="2">
        <v>0.35</v>
      </c>
      <c r="E537" s="77"/>
    </row>
    <row r="538" spans="2:5" ht="13.5" customHeight="1" x14ac:dyDescent="0.3">
      <c r="B538" s="83">
        <v>45352</v>
      </c>
      <c r="C538" s="2">
        <v>1.62</v>
      </c>
      <c r="D538" s="2">
        <v>0.55000000000000004</v>
      </c>
      <c r="E538" s="77"/>
    </row>
    <row r="539" spans="2:5" ht="13.5" customHeight="1" x14ac:dyDescent="0.3">
      <c r="B539" s="83">
        <v>45355</v>
      </c>
      <c r="C539" s="2">
        <v>0.3</v>
      </c>
      <c r="D539" s="2">
        <v>-0.7</v>
      </c>
      <c r="E539" s="77"/>
    </row>
    <row r="540" spans="2:5" ht="13.5" customHeight="1" x14ac:dyDescent="0.3">
      <c r="B540" s="83">
        <v>45356</v>
      </c>
      <c r="C540" s="2">
        <v>-0.22</v>
      </c>
      <c r="D540" s="2">
        <v>-0.47</v>
      </c>
      <c r="E540" s="77"/>
    </row>
    <row r="541" spans="2:5" ht="13.5" customHeight="1" x14ac:dyDescent="0.3">
      <c r="B541" s="83">
        <v>45357</v>
      </c>
      <c r="C541" s="2">
        <v>0.53</v>
      </c>
      <c r="D541" s="2">
        <v>-0.61</v>
      </c>
      <c r="E541" s="77"/>
    </row>
    <row r="542" spans="2:5" ht="13.5" customHeight="1" x14ac:dyDescent="0.3">
      <c r="B542" s="83">
        <v>45358</v>
      </c>
      <c r="C542" s="2">
        <v>0.09</v>
      </c>
      <c r="D542" s="2">
        <v>0.71</v>
      </c>
      <c r="E542" s="77"/>
    </row>
    <row r="543" spans="2:5" ht="13.5" customHeight="1" x14ac:dyDescent="0.3">
      <c r="B543" s="83">
        <v>45362</v>
      </c>
      <c r="C543" s="2">
        <v>-0.72</v>
      </c>
      <c r="D543" s="2">
        <v>-0.35</v>
      </c>
      <c r="E543" s="77"/>
    </row>
    <row r="544" spans="2:5" ht="13.5" customHeight="1" x14ac:dyDescent="0.3">
      <c r="B544" s="83">
        <v>45363</v>
      </c>
      <c r="C544" s="2">
        <v>0.01</v>
      </c>
      <c r="D544" s="2">
        <v>-0.82</v>
      </c>
      <c r="E544" s="77"/>
    </row>
    <row r="545" spans="2:5" ht="13.5" customHeight="1" x14ac:dyDescent="0.3">
      <c r="B545" s="83">
        <v>45364</v>
      </c>
      <c r="C545" s="2">
        <v>-1.51</v>
      </c>
      <c r="D545" s="2">
        <v>-1.71</v>
      </c>
      <c r="E545" s="77"/>
    </row>
    <row r="546" spans="2:5" ht="13.5" customHeight="1" x14ac:dyDescent="0.3">
      <c r="B546" s="83">
        <v>45365</v>
      </c>
      <c r="C546" s="2">
        <v>0.68</v>
      </c>
      <c r="D546" s="2">
        <v>1.87</v>
      </c>
      <c r="E546" s="77"/>
    </row>
    <row r="547" spans="2:5" ht="13.5" customHeight="1" x14ac:dyDescent="0.3">
      <c r="B547" s="83">
        <v>45366</v>
      </c>
      <c r="C547" s="2">
        <v>-0.56000000000000005</v>
      </c>
      <c r="D547" s="2">
        <v>-0.59</v>
      </c>
      <c r="E547" s="77"/>
    </row>
    <row r="548" spans="2:5" ht="13.5" customHeight="1" x14ac:dyDescent="0.3">
      <c r="B548" s="83">
        <v>45369</v>
      </c>
      <c r="C548" s="2">
        <v>0.15</v>
      </c>
      <c r="D548" s="2">
        <v>-0.56000000000000005</v>
      </c>
      <c r="E548" s="77"/>
    </row>
    <row r="549" spans="2:5" ht="13.5" customHeight="1" x14ac:dyDescent="0.3">
      <c r="B549" s="83">
        <v>45370</v>
      </c>
      <c r="C549" s="2">
        <v>-1.08</v>
      </c>
      <c r="D549" s="2">
        <v>-1</v>
      </c>
      <c r="E549" s="77"/>
    </row>
    <row r="550" spans="2:5" ht="13.5" customHeight="1" x14ac:dyDescent="0.3">
      <c r="B550" s="83">
        <v>45371</v>
      </c>
      <c r="C550" s="2">
        <v>0.1</v>
      </c>
      <c r="D550" s="2">
        <v>0.36</v>
      </c>
      <c r="E550" s="77"/>
    </row>
    <row r="551" spans="2:5" ht="13.5" customHeight="1" x14ac:dyDescent="0.3">
      <c r="B551" s="83">
        <v>45372</v>
      </c>
      <c r="C551" s="2">
        <v>0.79</v>
      </c>
      <c r="D551" s="2">
        <v>0.72</v>
      </c>
      <c r="E551" s="77"/>
    </row>
    <row r="552" spans="2:5" ht="13.5" customHeight="1" x14ac:dyDescent="0.3">
      <c r="B552" s="83">
        <v>45373</v>
      </c>
      <c r="C552" s="2">
        <v>0.39</v>
      </c>
      <c r="D552" s="2">
        <v>-0.6</v>
      </c>
      <c r="E552" s="77"/>
    </row>
    <row r="553" spans="2:5" ht="13.5" customHeight="1" x14ac:dyDescent="0.3">
      <c r="B553" s="83">
        <v>45377</v>
      </c>
      <c r="C553" s="2">
        <v>-0.42</v>
      </c>
      <c r="D553" s="2">
        <v>0.06</v>
      </c>
      <c r="E553" s="77"/>
    </row>
    <row r="554" spans="2:5" ht="13.5" customHeight="1" x14ac:dyDescent="0.3">
      <c r="B554" s="83">
        <v>45378</v>
      </c>
      <c r="C554" s="2">
        <v>0.54</v>
      </c>
      <c r="D554" s="2">
        <v>0.11</v>
      </c>
      <c r="E554" s="77"/>
    </row>
    <row r="555" spans="2:5" ht="13.5" customHeight="1" x14ac:dyDescent="0.3">
      <c r="B555" s="83">
        <v>45379</v>
      </c>
      <c r="C555" s="2">
        <v>0.92</v>
      </c>
      <c r="D555" s="2">
        <v>0.28999999999999998</v>
      </c>
      <c r="E555" s="77"/>
    </row>
    <row r="556" spans="2:5" ht="13.5" customHeight="1" x14ac:dyDescent="0.3">
      <c r="B556" s="83">
        <v>45383</v>
      </c>
      <c r="C556" s="2">
        <v>0.61</v>
      </c>
      <c r="D556" s="2">
        <v>1.1499999999999999</v>
      </c>
      <c r="E556" s="77"/>
    </row>
    <row r="557" spans="2:5" ht="13.5" customHeight="1" x14ac:dyDescent="0.3">
      <c r="B557" s="83">
        <v>45384</v>
      </c>
      <c r="C557" s="2">
        <v>-0.04</v>
      </c>
      <c r="D557" s="2">
        <v>0.46</v>
      </c>
      <c r="E557" s="77"/>
    </row>
    <row r="558" spans="2:5" ht="13.5" customHeight="1" x14ac:dyDescent="0.3">
      <c r="B558" s="83">
        <v>45385</v>
      </c>
      <c r="C558" s="2">
        <v>-0.08</v>
      </c>
      <c r="D558" s="2">
        <v>-0.11</v>
      </c>
      <c r="E558" s="77"/>
    </row>
    <row r="559" spans="2:5" ht="13.5" customHeight="1" x14ac:dyDescent="0.3">
      <c r="B559" s="83">
        <v>45386</v>
      </c>
      <c r="C559" s="2">
        <v>0.36</v>
      </c>
      <c r="D559" s="2">
        <v>-4.7</v>
      </c>
      <c r="E559" s="77"/>
    </row>
    <row r="560" spans="2:5" ht="13.5" customHeight="1" x14ac:dyDescent="0.3">
      <c r="B560" s="83">
        <v>45387</v>
      </c>
      <c r="C560" s="2">
        <v>0</v>
      </c>
      <c r="D560" s="2">
        <v>0.37</v>
      </c>
      <c r="E560" s="77"/>
    </row>
    <row r="561" spans="2:5" ht="13.5" customHeight="1" x14ac:dyDescent="0.3">
      <c r="B561" s="83">
        <v>45390</v>
      </c>
      <c r="C561" s="2">
        <v>0.68</v>
      </c>
      <c r="D561" s="2">
        <v>-0.95</v>
      </c>
      <c r="E561" s="77"/>
    </row>
    <row r="562" spans="2:5" ht="13.5" customHeight="1" x14ac:dyDescent="0.3">
      <c r="B562" s="83">
        <v>45391</v>
      </c>
      <c r="C562" s="2">
        <v>-0.1</v>
      </c>
      <c r="D562" s="2">
        <v>0.02</v>
      </c>
      <c r="E562" s="77"/>
    </row>
    <row r="563" spans="2:5" ht="13.5" customHeight="1" x14ac:dyDescent="0.3">
      <c r="B563" s="83">
        <v>45392</v>
      </c>
      <c r="C563" s="2">
        <v>0.49</v>
      </c>
      <c r="D563" s="2">
        <v>0.62</v>
      </c>
      <c r="E563" s="77"/>
    </row>
    <row r="564" spans="2:5" ht="13.5" customHeight="1" x14ac:dyDescent="0.3">
      <c r="B564" s="83">
        <v>45394</v>
      </c>
      <c r="C564" s="2">
        <v>-1.03</v>
      </c>
      <c r="D564" s="2">
        <v>-1.1200000000000001</v>
      </c>
      <c r="E564" s="77"/>
    </row>
    <row r="565" spans="2:5" ht="13.5" customHeight="1" x14ac:dyDescent="0.3">
      <c r="B565" s="83">
        <v>45397</v>
      </c>
      <c r="C565" s="2">
        <v>-1.1000000000000001</v>
      </c>
      <c r="D565" s="2">
        <v>-1.08</v>
      </c>
      <c r="E565" s="77"/>
    </row>
    <row r="566" spans="2:5" ht="13.5" customHeight="1" x14ac:dyDescent="0.3">
      <c r="B566" s="83">
        <v>45398</v>
      </c>
      <c r="C566" s="2">
        <v>-0.56000000000000005</v>
      </c>
      <c r="D566" s="2">
        <v>1.76</v>
      </c>
      <c r="E566" s="77"/>
    </row>
    <row r="567" spans="2:5" ht="13.5" customHeight="1" x14ac:dyDescent="0.3">
      <c r="B567" s="83">
        <v>45400</v>
      </c>
      <c r="C567" s="2">
        <v>-0.69</v>
      </c>
      <c r="D567" s="2">
        <v>-0.01</v>
      </c>
      <c r="E567" s="77"/>
    </row>
    <row r="568" spans="2:5" ht="13.5" customHeight="1" x14ac:dyDescent="0.3">
      <c r="B568" s="83">
        <v>45401</v>
      </c>
      <c r="C568" s="2">
        <v>0.69</v>
      </c>
      <c r="D568" s="2">
        <v>7.0000000000000007E-2</v>
      </c>
      <c r="E568" s="77"/>
    </row>
    <row r="569" spans="2:5" ht="13.5" customHeight="1" x14ac:dyDescent="0.3">
      <c r="B569" s="83">
        <v>45404</v>
      </c>
      <c r="C569" s="2">
        <v>0.86</v>
      </c>
      <c r="D569" s="2">
        <v>0.39</v>
      </c>
      <c r="E569" s="77"/>
    </row>
    <row r="570" spans="2:5" ht="13.5" customHeight="1" x14ac:dyDescent="0.3">
      <c r="B570" s="83">
        <v>45405</v>
      </c>
      <c r="C570" s="2">
        <v>0.14000000000000001</v>
      </c>
      <c r="D570" s="2">
        <v>0.2</v>
      </c>
      <c r="E570" s="77"/>
    </row>
    <row r="571" spans="2:5" ht="13.5" customHeight="1" x14ac:dyDescent="0.3">
      <c r="B571" s="83">
        <v>45406</v>
      </c>
      <c r="C571" s="2">
        <v>0.15</v>
      </c>
      <c r="D571" s="2">
        <v>0.45</v>
      </c>
      <c r="E571" s="77"/>
    </row>
    <row r="572" spans="2:5" ht="13.5" customHeight="1" x14ac:dyDescent="0.3">
      <c r="B572" s="83">
        <v>45407</v>
      </c>
      <c r="C572" s="2">
        <v>0.75</v>
      </c>
      <c r="D572" s="2">
        <v>-0.59</v>
      </c>
      <c r="E572" s="77"/>
    </row>
    <row r="573" spans="2:5" ht="13.5" customHeight="1" x14ac:dyDescent="0.3">
      <c r="B573" s="83">
        <v>45408</v>
      </c>
      <c r="C573" s="2">
        <v>-0.67</v>
      </c>
      <c r="D573" s="2">
        <v>0.5</v>
      </c>
      <c r="E573" s="77"/>
    </row>
    <row r="574" spans="2:5" ht="13.5" customHeight="1" x14ac:dyDescent="0.3">
      <c r="B574" s="83">
        <v>45411</v>
      </c>
      <c r="C574" s="2">
        <v>1</v>
      </c>
      <c r="D574" s="2">
        <v>-0.45</v>
      </c>
      <c r="E574" s="77"/>
    </row>
    <row r="575" spans="2:5" ht="13.5" customHeight="1" x14ac:dyDescent="0.3">
      <c r="B575" s="83">
        <v>45412</v>
      </c>
      <c r="C575" s="2">
        <v>-0.17</v>
      </c>
      <c r="D575" s="2">
        <v>0.21</v>
      </c>
      <c r="E575" s="77"/>
    </row>
    <row r="576" spans="2:5" ht="13.5" customHeight="1" x14ac:dyDescent="0.3">
      <c r="B576" s="83">
        <v>45414</v>
      </c>
      <c r="C576" s="2">
        <v>0.19</v>
      </c>
      <c r="D576" s="2">
        <v>3.46</v>
      </c>
      <c r="E576" s="77"/>
    </row>
    <row r="577" spans="2:5" ht="13.5" customHeight="1" x14ac:dyDescent="0.3">
      <c r="B577" s="83">
        <v>45415</v>
      </c>
      <c r="C577" s="2">
        <v>-0.76</v>
      </c>
      <c r="D577" s="2">
        <v>1.23</v>
      </c>
      <c r="E577" s="77"/>
    </row>
    <row r="578" spans="2:5" ht="13.5" customHeight="1" x14ac:dyDescent="0.3">
      <c r="B578" s="83">
        <v>45418</v>
      </c>
      <c r="C578" s="2">
        <v>-0.15</v>
      </c>
      <c r="D578" s="2">
        <v>-0.18</v>
      </c>
      <c r="E578" s="77"/>
    </row>
    <row r="579" spans="2:5" ht="13.5" customHeight="1" x14ac:dyDescent="0.3">
      <c r="B579" s="83">
        <v>45419</v>
      </c>
      <c r="C579" s="2">
        <v>-0.62</v>
      </c>
      <c r="D579" s="2">
        <v>5.21</v>
      </c>
      <c r="E579" s="77"/>
    </row>
    <row r="580" spans="2:5" ht="13.5" customHeight="1" x14ac:dyDescent="0.3">
      <c r="B580" s="83">
        <v>45420</v>
      </c>
      <c r="C580" s="2">
        <v>0</v>
      </c>
      <c r="D580" s="2">
        <v>-0.33</v>
      </c>
      <c r="E580" s="77"/>
    </row>
    <row r="581" spans="2:5" ht="13.5" customHeight="1" x14ac:dyDescent="0.3">
      <c r="B581" s="83">
        <v>45421</v>
      </c>
      <c r="C581" s="2">
        <v>-1.55</v>
      </c>
      <c r="D581" s="2">
        <v>-0.68</v>
      </c>
      <c r="E581" s="77"/>
    </row>
    <row r="582" spans="2:5" ht="13.5" customHeight="1" x14ac:dyDescent="0.3">
      <c r="B582" s="83">
        <v>45422</v>
      </c>
      <c r="C582" s="2">
        <v>0.44</v>
      </c>
      <c r="D582" s="2">
        <v>-0.36</v>
      </c>
      <c r="E582" s="77"/>
    </row>
    <row r="583" spans="2:5" ht="13.5" customHeight="1" x14ac:dyDescent="0.3">
      <c r="B583" s="83">
        <v>45425</v>
      </c>
      <c r="C583" s="2">
        <v>0.22</v>
      </c>
      <c r="D583" s="2">
        <v>-0.1</v>
      </c>
      <c r="E583" s="77"/>
    </row>
    <row r="584" spans="2:5" ht="13.5" customHeight="1" x14ac:dyDescent="0.3">
      <c r="B584" s="83">
        <v>45426</v>
      </c>
      <c r="C584" s="2">
        <v>0.51</v>
      </c>
      <c r="D584" s="2">
        <v>0.78</v>
      </c>
      <c r="E584" s="77"/>
    </row>
    <row r="585" spans="2:5" ht="13.5" customHeight="1" x14ac:dyDescent="0.3">
      <c r="B585" s="83">
        <v>45427</v>
      </c>
      <c r="C585" s="2">
        <v>-0.08</v>
      </c>
      <c r="D585" s="2">
        <v>-1.57</v>
      </c>
      <c r="E585" s="77"/>
    </row>
    <row r="586" spans="2:5" ht="13.5" customHeight="1" x14ac:dyDescent="0.3">
      <c r="B586" s="83">
        <v>45428</v>
      </c>
      <c r="C586" s="2">
        <v>0.92</v>
      </c>
      <c r="D586" s="2">
        <v>-0.7</v>
      </c>
      <c r="E586" s="77"/>
    </row>
    <row r="587" spans="2:5" ht="13.5" customHeight="1" x14ac:dyDescent="0.3">
      <c r="B587" s="83">
        <v>45429</v>
      </c>
      <c r="C587" s="2">
        <v>0.28000000000000003</v>
      </c>
      <c r="D587" s="2">
        <v>-1.1499999999999999</v>
      </c>
      <c r="E587" s="77"/>
    </row>
    <row r="588" spans="2:5" ht="13.5" customHeight="1" x14ac:dyDescent="0.3">
      <c r="B588" s="83">
        <v>45433</v>
      </c>
      <c r="C588" s="2">
        <v>0.28000000000000003</v>
      </c>
      <c r="D588" s="2">
        <v>0.66</v>
      </c>
      <c r="E588" s="77"/>
    </row>
    <row r="589" spans="2:5" ht="13.5" customHeight="1" x14ac:dyDescent="0.3">
      <c r="B589" s="83">
        <v>45434</v>
      </c>
      <c r="C589" s="2">
        <v>0.31</v>
      </c>
      <c r="D589" s="2">
        <v>2.72</v>
      </c>
      <c r="E589" s="77"/>
    </row>
    <row r="590" spans="2:5" ht="13.5" customHeight="1" x14ac:dyDescent="0.3">
      <c r="B590" s="83">
        <v>45435</v>
      </c>
      <c r="C590" s="2">
        <v>1.64</v>
      </c>
      <c r="D590" s="2">
        <v>1.07</v>
      </c>
      <c r="E590" s="77"/>
    </row>
    <row r="591" spans="2:5" ht="13.5" customHeight="1" x14ac:dyDescent="0.3">
      <c r="B591" s="83">
        <v>45436</v>
      </c>
      <c r="C591" s="2">
        <v>-0.05</v>
      </c>
      <c r="D591" s="2">
        <v>-0.33</v>
      </c>
      <c r="E591" s="77"/>
    </row>
    <row r="592" spans="2:5" ht="13.5" customHeight="1" x14ac:dyDescent="0.3">
      <c r="B592" s="83">
        <v>45439</v>
      </c>
      <c r="C592" s="2">
        <v>-0.11</v>
      </c>
      <c r="D592" s="2">
        <v>1.67</v>
      </c>
      <c r="E592" s="77"/>
    </row>
    <row r="593" spans="2:5" ht="13.5" customHeight="1" x14ac:dyDescent="0.3">
      <c r="B593" s="83">
        <v>45440</v>
      </c>
      <c r="C593" s="2">
        <v>-0.19</v>
      </c>
      <c r="D593" s="2">
        <v>0.6</v>
      </c>
      <c r="E593" s="77"/>
    </row>
    <row r="594" spans="2:5" ht="13.5" customHeight="1" x14ac:dyDescent="0.3">
      <c r="B594" s="83">
        <v>45441</v>
      </c>
      <c r="C594" s="2">
        <v>-0.8</v>
      </c>
      <c r="D594" s="2">
        <v>-2.69</v>
      </c>
      <c r="E594" s="77"/>
    </row>
    <row r="595" spans="2:5" ht="13.5" customHeight="1" x14ac:dyDescent="0.3">
      <c r="B595" s="83">
        <v>45442</v>
      </c>
      <c r="C595" s="2">
        <v>-0.95</v>
      </c>
      <c r="D595" s="2">
        <v>-0.77</v>
      </c>
      <c r="E595" s="77"/>
    </row>
    <row r="596" spans="2:5" ht="13.5" customHeight="1" x14ac:dyDescent="0.3">
      <c r="B596" s="83">
        <v>45443</v>
      </c>
      <c r="C596" s="2">
        <v>0.19</v>
      </c>
      <c r="D596" s="2">
        <v>-1.1000000000000001</v>
      </c>
      <c r="E596" s="77"/>
    </row>
    <row r="597" spans="2:5" ht="13.5" customHeight="1" x14ac:dyDescent="0.3">
      <c r="B597" s="83">
        <v>45446</v>
      </c>
      <c r="C597" s="2">
        <v>3.25</v>
      </c>
      <c r="D597" s="2">
        <v>-0.06</v>
      </c>
      <c r="E597" s="77"/>
    </row>
    <row r="598" spans="2:5" ht="13.5" customHeight="1" x14ac:dyDescent="0.3">
      <c r="B598" s="83">
        <v>45447</v>
      </c>
      <c r="C598" s="2">
        <v>-5.93</v>
      </c>
      <c r="D598" s="2">
        <v>6.13</v>
      </c>
      <c r="E598" s="77"/>
    </row>
    <row r="599" spans="2:5" ht="13.5" customHeight="1" x14ac:dyDescent="0.3">
      <c r="B599" s="83">
        <v>45448</v>
      </c>
      <c r="C599" s="2">
        <v>3.36</v>
      </c>
      <c r="D599" s="2">
        <v>3.81</v>
      </c>
      <c r="E599" s="77"/>
    </row>
    <row r="600" spans="2:5" ht="13.5" customHeight="1" x14ac:dyDescent="0.3">
      <c r="B600" s="83">
        <v>45449</v>
      </c>
      <c r="C600" s="2">
        <v>0.89</v>
      </c>
      <c r="D600" s="2">
        <v>-0.51</v>
      </c>
      <c r="E600" s="77"/>
    </row>
    <row r="601" spans="2:5" ht="13.5" customHeight="1" x14ac:dyDescent="0.3">
      <c r="B601" s="83">
        <v>45450</v>
      </c>
      <c r="C601" s="2">
        <v>2.0499999999999998</v>
      </c>
      <c r="D601" s="2">
        <v>2.66</v>
      </c>
      <c r="E601" s="77"/>
    </row>
    <row r="602" spans="2:5" ht="13.5" customHeight="1" x14ac:dyDescent="0.3">
      <c r="B602" s="83">
        <v>45453</v>
      </c>
      <c r="C602" s="2">
        <v>-0.13</v>
      </c>
      <c r="D602" s="2">
        <v>1.1000000000000001</v>
      </c>
      <c r="E602" s="77"/>
    </row>
    <row r="603" spans="2:5" ht="13.5" customHeight="1" x14ac:dyDescent="0.3">
      <c r="B603" s="83">
        <v>45454</v>
      </c>
      <c r="C603" s="2">
        <v>0.02</v>
      </c>
      <c r="D603" s="2">
        <v>-1.03</v>
      </c>
      <c r="E603" s="77"/>
    </row>
    <row r="604" spans="2:5" ht="13.5" customHeight="1" x14ac:dyDescent="0.3">
      <c r="B604" s="83">
        <v>45455</v>
      </c>
      <c r="C604" s="2">
        <v>0.25</v>
      </c>
      <c r="D604" s="2">
        <v>0.99</v>
      </c>
      <c r="E604" s="77"/>
    </row>
    <row r="605" spans="2:5" ht="13.5" customHeight="1" x14ac:dyDescent="0.3">
      <c r="B605" s="83">
        <v>45456</v>
      </c>
      <c r="C605" s="2">
        <v>0.33</v>
      </c>
      <c r="D605" s="2">
        <v>-1.59</v>
      </c>
      <c r="E605" s="77"/>
    </row>
    <row r="606" spans="2:5" ht="13.5" customHeight="1" x14ac:dyDescent="0.3">
      <c r="B606" s="83">
        <v>45457</v>
      </c>
      <c r="C606" s="2">
        <v>0.28999999999999998</v>
      </c>
      <c r="D606" s="2">
        <v>-0.16</v>
      </c>
      <c r="E606" s="77"/>
    </row>
    <row r="607" spans="2:5" ht="13.5" customHeight="1" x14ac:dyDescent="0.3">
      <c r="B607" s="83">
        <v>45461</v>
      </c>
      <c r="C607" s="2">
        <v>0.39</v>
      </c>
      <c r="D607" s="2">
        <v>-1.39</v>
      </c>
      <c r="E607" s="77"/>
    </row>
    <row r="608" spans="2:5" ht="13.5" customHeight="1" x14ac:dyDescent="0.3">
      <c r="B608" s="83">
        <v>45462</v>
      </c>
      <c r="C608" s="2">
        <v>-0.18</v>
      </c>
      <c r="D608" s="2">
        <v>-0.27</v>
      </c>
      <c r="E608" s="77"/>
    </row>
    <row r="609" spans="2:5" ht="13.5" customHeight="1" x14ac:dyDescent="0.3">
      <c r="B609" s="83">
        <v>45463</v>
      </c>
      <c r="C609" s="2">
        <v>0.22</v>
      </c>
      <c r="D609" s="2">
        <v>0.37</v>
      </c>
      <c r="E609" s="77"/>
    </row>
    <row r="610" spans="2:5" ht="13.5" customHeight="1" x14ac:dyDescent="0.3">
      <c r="B610" s="83">
        <v>45464</v>
      </c>
      <c r="C610" s="2">
        <v>-0.28000000000000003</v>
      </c>
      <c r="D610" s="2">
        <v>-1.8</v>
      </c>
      <c r="E610" s="77"/>
    </row>
    <row r="611" spans="2:5" ht="13.5" customHeight="1" x14ac:dyDescent="0.3">
      <c r="B611" s="83">
        <v>45467</v>
      </c>
      <c r="C611" s="2">
        <v>0.16</v>
      </c>
      <c r="D611" s="2">
        <v>1.66</v>
      </c>
      <c r="E611" s="77"/>
    </row>
    <row r="612" spans="2:5" ht="13.5" customHeight="1" x14ac:dyDescent="0.3">
      <c r="B612" s="83">
        <v>45468</v>
      </c>
      <c r="C612" s="2">
        <v>0.78</v>
      </c>
      <c r="D612" s="2">
        <v>-1.07</v>
      </c>
      <c r="E612" s="77"/>
    </row>
    <row r="613" spans="2:5" ht="13.5" customHeight="1" x14ac:dyDescent="0.3">
      <c r="B613" s="83">
        <v>45469</v>
      </c>
      <c r="C613" s="2">
        <v>0.62</v>
      </c>
      <c r="D613" s="2">
        <v>1.42</v>
      </c>
      <c r="E613" s="77"/>
    </row>
    <row r="614" spans="2:5" ht="13.5" customHeight="1" x14ac:dyDescent="0.3">
      <c r="B614" s="83">
        <v>45470</v>
      </c>
      <c r="C614" s="2">
        <v>0.74</v>
      </c>
      <c r="D614" s="2">
        <v>-0.42</v>
      </c>
      <c r="E614" s="77"/>
    </row>
    <row r="615" spans="2:5" ht="13.5" customHeight="1" x14ac:dyDescent="0.3">
      <c r="B615" s="83">
        <v>45471</v>
      </c>
      <c r="C615" s="2">
        <v>-0.14000000000000001</v>
      </c>
      <c r="D615" s="2">
        <v>0.23</v>
      </c>
      <c r="E615" s="77"/>
    </row>
    <row r="616" spans="2:5" ht="13.5" customHeight="1" x14ac:dyDescent="0.3">
      <c r="B616" s="83">
        <v>45474</v>
      </c>
      <c r="C616" s="2">
        <v>0.55000000000000004</v>
      </c>
      <c r="D616" s="2">
        <v>1.71</v>
      </c>
      <c r="E616" s="77"/>
    </row>
    <row r="617" spans="2:5" ht="13.5" customHeight="1" x14ac:dyDescent="0.3">
      <c r="B617" s="83">
        <v>45475</v>
      </c>
      <c r="C617" s="2">
        <v>-7.0000000000000007E-2</v>
      </c>
      <c r="D617" s="2">
        <v>-1.33</v>
      </c>
      <c r="E617" s="77"/>
    </row>
    <row r="618" spans="2:5" ht="13.5" customHeight="1" x14ac:dyDescent="0.3">
      <c r="B618" s="83">
        <v>45476</v>
      </c>
      <c r="C618" s="2">
        <v>0.67</v>
      </c>
      <c r="D618" s="2">
        <v>1.1399999999999999</v>
      </c>
      <c r="E618" s="77"/>
    </row>
    <row r="619" spans="2:5" ht="13.5" customHeight="1" x14ac:dyDescent="0.3">
      <c r="B619" s="83">
        <v>45477</v>
      </c>
      <c r="C619" s="2">
        <v>0.06</v>
      </c>
      <c r="D619" s="2">
        <v>-0.62</v>
      </c>
      <c r="E619" s="77"/>
    </row>
    <row r="620" spans="2:5" ht="13.5" customHeight="1" x14ac:dyDescent="0.3">
      <c r="B620" s="83">
        <v>45478</v>
      </c>
      <c r="C620" s="2">
        <v>0.09</v>
      </c>
      <c r="D620" s="2">
        <v>0.08</v>
      </c>
      <c r="E620" s="77"/>
    </row>
    <row r="621" spans="2:5" ht="13.5" customHeight="1" x14ac:dyDescent="0.3">
      <c r="B621" s="83">
        <v>45481</v>
      </c>
      <c r="C621" s="2">
        <v>-0.01</v>
      </c>
      <c r="D621" s="2">
        <v>2.8</v>
      </c>
      <c r="E621" s="77"/>
    </row>
    <row r="622" spans="2:5" ht="13.5" customHeight="1" x14ac:dyDescent="0.3">
      <c r="B622" s="83">
        <v>45482</v>
      </c>
      <c r="C622" s="2">
        <v>0.46</v>
      </c>
      <c r="D622" s="2">
        <v>1.08</v>
      </c>
      <c r="E622" s="77"/>
    </row>
    <row r="623" spans="2:5" ht="13.5" customHeight="1" x14ac:dyDescent="0.3">
      <c r="B623" s="83">
        <v>45483</v>
      </c>
      <c r="C623" s="2">
        <v>-0.45</v>
      </c>
      <c r="D623" s="2">
        <v>0.24</v>
      </c>
      <c r="E623" s="77"/>
    </row>
    <row r="624" spans="2:5" ht="13.5" customHeight="1" x14ac:dyDescent="0.3">
      <c r="B624" s="83">
        <v>45484</v>
      </c>
      <c r="C624" s="2">
        <v>-0.03</v>
      </c>
      <c r="D624" s="2">
        <v>-0.37</v>
      </c>
      <c r="E624" s="77"/>
    </row>
    <row r="625" spans="2:5" ht="13.5" customHeight="1" x14ac:dyDescent="0.3">
      <c r="B625" s="83">
        <v>45485</v>
      </c>
      <c r="C625" s="2">
        <v>0.77</v>
      </c>
      <c r="D625" s="2">
        <v>0.1</v>
      </c>
      <c r="E625" s="77"/>
    </row>
    <row r="626" spans="2:5" ht="13.5" customHeight="1" x14ac:dyDescent="0.3">
      <c r="B626" s="83">
        <v>45488</v>
      </c>
      <c r="C626" s="2">
        <v>0.35</v>
      </c>
      <c r="D626" s="2">
        <v>0.38</v>
      </c>
      <c r="E626" s="77"/>
    </row>
    <row r="627" spans="2:5" ht="13.5" customHeight="1" x14ac:dyDescent="0.3">
      <c r="B627" s="83">
        <v>45489</v>
      </c>
      <c r="C627" s="2">
        <v>0.11</v>
      </c>
      <c r="D627" s="2">
        <v>1.35</v>
      </c>
      <c r="E627" s="77"/>
    </row>
    <row r="628" spans="2:5" ht="13.5" customHeight="1" x14ac:dyDescent="0.3">
      <c r="B628" s="83">
        <v>45491</v>
      </c>
      <c r="C628" s="2">
        <v>0.76</v>
      </c>
      <c r="D628" s="2">
        <v>0.61</v>
      </c>
      <c r="E628" s="77"/>
    </row>
    <row r="629" spans="2:5" ht="13.5" customHeight="1" x14ac:dyDescent="0.3">
      <c r="B629" s="83">
        <v>45492</v>
      </c>
      <c r="C629" s="2">
        <v>-1.0900000000000001</v>
      </c>
      <c r="D629" s="2">
        <v>-1.43</v>
      </c>
      <c r="E629" s="77"/>
    </row>
    <row r="630" spans="2:5" ht="13.5" customHeight="1" x14ac:dyDescent="0.3">
      <c r="B630" s="83">
        <v>45495</v>
      </c>
      <c r="C630" s="2">
        <v>-0.09</v>
      </c>
      <c r="D630" s="2">
        <v>0.59</v>
      </c>
      <c r="E630" s="77"/>
    </row>
    <row r="631" spans="2:5" ht="13.5" customHeight="1" x14ac:dyDescent="0.3">
      <c r="B631" s="83">
        <v>45496</v>
      </c>
      <c r="C631" s="2">
        <v>-0.12</v>
      </c>
      <c r="D631" s="2">
        <v>2.46</v>
      </c>
      <c r="E631" s="77"/>
    </row>
    <row r="632" spans="2:5" ht="13.5" customHeight="1" x14ac:dyDescent="0.3">
      <c r="B632" s="83">
        <v>45497</v>
      </c>
      <c r="C632" s="2">
        <v>-0.27</v>
      </c>
      <c r="D632" s="2">
        <v>-2.78</v>
      </c>
      <c r="E632" s="77"/>
    </row>
    <row r="633" spans="2:5" ht="13.5" customHeight="1" x14ac:dyDescent="0.3">
      <c r="B633" s="83">
        <v>45498</v>
      </c>
      <c r="C633" s="2">
        <v>-0.03</v>
      </c>
      <c r="D633" s="2">
        <v>-0.47</v>
      </c>
      <c r="E633" s="77"/>
    </row>
    <row r="634" spans="2:5" ht="13.5" customHeight="1" x14ac:dyDescent="0.3">
      <c r="B634" s="83">
        <v>45499</v>
      </c>
      <c r="C634" s="2">
        <v>1.76</v>
      </c>
      <c r="D634" s="2">
        <v>0.2</v>
      </c>
      <c r="E634" s="77"/>
    </row>
    <row r="635" spans="2:5" ht="13.5" customHeight="1" x14ac:dyDescent="0.3">
      <c r="B635" s="83">
        <v>45502</v>
      </c>
      <c r="C635" s="2">
        <v>0.01</v>
      </c>
      <c r="D635" s="2">
        <v>1.37</v>
      </c>
      <c r="E635" s="77"/>
    </row>
    <row r="636" spans="2:5" ht="13.5" customHeight="1" x14ac:dyDescent="0.3">
      <c r="B636" s="83">
        <v>45503</v>
      </c>
      <c r="C636" s="2">
        <v>0.09</v>
      </c>
      <c r="D636" s="2">
        <v>-1.1200000000000001</v>
      </c>
      <c r="E636" s="77"/>
    </row>
    <row r="637" spans="2:5" ht="13.5" customHeight="1" x14ac:dyDescent="0.3">
      <c r="B637" s="83">
        <v>45504</v>
      </c>
      <c r="C637" s="2">
        <v>0.38</v>
      </c>
      <c r="D637" s="2">
        <v>0.28000000000000003</v>
      </c>
      <c r="E637" s="77"/>
    </row>
    <row r="638" spans="2:5" ht="13.5" customHeight="1" x14ac:dyDescent="0.3">
      <c r="B638" s="83">
        <v>45505</v>
      </c>
      <c r="C638" s="2">
        <v>0.24</v>
      </c>
      <c r="D638" s="2">
        <v>1.23</v>
      </c>
      <c r="E638" s="77"/>
    </row>
    <row r="639" spans="2:5" ht="13.5" customHeight="1" x14ac:dyDescent="0.3">
      <c r="B639" s="83">
        <v>45506</v>
      </c>
      <c r="C639" s="2">
        <v>-1.17</v>
      </c>
      <c r="D639" s="2">
        <v>-2.48</v>
      </c>
      <c r="E639" s="77"/>
    </row>
    <row r="640" spans="2:5" ht="13.5" customHeight="1" x14ac:dyDescent="0.3">
      <c r="B640" s="83">
        <v>45509</v>
      </c>
      <c r="C640" s="2">
        <v>-2.68</v>
      </c>
      <c r="D640" s="2">
        <v>1.03</v>
      </c>
      <c r="E640" s="77"/>
    </row>
    <row r="641" spans="2:5" ht="13.5" customHeight="1" x14ac:dyDescent="0.3">
      <c r="B641" s="83">
        <v>45510</v>
      </c>
      <c r="C641" s="2">
        <v>-0.26</v>
      </c>
      <c r="D641" s="2">
        <v>-0.76</v>
      </c>
      <c r="E641" s="77"/>
    </row>
    <row r="642" spans="2:5" ht="13.5" customHeight="1" x14ac:dyDescent="0.3">
      <c r="B642" s="83">
        <v>45511</v>
      </c>
      <c r="C642" s="2">
        <v>1.27</v>
      </c>
      <c r="D642" s="2">
        <v>1.61</v>
      </c>
      <c r="E642" s="77"/>
    </row>
    <row r="643" spans="2:5" ht="13.5" customHeight="1" x14ac:dyDescent="0.3">
      <c r="B643" s="83">
        <v>45512</v>
      </c>
      <c r="C643" s="2">
        <v>-0.74</v>
      </c>
      <c r="D643" s="2">
        <v>-0.28000000000000003</v>
      </c>
      <c r="E643" s="77"/>
    </row>
    <row r="644" spans="2:5" ht="13.5" customHeight="1" x14ac:dyDescent="0.3">
      <c r="B644" s="83">
        <v>45513</v>
      </c>
      <c r="C644" s="2">
        <v>1.04</v>
      </c>
      <c r="D644" s="2">
        <v>-2.12</v>
      </c>
      <c r="E644" s="77"/>
    </row>
    <row r="645" spans="2:5" ht="13.5" customHeight="1" x14ac:dyDescent="0.3">
      <c r="B645" s="83">
        <v>45516</v>
      </c>
      <c r="C645" s="2">
        <v>-0.08</v>
      </c>
      <c r="D645" s="2">
        <v>-0.57999999999999996</v>
      </c>
      <c r="E645" s="77"/>
    </row>
    <row r="646" spans="2:5" ht="13.5" customHeight="1" x14ac:dyDescent="0.3">
      <c r="B646" s="83">
        <v>45517</v>
      </c>
      <c r="C646" s="2">
        <v>-0.85</v>
      </c>
      <c r="D646" s="2">
        <v>-2.34</v>
      </c>
      <c r="E646" s="77"/>
    </row>
    <row r="647" spans="2:5" ht="13.5" customHeight="1" x14ac:dyDescent="0.3">
      <c r="B647" s="83">
        <v>45518</v>
      </c>
      <c r="C647" s="2">
        <v>0.02</v>
      </c>
      <c r="D647" s="2">
        <v>-0.24</v>
      </c>
      <c r="E647" s="77"/>
    </row>
    <row r="648" spans="2:5" ht="13.5" customHeight="1" x14ac:dyDescent="0.3">
      <c r="B648" s="83">
        <v>45520</v>
      </c>
      <c r="C648" s="2">
        <v>1.65</v>
      </c>
      <c r="D648" s="2">
        <v>2.1800000000000002</v>
      </c>
      <c r="E648" s="77"/>
    </row>
    <row r="649" spans="2:5" ht="13.5" customHeight="1" x14ac:dyDescent="0.3">
      <c r="B649" s="83">
        <v>45523</v>
      </c>
      <c r="C649" s="2">
        <v>0.13</v>
      </c>
      <c r="D649" s="2">
        <v>0.6</v>
      </c>
      <c r="E649" s="77"/>
    </row>
    <row r="650" spans="2:5" ht="13.5" customHeight="1" x14ac:dyDescent="0.3">
      <c r="B650" s="83">
        <v>45524</v>
      </c>
      <c r="C650" s="2">
        <v>0.51</v>
      </c>
      <c r="D650" s="2">
        <v>0.28999999999999998</v>
      </c>
      <c r="E650" s="77"/>
    </row>
    <row r="651" spans="2:5" ht="13.5" customHeight="1" x14ac:dyDescent="0.3">
      <c r="B651" s="83">
        <v>45525</v>
      </c>
      <c r="C651" s="2">
        <v>0.28999999999999998</v>
      </c>
      <c r="D651" s="2">
        <v>1.81</v>
      </c>
      <c r="E651" s="77"/>
    </row>
    <row r="652" spans="2:5" ht="13.5" customHeight="1" x14ac:dyDescent="0.3">
      <c r="B652" s="83">
        <v>45526</v>
      </c>
      <c r="C652" s="2">
        <v>0.17</v>
      </c>
      <c r="D652" s="2">
        <v>1.86</v>
      </c>
      <c r="E652" s="77"/>
    </row>
    <row r="653" spans="2:5" ht="13.5" customHeight="1" x14ac:dyDescent="0.3">
      <c r="B653" s="83">
        <v>45527</v>
      </c>
      <c r="C653" s="2">
        <v>0.05</v>
      </c>
      <c r="D653" s="2">
        <v>-0.45</v>
      </c>
      <c r="E653" s="77"/>
    </row>
    <row r="654" spans="2:5" ht="13.5" customHeight="1" x14ac:dyDescent="0.3">
      <c r="B654" s="83">
        <v>45530</v>
      </c>
      <c r="C654" s="2">
        <v>0.76</v>
      </c>
      <c r="D654" s="2">
        <v>1.76</v>
      </c>
      <c r="E654" s="77"/>
    </row>
    <row r="655" spans="2:5" ht="13.5" customHeight="1" x14ac:dyDescent="0.3">
      <c r="B655" s="83">
        <v>45531</v>
      </c>
      <c r="C655" s="2">
        <v>0.03</v>
      </c>
      <c r="D655" s="2">
        <v>-1.7</v>
      </c>
      <c r="E655" s="77"/>
    </row>
    <row r="656" spans="2:5" ht="13.5" customHeight="1" x14ac:dyDescent="0.3">
      <c r="B656" s="83">
        <v>45532</v>
      </c>
      <c r="C656" s="2">
        <v>0.14000000000000001</v>
      </c>
      <c r="D656" s="2">
        <v>0.16</v>
      </c>
      <c r="E656" s="77"/>
    </row>
    <row r="657" spans="2:5" ht="13.5" customHeight="1" x14ac:dyDescent="0.3">
      <c r="B657" s="83">
        <v>45533</v>
      </c>
      <c r="C657" s="2">
        <v>0.4</v>
      </c>
      <c r="D657" s="2">
        <v>-0.04</v>
      </c>
      <c r="E657" s="77"/>
    </row>
    <row r="658" spans="2:5" ht="13.5" customHeight="1" x14ac:dyDescent="0.3">
      <c r="B658" s="83">
        <v>45534</v>
      </c>
      <c r="C658" s="2">
        <v>0.33</v>
      </c>
      <c r="D658" s="2">
        <v>-1.0900000000000001</v>
      </c>
      <c r="E658" s="77"/>
    </row>
    <row r="659" spans="2:5" ht="13.5" customHeight="1" x14ac:dyDescent="0.3">
      <c r="B659" s="83">
        <v>45537</v>
      </c>
      <c r="C659" s="2">
        <v>0.17</v>
      </c>
      <c r="D659" s="2">
        <v>-0.08</v>
      </c>
      <c r="E659" s="77"/>
    </row>
    <row r="660" spans="2:5" ht="13.5" customHeight="1" x14ac:dyDescent="0.3">
      <c r="B660" s="83">
        <v>45538</v>
      </c>
      <c r="C660" s="2">
        <v>0</v>
      </c>
      <c r="D660" s="2">
        <v>0.24</v>
      </c>
      <c r="E660" s="77"/>
    </row>
    <row r="661" spans="2:5" ht="13.5" customHeight="1" x14ac:dyDescent="0.3">
      <c r="B661" s="83">
        <v>45539</v>
      </c>
      <c r="C661" s="2">
        <v>-0.32</v>
      </c>
      <c r="D661" s="2">
        <v>1.86</v>
      </c>
      <c r="E661" s="77"/>
    </row>
    <row r="662" spans="2:5" ht="13.5" customHeight="1" x14ac:dyDescent="0.3">
      <c r="B662" s="83">
        <v>45540</v>
      </c>
      <c r="C662" s="2">
        <v>-0.21</v>
      </c>
      <c r="D662" s="2">
        <v>-0.81</v>
      </c>
      <c r="E662" s="77"/>
    </row>
    <row r="663" spans="2:5" ht="13.5" customHeight="1" x14ac:dyDescent="0.3">
      <c r="B663" s="83">
        <v>45541</v>
      </c>
      <c r="C663" s="2">
        <v>-1.17</v>
      </c>
      <c r="D663" s="2">
        <v>-0.06</v>
      </c>
      <c r="E663" s="77"/>
    </row>
    <row r="664" spans="2:5" ht="13.5" customHeight="1" x14ac:dyDescent="0.3">
      <c r="B664" s="83">
        <v>45544</v>
      </c>
      <c r="C664" s="2">
        <v>0.34</v>
      </c>
      <c r="D664" s="2">
        <v>2.79</v>
      </c>
      <c r="E664" s="77"/>
    </row>
    <row r="665" spans="2:5" ht="13.5" customHeight="1" x14ac:dyDescent="0.3">
      <c r="B665" s="83">
        <v>45545</v>
      </c>
      <c r="C665" s="2">
        <v>0.42</v>
      </c>
      <c r="D665" s="2">
        <v>0.44</v>
      </c>
      <c r="E665" s="77"/>
    </row>
    <row r="666" spans="2:5" ht="13.5" customHeight="1" x14ac:dyDescent="0.3">
      <c r="B666" s="83">
        <v>45546</v>
      </c>
      <c r="C666" s="2">
        <v>-0.49</v>
      </c>
      <c r="D666" s="2">
        <v>-0.2</v>
      </c>
      <c r="E666" s="77"/>
    </row>
    <row r="667" spans="2:5" ht="13.5" customHeight="1" x14ac:dyDescent="0.3">
      <c r="B667" s="83">
        <v>45547</v>
      </c>
      <c r="C667" s="2">
        <v>1.89</v>
      </c>
      <c r="D667" s="2">
        <v>0.13</v>
      </c>
      <c r="E667" s="77"/>
    </row>
    <row r="668" spans="2:5" ht="13.5" customHeight="1" x14ac:dyDescent="0.3">
      <c r="B668" s="83">
        <v>45548</v>
      </c>
      <c r="C668" s="2">
        <v>-0.13</v>
      </c>
      <c r="D668" s="2">
        <v>-0.57999999999999996</v>
      </c>
      <c r="E668" s="77"/>
    </row>
    <row r="669" spans="2:5" ht="13.5" customHeight="1" x14ac:dyDescent="0.3">
      <c r="B669" s="83">
        <v>45551</v>
      </c>
      <c r="C669" s="2">
        <v>0.11</v>
      </c>
      <c r="D669" s="2">
        <v>7.0000000000000007E-2</v>
      </c>
      <c r="E669" s="77"/>
    </row>
    <row r="670" spans="2:5" ht="13.5" customHeight="1" x14ac:dyDescent="0.3">
      <c r="B670" s="83">
        <v>45552</v>
      </c>
      <c r="C670" s="2">
        <v>0.14000000000000001</v>
      </c>
      <c r="D670" s="2">
        <v>-0.18</v>
      </c>
      <c r="E670" s="77"/>
    </row>
    <row r="671" spans="2:5" ht="13.5" customHeight="1" x14ac:dyDescent="0.3">
      <c r="B671" s="83">
        <v>45553</v>
      </c>
      <c r="C671" s="2">
        <v>-0.16</v>
      </c>
      <c r="D671" s="2">
        <v>-0.87</v>
      </c>
      <c r="E671" s="77"/>
    </row>
    <row r="672" spans="2:5" ht="13.5" customHeight="1" x14ac:dyDescent="0.3">
      <c r="B672" s="83">
        <v>45554</v>
      </c>
      <c r="C672" s="2">
        <v>0.15</v>
      </c>
      <c r="D672" s="2">
        <v>1.57</v>
      </c>
      <c r="E672" s="77"/>
    </row>
    <row r="673" spans="2:5" ht="13.5" customHeight="1" x14ac:dyDescent="0.3">
      <c r="B673" s="83">
        <v>45555</v>
      </c>
      <c r="C673" s="2">
        <v>1.48</v>
      </c>
      <c r="D673" s="2">
        <v>0.43</v>
      </c>
      <c r="E673" s="77"/>
    </row>
    <row r="674" spans="2:5" ht="13.5" customHeight="1" x14ac:dyDescent="0.3">
      <c r="B674" s="83">
        <v>45558</v>
      </c>
      <c r="C674" s="2">
        <v>0.56999999999999995</v>
      </c>
      <c r="D674" s="2">
        <v>-0.97</v>
      </c>
      <c r="E674" s="77"/>
    </row>
    <row r="675" spans="2:5" ht="13.5" customHeight="1" x14ac:dyDescent="0.3">
      <c r="B675" s="83">
        <v>45559</v>
      </c>
      <c r="C675" s="2">
        <v>0.01</v>
      </c>
      <c r="D675" s="2">
        <v>-0.79</v>
      </c>
      <c r="E675" s="77"/>
    </row>
    <row r="676" spans="2:5" ht="13.5" customHeight="1" x14ac:dyDescent="0.3">
      <c r="B676" s="83">
        <v>45560</v>
      </c>
      <c r="C676" s="2">
        <v>0.25</v>
      </c>
      <c r="D676" s="2">
        <v>-4.4000000000000004</v>
      </c>
      <c r="E676" s="77"/>
    </row>
    <row r="677" spans="2:5" ht="13.5" customHeight="1" x14ac:dyDescent="0.3">
      <c r="B677" s="83">
        <v>45561</v>
      </c>
      <c r="C677" s="2">
        <v>0.81</v>
      </c>
      <c r="D677" s="2">
        <v>-0.2</v>
      </c>
      <c r="E677" s="77"/>
    </row>
    <row r="678" spans="2:5" ht="13.5" customHeight="1" x14ac:dyDescent="0.3">
      <c r="B678" s="83">
        <v>45562</v>
      </c>
      <c r="C678" s="2">
        <v>-0.14000000000000001</v>
      </c>
      <c r="D678" s="2">
        <v>1.1599999999999999</v>
      </c>
      <c r="E678" s="77"/>
    </row>
    <row r="679" spans="2:5" ht="13.5" customHeight="1" x14ac:dyDescent="0.3">
      <c r="B679" s="83">
        <v>45565</v>
      </c>
      <c r="C679" s="2">
        <v>-1.41</v>
      </c>
      <c r="D679" s="2">
        <v>-1.23</v>
      </c>
      <c r="E679" s="77"/>
    </row>
    <row r="680" spans="2:5" ht="13.5" customHeight="1" x14ac:dyDescent="0.3">
      <c r="B680" s="83">
        <v>45566</v>
      </c>
      <c r="C680" s="2">
        <v>-0.05</v>
      </c>
      <c r="D680" s="2">
        <v>-0.99</v>
      </c>
      <c r="E680" s="77"/>
    </row>
    <row r="681" spans="2:5" ht="13.5" customHeight="1" x14ac:dyDescent="0.3">
      <c r="B681" s="83">
        <v>45568</v>
      </c>
      <c r="C681" s="2">
        <v>-2.12</v>
      </c>
      <c r="D681" s="2">
        <v>-6.27</v>
      </c>
      <c r="E681" s="77"/>
    </row>
    <row r="682" spans="2:5" ht="13.5" customHeight="1" x14ac:dyDescent="0.3">
      <c r="B682" s="83">
        <v>45569</v>
      </c>
      <c r="C682" s="2">
        <v>-0.93</v>
      </c>
      <c r="D682" s="2">
        <v>-1.34</v>
      </c>
      <c r="E682" s="77"/>
    </row>
    <row r="683" spans="2:5" ht="13.5" customHeight="1" x14ac:dyDescent="0.3">
      <c r="B683" s="83">
        <v>45572</v>
      </c>
      <c r="C683" s="2">
        <v>-0.87</v>
      </c>
      <c r="D683" s="2">
        <v>-0.53</v>
      </c>
      <c r="E683" s="77"/>
    </row>
    <row r="684" spans="2:5" ht="13.5" customHeight="1" x14ac:dyDescent="0.3">
      <c r="B684" s="83">
        <v>45573</v>
      </c>
      <c r="C684" s="2">
        <v>0.88</v>
      </c>
      <c r="D684" s="2">
        <v>-0.36</v>
      </c>
      <c r="E684" s="77"/>
    </row>
    <row r="685" spans="2:5" ht="13.5" customHeight="1" x14ac:dyDescent="0.3">
      <c r="B685" s="83">
        <v>45574</v>
      </c>
      <c r="C685" s="2">
        <v>-0.12</v>
      </c>
      <c r="D685" s="2">
        <v>-0.41</v>
      </c>
      <c r="E685" s="77"/>
    </row>
    <row r="686" spans="2:5" ht="13.5" customHeight="1" x14ac:dyDescent="0.3">
      <c r="B686" s="83">
        <v>45575</v>
      </c>
      <c r="C686" s="2">
        <v>7.0000000000000007E-2</v>
      </c>
      <c r="D686" s="2">
        <v>1.18</v>
      </c>
      <c r="E686" s="77"/>
    </row>
    <row r="687" spans="2:5" ht="13.5" customHeight="1" x14ac:dyDescent="0.3">
      <c r="B687" s="83">
        <v>45576</v>
      </c>
      <c r="C687" s="2">
        <v>-0.14000000000000001</v>
      </c>
      <c r="D687" s="2">
        <v>-0.15</v>
      </c>
      <c r="E687" s="77"/>
    </row>
    <row r="688" spans="2:5" ht="13.5" customHeight="1" x14ac:dyDescent="0.3">
      <c r="B688" s="83">
        <v>45579</v>
      </c>
      <c r="C688" s="2">
        <v>0.66</v>
      </c>
      <c r="D688" s="2">
        <v>-0.62</v>
      </c>
      <c r="E688" s="77"/>
    </row>
    <row r="689" spans="2:5" ht="13.5" customHeight="1" x14ac:dyDescent="0.3">
      <c r="B689" s="83">
        <v>45580</v>
      </c>
      <c r="C689" s="2">
        <v>-0.28000000000000003</v>
      </c>
      <c r="D689" s="2">
        <v>0.65</v>
      </c>
      <c r="E689" s="77"/>
    </row>
    <row r="690" spans="2:5" ht="13.5" customHeight="1" x14ac:dyDescent="0.3">
      <c r="B690" s="83">
        <v>45581</v>
      </c>
      <c r="C690" s="2">
        <v>-0.34</v>
      </c>
      <c r="D690" s="2">
        <v>1.28</v>
      </c>
      <c r="E690" s="77"/>
    </row>
    <row r="691" spans="2:5" ht="13.5" customHeight="1" x14ac:dyDescent="0.3">
      <c r="B691" s="83">
        <v>45582</v>
      </c>
      <c r="C691" s="2">
        <v>-0.89</v>
      </c>
      <c r="D691" s="2">
        <v>-0.99</v>
      </c>
      <c r="E691" s="77"/>
    </row>
    <row r="692" spans="2:5" ht="13.5" customHeight="1" x14ac:dyDescent="0.3">
      <c r="B692" s="83">
        <v>45583</v>
      </c>
      <c r="C692" s="2">
        <v>0.42</v>
      </c>
      <c r="D692" s="2">
        <v>-0.2</v>
      </c>
      <c r="E692" s="77"/>
    </row>
    <row r="693" spans="2:5" ht="13.5" customHeight="1" x14ac:dyDescent="0.3">
      <c r="B693" s="83">
        <v>45586</v>
      </c>
      <c r="C693" s="2">
        <v>-0.28999999999999998</v>
      </c>
      <c r="D693" s="2">
        <v>-0.56000000000000005</v>
      </c>
      <c r="E693" s="77"/>
    </row>
    <row r="694" spans="2:5" ht="13.5" customHeight="1" x14ac:dyDescent="0.3">
      <c r="B694" s="83">
        <v>45587</v>
      </c>
      <c r="C694" s="2">
        <v>-1.25</v>
      </c>
      <c r="D694" s="2">
        <v>-1.6</v>
      </c>
      <c r="E694" s="77"/>
    </row>
    <row r="695" spans="2:5" ht="13.5" customHeight="1" x14ac:dyDescent="0.3">
      <c r="B695" s="83">
        <v>45588</v>
      </c>
      <c r="C695" s="2">
        <v>-0.15</v>
      </c>
      <c r="D695" s="2">
        <v>-7.0000000000000007E-2</v>
      </c>
      <c r="E695" s="77"/>
    </row>
    <row r="696" spans="2:5" ht="13.5" customHeight="1" x14ac:dyDescent="0.3">
      <c r="B696" s="83">
        <v>45589</v>
      </c>
      <c r="C696" s="2">
        <v>-0.15</v>
      </c>
      <c r="D696" s="2">
        <v>-3.17</v>
      </c>
      <c r="E696" s="77"/>
    </row>
    <row r="697" spans="2:5" ht="13.5" customHeight="1" x14ac:dyDescent="0.3">
      <c r="B697" s="83">
        <v>45590</v>
      </c>
      <c r="C697" s="2">
        <v>-0.9</v>
      </c>
      <c r="D697" s="2">
        <v>-0.43</v>
      </c>
      <c r="E697" s="77"/>
    </row>
    <row r="698" spans="2:5" ht="13.5" customHeight="1" x14ac:dyDescent="0.3">
      <c r="B698" s="83">
        <v>45593</v>
      </c>
      <c r="C698" s="2">
        <v>0.65</v>
      </c>
      <c r="D698" s="2">
        <v>2.78</v>
      </c>
      <c r="E698" s="77"/>
    </row>
    <row r="699" spans="2:5" ht="13.5" customHeight="1" x14ac:dyDescent="0.3">
      <c r="B699" s="83">
        <v>45594</v>
      </c>
      <c r="C699" s="2">
        <v>0.52</v>
      </c>
      <c r="D699" s="2">
        <v>-3.22</v>
      </c>
      <c r="E699" s="77"/>
    </row>
    <row r="700" spans="2:5" ht="13.5" customHeight="1" x14ac:dyDescent="0.3">
      <c r="B700" s="83">
        <v>45595</v>
      </c>
      <c r="C700" s="2">
        <v>-0.51</v>
      </c>
      <c r="D700" s="2">
        <v>2.02</v>
      </c>
      <c r="E700" s="77"/>
    </row>
    <row r="701" spans="2:5" ht="13.5" customHeight="1" x14ac:dyDescent="0.3">
      <c r="B701" s="83">
        <v>45596</v>
      </c>
      <c r="C701" s="2">
        <v>-0.56000000000000005</v>
      </c>
      <c r="D701" s="2">
        <v>-1.22</v>
      </c>
      <c r="E701" s="77"/>
    </row>
    <row r="702" spans="2:5" ht="13.5" customHeight="1" x14ac:dyDescent="0.3">
      <c r="B702" s="83">
        <v>45597</v>
      </c>
      <c r="C702" s="2">
        <v>0.41</v>
      </c>
      <c r="D702" s="2">
        <v>0.47</v>
      </c>
      <c r="E702" s="77"/>
    </row>
    <row r="703" spans="2:5" ht="13.5" customHeight="1" x14ac:dyDescent="0.3">
      <c r="B703" s="83">
        <v>45600</v>
      </c>
      <c r="C703" s="2">
        <v>-1.27</v>
      </c>
      <c r="D703" s="2">
        <v>-1.4</v>
      </c>
      <c r="E703" s="77"/>
    </row>
    <row r="704" spans="2:5" ht="13.5" customHeight="1" x14ac:dyDescent="0.3">
      <c r="B704" s="83">
        <v>45601</v>
      </c>
      <c r="C704" s="2">
        <v>0.91</v>
      </c>
      <c r="D704" s="2">
        <v>-0.02</v>
      </c>
      <c r="E704" s="77"/>
    </row>
    <row r="705" spans="2:5" ht="13.5" customHeight="1" x14ac:dyDescent="0.3">
      <c r="B705" s="83">
        <v>45602</v>
      </c>
      <c r="C705" s="2">
        <v>1.1200000000000001</v>
      </c>
      <c r="D705" s="2">
        <v>0.89</v>
      </c>
      <c r="E705" s="77"/>
    </row>
    <row r="706" spans="2:5" ht="13.5" customHeight="1" x14ac:dyDescent="0.3">
      <c r="B706" s="83">
        <v>45603</v>
      </c>
      <c r="C706" s="2">
        <v>-1.1599999999999999</v>
      </c>
      <c r="D706" s="2">
        <v>-0.95</v>
      </c>
      <c r="E706" s="77"/>
    </row>
    <row r="707" spans="2:5" ht="13.5" customHeight="1" x14ac:dyDescent="0.3">
      <c r="B707" s="83">
        <v>45604</v>
      </c>
      <c r="C707" s="2">
        <v>-0.21</v>
      </c>
      <c r="D707" s="2">
        <v>-0.05</v>
      </c>
      <c r="E707" s="77"/>
    </row>
    <row r="708" spans="2:5" ht="13.5" customHeight="1" x14ac:dyDescent="0.3">
      <c r="B708" s="83">
        <v>45607</v>
      </c>
      <c r="C708" s="2">
        <v>-0.03</v>
      </c>
      <c r="D708" s="2">
        <v>-1.65</v>
      </c>
      <c r="E708" s="77"/>
    </row>
    <row r="709" spans="2:5" ht="13.5" customHeight="1" x14ac:dyDescent="0.3">
      <c r="B709" s="83">
        <v>45608</v>
      </c>
      <c r="C709" s="2">
        <v>-1.07</v>
      </c>
      <c r="D709" s="2">
        <v>-2.34</v>
      </c>
      <c r="E709" s="77"/>
    </row>
    <row r="710" spans="2:5" ht="13.5" customHeight="1" x14ac:dyDescent="0.3">
      <c r="B710" s="83">
        <v>45609</v>
      </c>
      <c r="C710" s="2">
        <v>-1.36</v>
      </c>
      <c r="D710" s="2">
        <v>7.0000000000000007E-2</v>
      </c>
      <c r="E710" s="77"/>
    </row>
    <row r="711" spans="2:5" ht="13.5" customHeight="1" x14ac:dyDescent="0.3">
      <c r="B711" s="83">
        <v>45610</v>
      </c>
      <c r="C711" s="2">
        <v>-0.11</v>
      </c>
      <c r="D711" s="2">
        <v>-0.54</v>
      </c>
      <c r="E711" s="77"/>
    </row>
    <row r="712" spans="2:5" ht="13.5" customHeight="1" x14ac:dyDescent="0.3">
      <c r="B712" s="83">
        <v>45614</v>
      </c>
      <c r="C712" s="2">
        <v>-0.34</v>
      </c>
      <c r="D712" s="2">
        <v>0.08</v>
      </c>
      <c r="E712" s="77"/>
    </row>
    <row r="713" spans="2:5" ht="13.5" customHeight="1" x14ac:dyDescent="0.3">
      <c r="B713" s="83">
        <v>45615</v>
      </c>
      <c r="C713" s="2">
        <v>0.28000000000000003</v>
      </c>
      <c r="D713" s="2">
        <v>-0.06</v>
      </c>
      <c r="E713" s="77"/>
    </row>
    <row r="714" spans="2:5" ht="13.5" customHeight="1" x14ac:dyDescent="0.3">
      <c r="B714" s="83">
        <v>45617</v>
      </c>
      <c r="C714" s="2">
        <v>-0.72</v>
      </c>
      <c r="D714" s="2">
        <v>-0.48</v>
      </c>
      <c r="E714" s="77"/>
    </row>
    <row r="715" spans="2:5" ht="13.5" customHeight="1" x14ac:dyDescent="0.3">
      <c r="B715" s="83">
        <v>45618</v>
      </c>
      <c r="C715" s="2">
        <v>2.39</v>
      </c>
      <c r="D715" s="2">
        <v>1.43</v>
      </c>
      <c r="E715" s="77"/>
    </row>
    <row r="716" spans="2:5" ht="13.5" customHeight="1" x14ac:dyDescent="0.3">
      <c r="B716" s="83">
        <v>45621</v>
      </c>
      <c r="C716" s="2">
        <v>1.32</v>
      </c>
      <c r="D716" s="2">
        <v>1.66</v>
      </c>
      <c r="E716" s="77"/>
    </row>
    <row r="717" spans="2:5" ht="13.5" customHeight="1" x14ac:dyDescent="0.3">
      <c r="B717" s="83">
        <v>45622</v>
      </c>
      <c r="C717" s="2">
        <v>-0.11</v>
      </c>
      <c r="D717" s="2">
        <v>0.74</v>
      </c>
      <c r="E717" s="77"/>
    </row>
    <row r="718" spans="2:5" ht="13.5" customHeight="1" x14ac:dyDescent="0.3">
      <c r="B718" s="83">
        <v>45623</v>
      </c>
      <c r="C718" s="2">
        <v>0.33</v>
      </c>
      <c r="D718" s="2">
        <v>0.41</v>
      </c>
      <c r="E718" s="77"/>
    </row>
    <row r="719" spans="2:5" ht="13.5" customHeight="1" x14ac:dyDescent="0.3">
      <c r="B719" s="83">
        <v>45624</v>
      </c>
      <c r="C719" s="2">
        <v>-1.49</v>
      </c>
      <c r="D719" s="2">
        <v>-0.28000000000000003</v>
      </c>
      <c r="E719" s="77"/>
    </row>
    <row r="720" spans="2:5" ht="13.5" customHeight="1" x14ac:dyDescent="0.3">
      <c r="B720" s="83">
        <v>45625</v>
      </c>
      <c r="C720" s="2">
        <v>0.91</v>
      </c>
      <c r="D720" s="2">
        <v>0.22</v>
      </c>
      <c r="E720" s="77"/>
    </row>
    <row r="721" spans="2:5" ht="13.5" customHeight="1" x14ac:dyDescent="0.3">
      <c r="B721" s="83">
        <v>45628</v>
      </c>
      <c r="C721" s="2">
        <v>0.6</v>
      </c>
      <c r="D721" s="2">
        <v>-0.62</v>
      </c>
      <c r="E721" s="77"/>
    </row>
    <row r="722" spans="2:5" ht="13.5" customHeight="1" x14ac:dyDescent="0.3">
      <c r="B722" s="83">
        <v>45629</v>
      </c>
      <c r="C722" s="2">
        <v>0.75</v>
      </c>
      <c r="D722" s="2">
        <v>-0.26</v>
      </c>
      <c r="E722" s="77"/>
    </row>
    <row r="723" spans="2:5" ht="13.5" customHeight="1" x14ac:dyDescent="0.3">
      <c r="B723" s="83">
        <v>45630</v>
      </c>
      <c r="C723" s="2">
        <v>0.04</v>
      </c>
      <c r="D723" s="2">
        <v>0.05</v>
      </c>
      <c r="E723" s="77"/>
    </row>
    <row r="724" spans="2:5" ht="13.5" customHeight="1" x14ac:dyDescent="0.3">
      <c r="B724" s="83">
        <v>45631</v>
      </c>
      <c r="C724" s="2">
        <v>0.98</v>
      </c>
      <c r="D724" s="2">
        <v>7.0000000000000007E-2</v>
      </c>
      <c r="E724" s="77"/>
    </row>
    <row r="725" spans="2:5" ht="13.5" customHeight="1" x14ac:dyDescent="0.3">
      <c r="B725" s="83">
        <v>45632</v>
      </c>
      <c r="C725" s="2">
        <v>-0.12</v>
      </c>
      <c r="D725" s="2">
        <v>0.12</v>
      </c>
      <c r="E725" s="77"/>
    </row>
    <row r="726" spans="2:5" ht="13.5" customHeight="1" x14ac:dyDescent="0.3">
      <c r="B726" s="83">
        <v>45635</v>
      </c>
      <c r="C726" s="2">
        <v>-0.24</v>
      </c>
      <c r="D726" s="2">
        <v>-3.24</v>
      </c>
      <c r="E726" s="77"/>
    </row>
    <row r="727" spans="2:5" ht="13.5" customHeight="1" x14ac:dyDescent="0.3">
      <c r="B727" s="83">
        <v>45636</v>
      </c>
      <c r="C727" s="2">
        <v>-0.04</v>
      </c>
      <c r="D727" s="2">
        <v>0.02</v>
      </c>
      <c r="E727" s="77"/>
    </row>
    <row r="728" spans="2:5" ht="13.5" customHeight="1" x14ac:dyDescent="0.3">
      <c r="B728" s="83">
        <v>45637</v>
      </c>
      <c r="C728" s="2">
        <v>0.13</v>
      </c>
      <c r="D728" s="2">
        <v>0.28000000000000003</v>
      </c>
      <c r="E728" s="77"/>
    </row>
    <row r="729" spans="2:5" ht="13.5" customHeight="1" x14ac:dyDescent="0.3">
      <c r="B729" s="83">
        <v>45638</v>
      </c>
      <c r="C729" s="2">
        <v>-0.38</v>
      </c>
      <c r="D729" s="2">
        <v>-0.33</v>
      </c>
      <c r="E729" s="77"/>
    </row>
    <row r="730" spans="2:5" ht="13.5" customHeight="1" x14ac:dyDescent="0.3">
      <c r="B730" s="83">
        <v>45639</v>
      </c>
      <c r="C730" s="2">
        <v>0.89</v>
      </c>
      <c r="D730" s="2">
        <v>1.21</v>
      </c>
      <c r="E730" s="77"/>
    </row>
    <row r="731" spans="2:5" ht="13.5" customHeight="1" x14ac:dyDescent="0.3">
      <c r="B731" s="83">
        <v>45642</v>
      </c>
      <c r="C731" s="2">
        <v>-0.4</v>
      </c>
      <c r="D731" s="2">
        <v>-0.56000000000000005</v>
      </c>
      <c r="E731" s="77"/>
    </row>
    <row r="732" spans="2:5" ht="13.5" customHeight="1" x14ac:dyDescent="0.3">
      <c r="B732" s="83">
        <v>45643</v>
      </c>
      <c r="C732" s="2">
        <v>-1.35</v>
      </c>
      <c r="D732" s="2">
        <v>-0.89</v>
      </c>
      <c r="E732" s="77"/>
    </row>
    <row r="733" spans="2:5" ht="13.5" customHeight="1" x14ac:dyDescent="0.3">
      <c r="B733" s="83">
        <v>45644</v>
      </c>
      <c r="C733" s="2">
        <v>-0.56000000000000005</v>
      </c>
      <c r="D733" s="2">
        <v>0</v>
      </c>
      <c r="E733" s="77"/>
    </row>
    <row r="734" spans="2:5" ht="13.5" customHeight="1" x14ac:dyDescent="0.3">
      <c r="B734" s="83">
        <v>45645</v>
      </c>
      <c r="C734" s="2">
        <v>-1.02</v>
      </c>
      <c r="D734" s="2">
        <v>-0.28999999999999998</v>
      </c>
      <c r="E734" s="77"/>
    </row>
    <row r="735" spans="2:5" ht="13.5" customHeight="1" x14ac:dyDescent="0.3">
      <c r="B735" s="83">
        <v>45646</v>
      </c>
      <c r="C735" s="2">
        <v>-1.52</v>
      </c>
      <c r="D735" s="2">
        <v>-0.28000000000000003</v>
      </c>
      <c r="E735" s="77"/>
    </row>
    <row r="736" spans="2:5" ht="13.5" customHeight="1" x14ac:dyDescent="0.3">
      <c r="B736" s="83">
        <v>45649</v>
      </c>
      <c r="C736" s="2">
        <v>0.7</v>
      </c>
      <c r="D736" s="2">
        <v>1.38</v>
      </c>
      <c r="E736" s="77"/>
    </row>
    <row r="737" spans="2:5" ht="13.5" customHeight="1" x14ac:dyDescent="0.3">
      <c r="B737" s="83">
        <v>45650</v>
      </c>
      <c r="C737" s="2">
        <v>-0.11</v>
      </c>
      <c r="D737" s="2">
        <v>0.09</v>
      </c>
      <c r="E737" s="77"/>
    </row>
    <row r="738" spans="2:5" ht="13.5" customHeight="1" x14ac:dyDescent="0.3">
      <c r="B738" s="83">
        <v>45652</v>
      </c>
      <c r="C738" s="2">
        <v>0.1</v>
      </c>
      <c r="D738" s="2">
        <v>-0.85</v>
      </c>
      <c r="E738" s="77"/>
    </row>
    <row r="739" spans="2:5" ht="13.5" customHeight="1" x14ac:dyDescent="0.3">
      <c r="B739" s="83">
        <v>45653</v>
      </c>
      <c r="C739" s="2">
        <v>0.27</v>
      </c>
      <c r="D739" s="2">
        <v>0.31</v>
      </c>
      <c r="E739" s="77"/>
    </row>
    <row r="740" spans="2:5" ht="13.5" customHeight="1" x14ac:dyDescent="0.3">
      <c r="B740" s="83">
        <v>45656</v>
      </c>
      <c r="C740" s="2">
        <v>-0.71</v>
      </c>
      <c r="D740" s="2">
        <v>-0.37</v>
      </c>
      <c r="E740" s="77"/>
    </row>
    <row r="741" spans="2:5" ht="13.5" customHeight="1" x14ac:dyDescent="0.3">
      <c r="B741" s="83">
        <v>45657</v>
      </c>
      <c r="C741" s="2">
        <v>0</v>
      </c>
      <c r="D741" s="2">
        <v>0.35</v>
      </c>
      <c r="E741" s="77"/>
    </row>
    <row r="742" spans="2:5" ht="13.5" customHeight="1" x14ac:dyDescent="0.3">
      <c r="B742" s="83">
        <v>45658</v>
      </c>
      <c r="C742" s="2">
        <v>0.41</v>
      </c>
      <c r="D742" s="2">
        <v>0.78</v>
      </c>
      <c r="E742" s="77"/>
    </row>
    <row r="743" spans="2:5" ht="13.5" customHeight="1" x14ac:dyDescent="0.3">
      <c r="B743" s="83">
        <v>45659</v>
      </c>
      <c r="C743" s="2">
        <v>1.88</v>
      </c>
      <c r="D743" s="2">
        <v>0.47</v>
      </c>
      <c r="E743" s="77"/>
    </row>
    <row r="744" spans="2:5" ht="13.5" customHeight="1" x14ac:dyDescent="0.3">
      <c r="B744" s="83">
        <v>45660</v>
      </c>
      <c r="C744" s="2">
        <v>-0.76</v>
      </c>
      <c r="D744" s="2">
        <v>2.25</v>
      </c>
      <c r="E744" s="77"/>
    </row>
    <row r="745" spans="2:5" ht="13.5" customHeight="1" x14ac:dyDescent="0.3">
      <c r="B745" s="83">
        <v>45663</v>
      </c>
      <c r="C745" s="2">
        <v>-1.62</v>
      </c>
      <c r="D745" s="2">
        <v>-3.82</v>
      </c>
      <c r="E745" s="77"/>
    </row>
    <row r="746" spans="2:5" ht="13.5" customHeight="1" x14ac:dyDescent="0.3">
      <c r="B746" s="83">
        <v>45664</v>
      </c>
      <c r="C746" s="2">
        <v>0.39</v>
      </c>
      <c r="D746" s="2">
        <v>0.79</v>
      </c>
      <c r="E746" s="77"/>
    </row>
    <row r="747" spans="2:5" ht="13.5" customHeight="1" x14ac:dyDescent="0.3">
      <c r="B747" s="83">
        <v>45665</v>
      </c>
      <c r="C747" s="2">
        <v>-0.08</v>
      </c>
      <c r="D747" s="2">
        <v>0.96</v>
      </c>
      <c r="E747" s="77"/>
    </row>
    <row r="748" spans="2:5" ht="13.5" customHeight="1" x14ac:dyDescent="0.3">
      <c r="B748" s="83">
        <v>45666</v>
      </c>
      <c r="C748" s="2">
        <v>-0.69</v>
      </c>
      <c r="D748" s="2">
        <v>1.44</v>
      </c>
      <c r="E748" s="77"/>
    </row>
    <row r="749" spans="2:5" ht="13.5" customHeight="1" x14ac:dyDescent="0.3">
      <c r="B749" s="83">
        <v>45667</v>
      </c>
      <c r="C749" s="2">
        <v>-0.4</v>
      </c>
      <c r="D749" s="2">
        <v>-0.62</v>
      </c>
      <c r="E749" s="77"/>
    </row>
    <row r="750" spans="2:5" ht="13.5" customHeight="1" x14ac:dyDescent="0.3">
      <c r="B750" s="83">
        <v>45670</v>
      </c>
      <c r="C750" s="2">
        <v>-1.47</v>
      </c>
      <c r="D750" s="2">
        <v>-1.38</v>
      </c>
      <c r="E750" s="77"/>
    </row>
    <row r="751" spans="2:5" ht="13.5" customHeight="1" x14ac:dyDescent="0.3">
      <c r="B751" s="83">
        <v>45671</v>
      </c>
      <c r="C751" s="2">
        <v>0.39</v>
      </c>
      <c r="D751" s="2">
        <v>0.34</v>
      </c>
      <c r="E751" s="77"/>
    </row>
    <row r="752" spans="2:5" ht="13.5" customHeight="1" x14ac:dyDescent="0.3">
      <c r="B752" s="83">
        <v>45672</v>
      </c>
      <c r="C752" s="2">
        <v>0.16</v>
      </c>
      <c r="D752" s="2">
        <v>0.59</v>
      </c>
      <c r="E752" s="77"/>
    </row>
    <row r="753" spans="2:5" ht="13.5" customHeight="1" x14ac:dyDescent="0.3">
      <c r="B753" s="83">
        <v>45673</v>
      </c>
      <c r="C753" s="2">
        <v>0.42</v>
      </c>
      <c r="D753" s="2">
        <v>1.34</v>
      </c>
      <c r="E753" s="77"/>
    </row>
    <row r="754" spans="2:5" ht="13.5" customHeight="1" x14ac:dyDescent="0.3">
      <c r="B754" s="83">
        <v>45674</v>
      </c>
      <c r="C754" s="2">
        <v>-0.47</v>
      </c>
      <c r="D754" s="2">
        <v>0.7</v>
      </c>
      <c r="E754" s="77"/>
    </row>
    <row r="755" spans="2:5" ht="13.5" customHeight="1" x14ac:dyDescent="0.3">
      <c r="B755" s="83">
        <v>45677</v>
      </c>
      <c r="C755" s="2">
        <v>0.61</v>
      </c>
      <c r="D755" s="2">
        <v>-0.85</v>
      </c>
      <c r="E755" s="77"/>
    </row>
    <row r="756" spans="2:5" ht="13.5" customHeight="1" x14ac:dyDescent="0.3">
      <c r="B756" s="83">
        <v>45678</v>
      </c>
      <c r="C756" s="2">
        <v>-1.37</v>
      </c>
      <c r="D756" s="2">
        <v>-7.0000000000000007E-2</v>
      </c>
      <c r="E756" s="77"/>
    </row>
    <row r="757" spans="2:5" ht="13.5" customHeight="1" x14ac:dyDescent="0.3">
      <c r="B757" s="83">
        <v>45679</v>
      </c>
      <c r="C757" s="2">
        <v>0.56999999999999995</v>
      </c>
      <c r="D757" s="2">
        <v>-0.14000000000000001</v>
      </c>
      <c r="E757" s="77"/>
    </row>
    <row r="758" spans="2:5" ht="13.5" customHeight="1" x14ac:dyDescent="0.3">
      <c r="B758" s="83">
        <v>45680</v>
      </c>
      <c r="C758" s="2">
        <v>0.22</v>
      </c>
      <c r="D758" s="2">
        <v>0.79</v>
      </c>
      <c r="E758" s="77"/>
    </row>
    <row r="759" spans="2:5" ht="13.5" customHeight="1" x14ac:dyDescent="0.3">
      <c r="B759" s="83">
        <v>45681</v>
      </c>
      <c r="C759" s="2">
        <v>-0.49</v>
      </c>
      <c r="D759" s="2">
        <v>-0.56000000000000005</v>
      </c>
      <c r="E759" s="77"/>
    </row>
    <row r="760" spans="2:5" ht="13.5" customHeight="1" x14ac:dyDescent="0.3">
      <c r="B760" s="83">
        <v>45684</v>
      </c>
      <c r="C760" s="2">
        <v>-1.1399999999999999</v>
      </c>
      <c r="D760" s="2">
        <v>0.42</v>
      </c>
      <c r="E760" s="77"/>
    </row>
    <row r="761" spans="2:5" ht="13.5" customHeight="1" x14ac:dyDescent="0.3">
      <c r="B761" s="83">
        <v>45685</v>
      </c>
      <c r="C761" s="2">
        <v>0.56000000000000005</v>
      </c>
      <c r="D761" s="2">
        <v>0.28999999999999998</v>
      </c>
      <c r="E761" s="77"/>
    </row>
    <row r="762" spans="2:5" ht="13.5" customHeight="1" x14ac:dyDescent="0.3">
      <c r="B762" s="83">
        <v>45686</v>
      </c>
      <c r="C762" s="2">
        <v>0.9</v>
      </c>
      <c r="D762" s="2">
        <v>-1.38</v>
      </c>
      <c r="E762" s="77"/>
    </row>
    <row r="763" spans="2:5" ht="13.5" customHeight="1" x14ac:dyDescent="0.3">
      <c r="B763" s="83">
        <v>45687</v>
      </c>
      <c r="C763" s="2">
        <v>0.37</v>
      </c>
      <c r="D763" s="2">
        <v>3.01</v>
      </c>
      <c r="E763" s="77"/>
    </row>
    <row r="764" spans="2:5" ht="13.5" customHeight="1" x14ac:dyDescent="0.3">
      <c r="B764" s="83">
        <v>45688</v>
      </c>
      <c r="C764" s="2">
        <v>1.1100000000000001</v>
      </c>
      <c r="D764" s="2">
        <v>-0.72</v>
      </c>
      <c r="E764" s="77"/>
    </row>
    <row r="765" spans="2:5" ht="13.5" customHeight="1" x14ac:dyDescent="0.3">
      <c r="B765" s="83">
        <v>45691</v>
      </c>
      <c r="C765" s="2">
        <v>-0.52</v>
      </c>
      <c r="D765" s="2">
        <v>-0.84</v>
      </c>
      <c r="E765" s="77"/>
    </row>
    <row r="766" spans="2:5" ht="13.5" customHeight="1" x14ac:dyDescent="0.3">
      <c r="B766" s="83">
        <v>45692</v>
      </c>
      <c r="C766" s="2">
        <v>1.62</v>
      </c>
      <c r="D766" s="2">
        <v>1.22</v>
      </c>
      <c r="E766" s="77"/>
    </row>
    <row r="767" spans="2:5" ht="13.5" customHeight="1" x14ac:dyDescent="0.3">
      <c r="B767" s="83">
        <v>45693</v>
      </c>
      <c r="C767" s="2">
        <v>-0.18</v>
      </c>
      <c r="D767" s="2">
        <v>-1.77</v>
      </c>
      <c r="E767" s="77"/>
    </row>
    <row r="768" spans="2:5" ht="13.5" customHeight="1" x14ac:dyDescent="0.3">
      <c r="B768" s="83">
        <v>45694</v>
      </c>
      <c r="C768" s="2">
        <v>-0.39</v>
      </c>
      <c r="D768" s="2">
        <v>-1</v>
      </c>
      <c r="E768" s="77"/>
    </row>
    <row r="769" spans="2:5" ht="13.5" customHeight="1" x14ac:dyDescent="0.3">
      <c r="B769" s="83">
        <v>45695</v>
      </c>
      <c r="C769" s="2">
        <v>-0.18</v>
      </c>
      <c r="D769" s="2">
        <v>0.17</v>
      </c>
      <c r="E769" s="77"/>
    </row>
    <row r="770" spans="2:5" ht="13.5" customHeight="1" x14ac:dyDescent="0.3">
      <c r="B770" s="83">
        <v>45698</v>
      </c>
      <c r="C770" s="2">
        <v>-0.76</v>
      </c>
      <c r="D770" s="2">
        <v>0.19</v>
      </c>
      <c r="E770" s="77"/>
    </row>
    <row r="771" spans="2:5" ht="13.5" customHeight="1" x14ac:dyDescent="0.3">
      <c r="B771" s="83">
        <v>45699</v>
      </c>
      <c r="C771" s="2">
        <v>-1.32</v>
      </c>
      <c r="D771" s="2">
        <v>-1.97</v>
      </c>
      <c r="E771" s="77"/>
    </row>
    <row r="772" spans="2:5" ht="13.5" customHeight="1" x14ac:dyDescent="0.3">
      <c r="B772" s="83">
        <v>45700</v>
      </c>
      <c r="C772" s="2">
        <v>-0.12</v>
      </c>
      <c r="D772" s="2">
        <v>1.55</v>
      </c>
      <c r="E772" s="77"/>
    </row>
    <row r="773" spans="2:5" ht="13.5" customHeight="1" x14ac:dyDescent="0.3">
      <c r="B773" s="83">
        <v>45701</v>
      </c>
      <c r="C773" s="2">
        <v>-0.06</v>
      </c>
      <c r="D773" s="2">
        <v>-1.1200000000000001</v>
      </c>
      <c r="E773" s="77"/>
    </row>
    <row r="774" spans="2:5" ht="13.5" customHeight="1" x14ac:dyDescent="0.3">
      <c r="B774" s="83">
        <v>45702</v>
      </c>
      <c r="C774" s="2">
        <v>-0.44</v>
      </c>
      <c r="D774" s="2">
        <v>0.01</v>
      </c>
      <c r="E774" s="77"/>
    </row>
    <row r="775" spans="2:5" ht="13.5" customHeight="1" x14ac:dyDescent="0.3">
      <c r="B775" s="83">
        <v>45705</v>
      </c>
      <c r="C775" s="2">
        <v>0.13</v>
      </c>
      <c r="D775" s="2">
        <v>0.13</v>
      </c>
      <c r="E775" s="77"/>
    </row>
    <row r="776" spans="2:5" ht="13.5" customHeight="1" x14ac:dyDescent="0.3">
      <c r="B776" s="83">
        <v>45706</v>
      </c>
      <c r="C776" s="2">
        <v>-0.06</v>
      </c>
      <c r="D776" s="2">
        <v>-1.04</v>
      </c>
      <c r="E776" s="77"/>
    </row>
    <row r="777" spans="2:5" ht="13.5" customHeight="1" x14ac:dyDescent="0.3">
      <c r="B777" s="83">
        <v>45707</v>
      </c>
      <c r="C777" s="2">
        <v>-0.05</v>
      </c>
      <c r="D777" s="2">
        <v>-2.08</v>
      </c>
      <c r="E777" s="77"/>
    </row>
    <row r="778" spans="2:5" ht="13.5" customHeight="1" x14ac:dyDescent="0.3">
      <c r="B778" s="83">
        <v>45708</v>
      </c>
      <c r="C778" s="2">
        <v>-0.09</v>
      </c>
      <c r="D778" s="2">
        <v>1.17</v>
      </c>
      <c r="E778" s="77"/>
    </row>
    <row r="779" spans="2:5" ht="13.5" customHeight="1" x14ac:dyDescent="0.3">
      <c r="B779" s="83">
        <v>45709</v>
      </c>
      <c r="C779" s="2">
        <v>-0.51</v>
      </c>
      <c r="D779" s="2">
        <v>-0.33</v>
      </c>
      <c r="E779" s="77"/>
    </row>
    <row r="780" spans="2:5" ht="13.5" customHeight="1" x14ac:dyDescent="0.3">
      <c r="B780" s="83">
        <v>45712</v>
      </c>
      <c r="C780" s="2">
        <v>-1.06</v>
      </c>
      <c r="D780" s="2">
        <v>-0.57999999999999996</v>
      </c>
      <c r="E780" s="77"/>
    </row>
    <row r="781" spans="2:5" ht="13.5" customHeight="1" x14ac:dyDescent="0.3">
      <c r="B781" s="83">
        <v>45713</v>
      </c>
      <c r="C781" s="2">
        <v>-0.03</v>
      </c>
      <c r="D781" s="2">
        <v>1.04</v>
      </c>
      <c r="E781" s="77"/>
    </row>
    <row r="782" spans="2:5" ht="13.5" customHeight="1" x14ac:dyDescent="0.3">
      <c r="B782" s="83">
        <v>45715</v>
      </c>
      <c r="C782" s="2">
        <v>-0.01</v>
      </c>
      <c r="D782" s="2">
        <v>-1.51</v>
      </c>
      <c r="E782" s="77"/>
    </row>
    <row r="783" spans="2:5" ht="13.5" customHeight="1" x14ac:dyDescent="0.3">
      <c r="B783" s="83">
        <v>45716</v>
      </c>
      <c r="C783" s="2">
        <v>-1.86</v>
      </c>
      <c r="D783" s="2">
        <v>-1.98</v>
      </c>
      <c r="E783" s="77"/>
    </row>
    <row r="784" spans="2:5" ht="13.5" customHeight="1" x14ac:dyDescent="0.3">
      <c r="B784" s="83">
        <v>45719</v>
      </c>
      <c r="C784" s="2">
        <v>-0.02</v>
      </c>
      <c r="D784" s="2">
        <v>-0.31</v>
      </c>
      <c r="E784" s="77"/>
    </row>
    <row r="785" spans="2:5" ht="13.5" customHeight="1" x14ac:dyDescent="0.3">
      <c r="B785" s="83">
        <v>45720</v>
      </c>
      <c r="C785" s="2">
        <v>-0.17</v>
      </c>
      <c r="D785" s="2">
        <v>-1.64</v>
      </c>
      <c r="E785" s="77"/>
    </row>
    <row r="786" spans="2:5" ht="13.5" customHeight="1" x14ac:dyDescent="0.3">
      <c r="B786" s="83">
        <v>45721</v>
      </c>
      <c r="C786" s="2">
        <v>1.1499999999999999</v>
      </c>
      <c r="D786" s="2">
        <v>0.83</v>
      </c>
      <c r="E786" s="77"/>
    </row>
    <row r="787" spans="2:5" ht="13.5" customHeight="1" x14ac:dyDescent="0.3">
      <c r="B787" s="83">
        <v>45722</v>
      </c>
      <c r="C787" s="2">
        <v>0.93</v>
      </c>
      <c r="D787" s="2">
        <v>1.5</v>
      </c>
      <c r="E787" s="77"/>
    </row>
    <row r="788" spans="2:5" ht="13.5" customHeight="1" x14ac:dyDescent="0.3">
      <c r="B788" s="83">
        <v>45723</v>
      </c>
      <c r="C788" s="2">
        <v>0.03</v>
      </c>
      <c r="D788" s="2">
        <v>0.16</v>
      </c>
      <c r="E788" s="77"/>
    </row>
    <row r="789" spans="2:5" ht="13.5" customHeight="1" x14ac:dyDescent="0.3">
      <c r="B789" s="83">
        <v>45726</v>
      </c>
      <c r="C789" s="2">
        <v>-0.41</v>
      </c>
      <c r="D789" s="2">
        <v>-0.49</v>
      </c>
      <c r="E789" s="77"/>
    </row>
    <row r="790" spans="2:5" ht="13.5" customHeight="1" x14ac:dyDescent="0.3">
      <c r="B790" s="83">
        <v>45727</v>
      </c>
      <c r="C790" s="2">
        <v>0.17</v>
      </c>
      <c r="D790" s="2">
        <v>0.85</v>
      </c>
      <c r="E790" s="77"/>
    </row>
    <row r="791" spans="2:5" ht="13.5" customHeight="1" x14ac:dyDescent="0.3">
      <c r="B791" s="83">
        <v>45728</v>
      </c>
      <c r="C791" s="2">
        <v>-0.12</v>
      </c>
      <c r="D791" s="2">
        <v>0.48</v>
      </c>
      <c r="E791" s="77"/>
    </row>
    <row r="792" spans="2:5" ht="13.5" customHeight="1" x14ac:dyDescent="0.3">
      <c r="B792" s="83">
        <v>45729</v>
      </c>
      <c r="C792" s="2">
        <v>-0.33</v>
      </c>
      <c r="D792" s="2">
        <v>0.2</v>
      </c>
      <c r="E792" s="77"/>
    </row>
    <row r="793" spans="2:5" ht="13.5" customHeight="1" x14ac:dyDescent="0.3">
      <c r="B793" s="83">
        <v>45733</v>
      </c>
      <c r="C793" s="2">
        <v>0.5</v>
      </c>
      <c r="D793" s="2">
        <v>-1.24</v>
      </c>
      <c r="E793" s="77"/>
    </row>
    <row r="794" spans="2:5" ht="13.5" customHeight="1" x14ac:dyDescent="0.3">
      <c r="B794" s="83">
        <v>45734</v>
      </c>
      <c r="C794" s="2">
        <v>1.45</v>
      </c>
      <c r="D794" s="2">
        <v>0</v>
      </c>
      <c r="E794" s="77"/>
    </row>
    <row r="795" spans="2:5" ht="13.5" customHeight="1" x14ac:dyDescent="0.3">
      <c r="B795" s="83">
        <v>45735</v>
      </c>
      <c r="C795" s="2">
        <v>0.32</v>
      </c>
      <c r="D795" s="2">
        <v>0.14000000000000001</v>
      </c>
      <c r="E795" s="77"/>
    </row>
    <row r="796" spans="2:5" ht="13.5" customHeight="1" x14ac:dyDescent="0.3">
      <c r="B796" s="83">
        <v>45736</v>
      </c>
      <c r="C796" s="2">
        <v>1.24</v>
      </c>
      <c r="D796" s="2">
        <v>0.72</v>
      </c>
      <c r="E796" s="77"/>
    </row>
    <row r="797" spans="2:5" ht="13.5" customHeight="1" x14ac:dyDescent="0.3">
      <c r="B797" s="83">
        <v>45737</v>
      </c>
      <c r="C797" s="2">
        <v>0.69</v>
      </c>
      <c r="D797" s="2">
        <v>1.56</v>
      </c>
      <c r="E797" s="77"/>
    </row>
    <row r="798" spans="2:5" ht="13.5" customHeight="1" x14ac:dyDescent="0.3">
      <c r="B798" s="83">
        <v>45740</v>
      </c>
      <c r="C798" s="2">
        <v>1.32</v>
      </c>
      <c r="D798" s="2">
        <v>0.08</v>
      </c>
      <c r="E798" s="77"/>
    </row>
    <row r="799" spans="2:5" ht="13.5" customHeight="1" x14ac:dyDescent="0.3">
      <c r="B799" s="83">
        <v>45741</v>
      </c>
      <c r="C799" s="2">
        <v>0.04</v>
      </c>
      <c r="D799" s="2">
        <v>0.4</v>
      </c>
      <c r="E799" s="77"/>
    </row>
    <row r="800" spans="2:5" ht="13.5" customHeight="1" x14ac:dyDescent="0.3">
      <c r="B800" s="83">
        <v>45742</v>
      </c>
      <c r="C800" s="2">
        <v>-0.77</v>
      </c>
      <c r="D800" s="2">
        <v>-0.08</v>
      </c>
      <c r="E800" s="77"/>
    </row>
    <row r="801" spans="2:5" ht="13.5" customHeight="1" x14ac:dyDescent="0.3">
      <c r="B801" s="83">
        <v>45743</v>
      </c>
      <c r="C801" s="2">
        <v>0.45</v>
      </c>
      <c r="D801" s="2">
        <v>0.79</v>
      </c>
      <c r="E801" s="77"/>
    </row>
    <row r="802" spans="2:5" ht="13.5" customHeight="1" x14ac:dyDescent="0.3">
      <c r="B802" s="83">
        <v>45744</v>
      </c>
      <c r="C802" s="2">
        <v>-0.31</v>
      </c>
      <c r="D802" s="2">
        <v>-1.24</v>
      </c>
      <c r="E802" s="77"/>
    </row>
    <row r="803" spans="2:5" ht="13.5" customHeight="1" x14ac:dyDescent="0.3">
      <c r="B803" s="83">
        <v>45748</v>
      </c>
      <c r="C803" s="2">
        <v>-1.5</v>
      </c>
      <c r="D803" s="2">
        <v>-1.78</v>
      </c>
      <c r="E803" s="77"/>
    </row>
    <row r="804" spans="2:5" ht="13.5" customHeight="1" x14ac:dyDescent="0.3">
      <c r="B804" s="83">
        <v>45749</v>
      </c>
      <c r="C804" s="2">
        <v>0.72</v>
      </c>
      <c r="D804" s="2">
        <v>-0.35</v>
      </c>
      <c r="E804" s="77"/>
    </row>
    <row r="805" spans="2:5" ht="13.5" customHeight="1" x14ac:dyDescent="0.3">
      <c r="B805" s="83">
        <v>45750</v>
      </c>
      <c r="C805" s="2">
        <v>-0.35</v>
      </c>
      <c r="D805" s="2">
        <v>-6.12</v>
      </c>
      <c r="E805" s="77"/>
    </row>
    <row r="806" spans="2:5" ht="13.5" customHeight="1" x14ac:dyDescent="0.3">
      <c r="B806" s="83">
        <v>45751</v>
      </c>
      <c r="C806" s="2">
        <v>-1.49</v>
      </c>
      <c r="D806" s="2">
        <v>-0.78</v>
      </c>
      <c r="E806" s="77"/>
    </row>
    <row r="807" spans="2:5" ht="13.5" customHeight="1" x14ac:dyDescent="0.3">
      <c r="B807" s="83">
        <v>45754</v>
      </c>
      <c r="C807" s="2">
        <v>-3.24</v>
      </c>
      <c r="D807" s="2">
        <v>-2.2400000000000002</v>
      </c>
      <c r="E807" s="77"/>
    </row>
    <row r="808" spans="2:5" ht="13.5" customHeight="1" x14ac:dyDescent="0.3">
      <c r="B808" s="83">
        <v>45755</v>
      </c>
      <c r="C808" s="2">
        <v>1.69</v>
      </c>
      <c r="D808" s="2">
        <v>1.68</v>
      </c>
      <c r="E808" s="77"/>
    </row>
    <row r="809" spans="2:5" ht="13.5" customHeight="1" x14ac:dyDescent="0.3">
      <c r="B809" s="83">
        <v>45756</v>
      </c>
      <c r="C809" s="2">
        <v>-0.61</v>
      </c>
      <c r="D809" s="2">
        <v>1.36</v>
      </c>
      <c r="E809" s="77"/>
    </row>
    <row r="810" spans="2:5" ht="13.5" customHeight="1" x14ac:dyDescent="0.3">
      <c r="B810" s="83">
        <v>45758</v>
      </c>
      <c r="C810" s="2">
        <v>1.92</v>
      </c>
      <c r="D810" s="2">
        <v>-0.85</v>
      </c>
      <c r="E810" s="77"/>
    </row>
    <row r="811" spans="2:5" ht="13.5" customHeight="1" x14ac:dyDescent="0.3">
      <c r="B811" s="83">
        <v>45762</v>
      </c>
      <c r="C811" s="2">
        <v>2.19</v>
      </c>
      <c r="D811" s="2">
        <v>2.7</v>
      </c>
      <c r="E811" s="77"/>
    </row>
    <row r="812" spans="2:5" ht="13.5" customHeight="1" x14ac:dyDescent="0.3">
      <c r="B812" s="83">
        <v>45763</v>
      </c>
      <c r="C812" s="2">
        <v>0.47</v>
      </c>
      <c r="D812" s="2">
        <v>1.6</v>
      </c>
      <c r="E812" s="77"/>
    </row>
    <row r="813" spans="2:5" ht="13.5" customHeight="1" x14ac:dyDescent="0.3">
      <c r="B813" s="83">
        <v>45764</v>
      </c>
      <c r="C813" s="2">
        <v>1.77</v>
      </c>
      <c r="D813" s="2">
        <v>-0.43</v>
      </c>
      <c r="E813" s="77"/>
    </row>
    <row r="814" spans="2:5" ht="13.5" customHeight="1" x14ac:dyDescent="0.3">
      <c r="B814" s="83">
        <v>45768</v>
      </c>
      <c r="C814" s="2">
        <v>1.1499999999999999</v>
      </c>
      <c r="D814" s="2">
        <v>-0.78</v>
      </c>
      <c r="E814" s="77"/>
    </row>
    <row r="815" spans="2:5" ht="13.5" customHeight="1" x14ac:dyDescent="0.3">
      <c r="B815" s="83">
        <v>45769</v>
      </c>
      <c r="C815" s="2">
        <v>0.17</v>
      </c>
      <c r="D815" s="2">
        <v>1.86</v>
      </c>
      <c r="E815" s="77"/>
    </row>
    <row r="816" spans="2:5" ht="13.5" customHeight="1" x14ac:dyDescent="0.3">
      <c r="B816" s="83">
        <v>45770</v>
      </c>
      <c r="C816" s="2">
        <v>0.67</v>
      </c>
      <c r="D816" s="2">
        <v>0.37</v>
      </c>
      <c r="E816" s="77"/>
    </row>
    <row r="817" spans="2:5" ht="13.5" customHeight="1" x14ac:dyDescent="0.3">
      <c r="B817" s="83">
        <v>45771</v>
      </c>
      <c r="C817" s="2">
        <v>-0.34</v>
      </c>
      <c r="D817" s="2">
        <v>1.1299999999999999</v>
      </c>
      <c r="E817" s="77"/>
    </row>
    <row r="818" spans="2:5" ht="13.5" customHeight="1" x14ac:dyDescent="0.3">
      <c r="B818" s="83">
        <v>45772</v>
      </c>
      <c r="C818" s="2">
        <v>-0.86</v>
      </c>
      <c r="D818" s="2">
        <v>-1.44</v>
      </c>
      <c r="E818" s="77"/>
    </row>
    <row r="819" spans="2:5" ht="13.5" customHeight="1" x14ac:dyDescent="0.3">
      <c r="B819" s="83">
        <v>45775</v>
      </c>
      <c r="C819" s="2">
        <v>1.2</v>
      </c>
      <c r="D819" s="2">
        <v>-0.5</v>
      </c>
      <c r="E819" s="77"/>
    </row>
    <row r="820" spans="2:5" ht="13.5" customHeight="1" x14ac:dyDescent="0.3">
      <c r="B820" s="83">
        <v>45776</v>
      </c>
      <c r="C820" s="2">
        <v>0.03</v>
      </c>
      <c r="D820" s="2">
        <v>0.3</v>
      </c>
      <c r="E820" s="77"/>
    </row>
    <row r="821" spans="2:5" ht="13.5" customHeight="1" x14ac:dyDescent="0.3">
      <c r="B821" s="83">
        <v>45777</v>
      </c>
      <c r="C821" s="2">
        <v>-0.01</v>
      </c>
      <c r="D821" s="2">
        <v>0.85</v>
      </c>
      <c r="E821" s="77"/>
    </row>
    <row r="822" spans="2:5" ht="13.5" customHeight="1" x14ac:dyDescent="0.3">
      <c r="B822" s="83">
        <v>45779</v>
      </c>
      <c r="C822" s="2">
        <v>0.05</v>
      </c>
      <c r="D822" s="2">
        <v>-1.71</v>
      </c>
      <c r="E822" s="77"/>
    </row>
    <row r="823" spans="2:5" ht="13.5" customHeight="1" x14ac:dyDescent="0.3">
      <c r="B823" s="83">
        <v>45782</v>
      </c>
      <c r="C823" s="2">
        <v>0.47</v>
      </c>
      <c r="D823" s="2">
        <v>0.51</v>
      </c>
      <c r="E823" s="77"/>
    </row>
    <row r="824" spans="2:5" ht="13.5" customHeight="1" x14ac:dyDescent="0.3">
      <c r="B824" s="83">
        <v>45783</v>
      </c>
      <c r="C824" s="2">
        <v>-0.33</v>
      </c>
      <c r="D824" s="2">
        <v>-0.26</v>
      </c>
      <c r="E824" s="77"/>
    </row>
    <row r="825" spans="2:5" ht="13.5" customHeight="1" x14ac:dyDescent="0.3">
      <c r="B825" s="83">
        <v>45784</v>
      </c>
      <c r="C825" s="2">
        <v>0.14000000000000001</v>
      </c>
      <c r="D825" s="2">
        <v>0.31</v>
      </c>
      <c r="E825" s="77"/>
    </row>
    <row r="826" spans="2:5" ht="13.5" customHeight="1" x14ac:dyDescent="0.3">
      <c r="B826" s="83">
        <v>45785</v>
      </c>
      <c r="C826" s="2">
        <v>-0.57999999999999996</v>
      </c>
      <c r="D826" s="2">
        <v>-2.78</v>
      </c>
      <c r="E826" s="77"/>
    </row>
    <row r="827" spans="2:5" ht="13.5" customHeight="1" x14ac:dyDescent="0.3">
      <c r="B827" s="83">
        <v>45786</v>
      </c>
      <c r="C827" s="2">
        <v>-1.1000000000000001</v>
      </c>
      <c r="D827" s="2">
        <v>-1.27</v>
      </c>
      <c r="E827" s="77"/>
    </row>
    <row r="828" spans="2:5" ht="13.5" customHeight="1" x14ac:dyDescent="0.3">
      <c r="B828" s="83">
        <v>45789</v>
      </c>
      <c r="C828" s="2">
        <v>3.82</v>
      </c>
      <c r="D828" s="2">
        <v>2.66</v>
      </c>
      <c r="E828" s="77"/>
    </row>
    <row r="829" spans="2:5" ht="13.5" customHeight="1" x14ac:dyDescent="0.3">
      <c r="B829" s="83">
        <v>45790</v>
      </c>
      <c r="C829" s="2">
        <v>-1.39</v>
      </c>
      <c r="D829" s="2">
        <v>-0.27</v>
      </c>
      <c r="E829" s="77"/>
    </row>
    <row r="830" spans="2:5" ht="13.5" customHeight="1" x14ac:dyDescent="0.3">
      <c r="B830" s="83">
        <v>45791</v>
      </c>
      <c r="C830" s="2">
        <v>0.36</v>
      </c>
      <c r="D830" s="2">
        <v>-1.01</v>
      </c>
      <c r="E830" s="77"/>
    </row>
    <row r="831" spans="2:5" ht="13.5" customHeight="1" x14ac:dyDescent="0.3">
      <c r="B831" s="83">
        <v>45792</v>
      </c>
      <c r="C831" s="2">
        <v>1.6</v>
      </c>
      <c r="D831" s="2">
        <v>0.01</v>
      </c>
      <c r="E831" s="77"/>
    </row>
    <row r="832" spans="2:5" ht="13.5" customHeight="1" x14ac:dyDescent="0.3">
      <c r="B832" s="83">
        <v>45793</v>
      </c>
      <c r="C832" s="2">
        <v>-0.17</v>
      </c>
      <c r="D832" s="2">
        <v>1.63</v>
      </c>
      <c r="E832" s="77"/>
    </row>
    <row r="833" spans="2:5" ht="13.5" customHeight="1" x14ac:dyDescent="0.3">
      <c r="B833" s="83">
        <v>45796</v>
      </c>
      <c r="C833" s="2">
        <v>-0.3</v>
      </c>
      <c r="D833" s="2">
        <v>1.43</v>
      </c>
      <c r="E833" s="77"/>
    </row>
    <row r="834" spans="2:5" ht="13.5" customHeight="1" x14ac:dyDescent="0.3">
      <c r="B834" s="83">
        <v>45797</v>
      </c>
      <c r="C834" s="2">
        <v>-1.05</v>
      </c>
      <c r="D834" s="2">
        <v>-1.61</v>
      </c>
      <c r="E834" s="77"/>
    </row>
    <row r="835" spans="2:5" ht="13.5" customHeight="1" x14ac:dyDescent="0.3">
      <c r="B835" s="83">
        <v>45798</v>
      </c>
      <c r="C835" s="2">
        <v>0.52</v>
      </c>
      <c r="D835" s="2">
        <v>1.28</v>
      </c>
      <c r="E835" s="77"/>
    </row>
    <row r="836" spans="2:5" ht="13.5" customHeight="1" x14ac:dyDescent="0.3">
      <c r="B836" s="83">
        <v>45799</v>
      </c>
      <c r="C836" s="2">
        <v>-0.82</v>
      </c>
      <c r="D836" s="2">
        <v>-0.98</v>
      </c>
      <c r="E836" s="77"/>
    </row>
    <row r="837" spans="2:5" ht="13.5" customHeight="1" x14ac:dyDescent="0.3">
      <c r="B837" s="83">
        <v>45800</v>
      </c>
      <c r="C837" s="2">
        <v>0.99</v>
      </c>
      <c r="D837" s="2">
        <v>1.03</v>
      </c>
      <c r="E837" s="77"/>
    </row>
    <row r="838" spans="2:5" ht="13.5" customHeight="1" x14ac:dyDescent="0.3">
      <c r="B838" s="83">
        <v>45803</v>
      </c>
      <c r="C838" s="2">
        <v>0.6</v>
      </c>
      <c r="D838" s="2">
        <v>-0.34</v>
      </c>
      <c r="E838" s="77"/>
    </row>
    <row r="839" spans="2:5" ht="13.5" customHeight="1" x14ac:dyDescent="0.3">
      <c r="B839" s="83">
        <v>45804</v>
      </c>
      <c r="C839" s="2">
        <v>-0.7</v>
      </c>
      <c r="D839" s="2">
        <v>0.79</v>
      </c>
      <c r="E839" s="77"/>
    </row>
    <row r="840" spans="2:5" ht="13.5" customHeight="1" x14ac:dyDescent="0.3">
      <c r="B840" s="83">
        <v>45805</v>
      </c>
      <c r="C840" s="2">
        <v>-0.3</v>
      </c>
      <c r="D840" s="2">
        <v>0.12</v>
      </c>
      <c r="E840" s="77"/>
    </row>
    <row r="841" spans="2:5" ht="13.5" customHeight="1" x14ac:dyDescent="0.3">
      <c r="B841" s="83">
        <v>45806</v>
      </c>
      <c r="C841" s="2">
        <v>0.33</v>
      </c>
      <c r="D841" s="2">
        <v>-0.54</v>
      </c>
      <c r="E841" s="77"/>
    </row>
    <row r="842" spans="2:5" ht="13.5" customHeight="1" x14ac:dyDescent="0.3">
      <c r="B842" s="83">
        <v>45807</v>
      </c>
      <c r="C842" s="2">
        <v>-0.33</v>
      </c>
      <c r="D842" s="2">
        <v>0.18</v>
      </c>
      <c r="E842" s="77"/>
    </row>
    <row r="843" spans="2:5" ht="13.5" customHeight="1" x14ac:dyDescent="0.3">
      <c r="B843" s="83">
        <v>45810</v>
      </c>
      <c r="C843" s="2">
        <v>-0.14000000000000001</v>
      </c>
      <c r="D843" s="2">
        <v>0.31</v>
      </c>
      <c r="E843" s="77"/>
    </row>
    <row r="844" spans="2:5" ht="13.5" customHeight="1" x14ac:dyDescent="0.3">
      <c r="B844" s="83">
        <v>45811</v>
      </c>
      <c r="C844" s="2">
        <v>-0.7</v>
      </c>
      <c r="D844" s="2">
        <v>0.25</v>
      </c>
      <c r="E844" s="77"/>
    </row>
    <row r="845" spans="2:5" ht="13.5" customHeight="1" x14ac:dyDescent="0.3">
      <c r="B845" s="83">
        <v>45812</v>
      </c>
      <c r="C845" s="2">
        <v>0.32</v>
      </c>
      <c r="D845" s="2">
        <v>1.28</v>
      </c>
      <c r="E845" s="77"/>
    </row>
    <row r="846" spans="2:5" ht="13.5" customHeight="1" x14ac:dyDescent="0.3">
      <c r="B846" s="83">
        <v>45813</v>
      </c>
      <c r="C846" s="2">
        <v>0.53</v>
      </c>
      <c r="D846" s="2">
        <v>-0.64</v>
      </c>
      <c r="E846" s="77"/>
    </row>
    <row r="847" spans="2:5" ht="13.5" customHeight="1" x14ac:dyDescent="0.3">
      <c r="B847" s="83">
        <v>45814</v>
      </c>
      <c r="C847" s="2">
        <v>1.02</v>
      </c>
      <c r="D847" s="2">
        <v>-1.52</v>
      </c>
      <c r="E847" s="77"/>
    </row>
    <row r="848" spans="2:5" ht="13.5" customHeight="1" x14ac:dyDescent="0.3">
      <c r="B848" s="83">
        <v>45817</v>
      </c>
      <c r="C848" s="2">
        <v>0.4</v>
      </c>
      <c r="D848" s="2">
        <v>0.9</v>
      </c>
      <c r="E848" s="77"/>
    </row>
    <row r="849" spans="2:5" ht="13.5" customHeight="1" x14ac:dyDescent="0.3">
      <c r="B849" s="83">
        <v>45818</v>
      </c>
      <c r="C849" s="2">
        <v>0</v>
      </c>
      <c r="D849" s="2">
        <v>0.81</v>
      </c>
      <c r="E849" s="77"/>
    </row>
    <row r="850" spans="2:5" ht="13.5" customHeight="1" x14ac:dyDescent="0.3">
      <c r="B850" s="83">
        <v>45819</v>
      </c>
      <c r="C850" s="2">
        <v>0.15</v>
      </c>
      <c r="D850" s="2">
        <v>-0.62</v>
      </c>
      <c r="E850" s="77"/>
    </row>
    <row r="851" spans="2:5" ht="13.5" customHeight="1" x14ac:dyDescent="0.3">
      <c r="B851" s="83">
        <v>45820</v>
      </c>
      <c r="C851" s="2">
        <v>-1.01</v>
      </c>
      <c r="D851" s="2">
        <v>-2.79</v>
      </c>
      <c r="E851" s="77"/>
    </row>
    <row r="852" spans="2:5" ht="13.5" customHeight="1" x14ac:dyDescent="0.3">
      <c r="B852" s="83">
        <v>45821</v>
      </c>
      <c r="C852" s="2">
        <v>-0.68</v>
      </c>
      <c r="D852" s="2">
        <v>-1.36</v>
      </c>
      <c r="E852" s="77"/>
    </row>
    <row r="853" spans="2:5" ht="13.5" customHeight="1" x14ac:dyDescent="0.3">
      <c r="B853" s="83">
        <v>45824</v>
      </c>
      <c r="C853" s="2">
        <v>0.92</v>
      </c>
      <c r="D853" s="2">
        <v>1.1100000000000001</v>
      </c>
      <c r="E853" s="77"/>
    </row>
    <row r="854" spans="2:5" ht="13.5" customHeight="1" x14ac:dyDescent="0.3">
      <c r="B854" s="83">
        <v>45825</v>
      </c>
      <c r="C854" s="2">
        <v>-0.37</v>
      </c>
      <c r="D854" s="2">
        <v>7.0000000000000007E-2</v>
      </c>
      <c r="E854" s="77"/>
    </row>
    <row r="855" spans="2:5" ht="13.5" customHeight="1" x14ac:dyDescent="0.3">
      <c r="B855" s="83">
        <v>45826</v>
      </c>
      <c r="C855" s="2">
        <v>-0.17</v>
      </c>
      <c r="D855" s="2">
        <v>-0.39</v>
      </c>
      <c r="E855" s="77"/>
    </row>
    <row r="856" spans="2:5" ht="13.5" customHeight="1" x14ac:dyDescent="0.3">
      <c r="B856" s="83">
        <v>45827</v>
      </c>
      <c r="C856" s="2">
        <v>-0.08</v>
      </c>
      <c r="D856" s="2">
        <v>-1.08</v>
      </c>
      <c r="E856" s="77"/>
    </row>
    <row r="857" spans="2:5" ht="13.5" customHeight="1" x14ac:dyDescent="0.3">
      <c r="B857" s="83">
        <v>45828</v>
      </c>
      <c r="C857" s="2">
        <v>1.29</v>
      </c>
      <c r="D857" s="2">
        <v>0.39</v>
      </c>
      <c r="E857" s="77"/>
    </row>
    <row r="858" spans="2:5" ht="13.5" customHeight="1" x14ac:dyDescent="0.3">
      <c r="B858" s="83">
        <v>45831</v>
      </c>
      <c r="C858" s="2">
        <v>-0.56000000000000005</v>
      </c>
      <c r="D858" s="2">
        <v>0.13</v>
      </c>
      <c r="E858" s="77"/>
    </row>
    <row r="859" spans="2:5" ht="13.5" customHeight="1" x14ac:dyDescent="0.3">
      <c r="B859" s="83">
        <v>45832</v>
      </c>
      <c r="C859" s="2">
        <v>0.28999999999999998</v>
      </c>
      <c r="D859" s="2">
        <v>1.63</v>
      </c>
      <c r="E859" s="77"/>
    </row>
    <row r="860" spans="2:5" ht="13.5" customHeight="1" x14ac:dyDescent="0.3">
      <c r="B860" s="83">
        <v>45833</v>
      </c>
      <c r="C860" s="2">
        <v>0.8</v>
      </c>
      <c r="D860" s="2">
        <v>1.08</v>
      </c>
      <c r="E860" s="77"/>
    </row>
    <row r="861" spans="2:5" ht="13.5" customHeight="1" x14ac:dyDescent="0.3">
      <c r="B861" s="83">
        <v>45834</v>
      </c>
      <c r="C861" s="2">
        <v>1.21</v>
      </c>
      <c r="D861" s="2">
        <v>0.27</v>
      </c>
      <c r="E861" s="77"/>
    </row>
    <row r="862" spans="2:5" ht="13.5" customHeight="1" x14ac:dyDescent="0.3">
      <c r="B862" s="83">
        <v>45835</v>
      </c>
      <c r="C862" s="2">
        <v>0.35</v>
      </c>
      <c r="D862" s="2">
        <v>1</v>
      </c>
      <c r="E862" s="77"/>
    </row>
    <row r="863" spans="2:5" ht="13.5" customHeight="1" x14ac:dyDescent="0.3">
      <c r="B863" s="83">
        <v>45838</v>
      </c>
      <c r="C863" s="2">
        <v>-0.47</v>
      </c>
      <c r="D863" s="2">
        <v>-0.23</v>
      </c>
      <c r="E863" s="77"/>
    </row>
    <row r="864" spans="2:5" ht="13.5" customHeight="1" x14ac:dyDescent="0.3">
      <c r="B864" s="83">
        <v>45839</v>
      </c>
      <c r="C864" s="2">
        <v>0.1</v>
      </c>
      <c r="D864" s="2">
        <v>-0.59</v>
      </c>
      <c r="E864" s="77"/>
    </row>
    <row r="865" spans="2:5" ht="13.5" customHeight="1" x14ac:dyDescent="0.3">
      <c r="B865" s="83">
        <v>45840</v>
      </c>
      <c r="C865" s="2">
        <v>-0.35</v>
      </c>
      <c r="D865" s="2">
        <v>1.07</v>
      </c>
      <c r="E865" s="77"/>
    </row>
    <row r="866" spans="2:5" ht="13.5" customHeight="1" x14ac:dyDescent="0.3">
      <c r="B866" s="83">
        <v>45841</v>
      </c>
      <c r="C866" s="2">
        <v>-0.19</v>
      </c>
      <c r="D866" s="2">
        <v>0.83</v>
      </c>
      <c r="E866" s="77"/>
    </row>
    <row r="867" spans="2:5" ht="13.5" customHeight="1" x14ac:dyDescent="0.3">
      <c r="B867" s="83">
        <v>45842</v>
      </c>
      <c r="C867" s="2">
        <v>0.22</v>
      </c>
      <c r="D867" s="2">
        <v>0.71</v>
      </c>
      <c r="E867" s="77"/>
    </row>
    <row r="868" spans="2:5" ht="13.5" customHeight="1" x14ac:dyDescent="0.3">
      <c r="B868" s="83">
        <v>45845</v>
      </c>
      <c r="C868" s="2">
        <v>0</v>
      </c>
      <c r="D868" s="2">
        <v>3.56</v>
      </c>
      <c r="E868" s="77"/>
    </row>
    <row r="869" spans="2:5" ht="13.5" customHeight="1" x14ac:dyDescent="0.3">
      <c r="B869" s="83">
        <v>45846</v>
      </c>
      <c r="C869" s="2">
        <v>0.24</v>
      </c>
      <c r="D869" s="2">
        <v>7.0000000000000007E-2</v>
      </c>
      <c r="E869" s="77"/>
    </row>
    <row r="870" spans="2:5" ht="13.5" customHeight="1" x14ac:dyDescent="0.3">
      <c r="B870" s="83">
        <v>45847</v>
      </c>
      <c r="C870" s="2">
        <v>-0.18</v>
      </c>
      <c r="D870" s="2">
        <v>1.76</v>
      </c>
      <c r="E870" s="77"/>
    </row>
    <row r="871" spans="2:5" ht="13.5" customHeight="1" x14ac:dyDescent="0.3">
      <c r="B871" s="83">
        <v>45848</v>
      </c>
      <c r="C871" s="2">
        <v>-0.47</v>
      </c>
      <c r="D871" s="2">
        <v>0.05</v>
      </c>
      <c r="E871" s="77"/>
    </row>
    <row r="872" spans="2:5" ht="13.5" customHeight="1" x14ac:dyDescent="0.3">
      <c r="B872" s="83">
        <v>45849</v>
      </c>
      <c r="C872" s="2">
        <v>-0.81</v>
      </c>
      <c r="D872" s="2">
        <v>1.62</v>
      </c>
      <c r="E872" s="77"/>
    </row>
    <row r="873" spans="2:5" ht="13.5" customHeight="1" x14ac:dyDescent="0.3">
      <c r="B873" s="83">
        <v>45852</v>
      </c>
      <c r="C873" s="2">
        <v>-0.27</v>
      </c>
      <c r="D873" s="2">
        <v>-0.88</v>
      </c>
      <c r="E873" s="77"/>
    </row>
    <row r="874" spans="2:5" ht="13.5" customHeight="1" x14ac:dyDescent="0.3">
      <c r="B874" s="83">
        <v>45853</v>
      </c>
      <c r="C874" s="2">
        <v>0.45</v>
      </c>
      <c r="D874" s="2">
        <v>0.15</v>
      </c>
      <c r="E874" s="77"/>
    </row>
    <row r="875" spans="2:5" ht="13.5" customHeight="1" x14ac:dyDescent="0.3">
      <c r="B875" s="83">
        <v>45854</v>
      </c>
      <c r="C875" s="2">
        <v>0.06</v>
      </c>
      <c r="D875" s="2">
        <v>0.18</v>
      </c>
      <c r="E875" s="77"/>
    </row>
    <row r="876" spans="2:5" ht="13.5" customHeight="1" x14ac:dyDescent="0.3">
      <c r="B876" s="83">
        <v>45855</v>
      </c>
      <c r="C876" s="2">
        <v>-0.4</v>
      </c>
      <c r="D876" s="2">
        <v>0.14000000000000001</v>
      </c>
      <c r="E876" s="77"/>
    </row>
    <row r="877" spans="2:5" ht="13.5" customHeight="1" x14ac:dyDescent="0.3">
      <c r="B877" s="83">
        <v>45856</v>
      </c>
      <c r="C877" s="2">
        <v>-0.56999999999999995</v>
      </c>
      <c r="D877" s="2">
        <v>-0.16</v>
      </c>
      <c r="E877" s="77"/>
    </row>
    <row r="878" spans="2:5" ht="13.5" customHeight="1" x14ac:dyDescent="0.3">
      <c r="B878" s="83">
        <v>45859</v>
      </c>
      <c r="C878" s="2">
        <v>0.49</v>
      </c>
      <c r="D878" s="2">
        <v>-1.54</v>
      </c>
      <c r="E878" s="77"/>
    </row>
    <row r="879" spans="2:5" ht="13.5" customHeight="1" x14ac:dyDescent="0.3">
      <c r="B879" s="83">
        <v>45860</v>
      </c>
      <c r="C879" s="2">
        <v>-0.12</v>
      </c>
      <c r="D879" s="2">
        <v>0.1</v>
      </c>
      <c r="E879" s="77"/>
    </row>
    <row r="880" spans="2:5" ht="13.5" customHeight="1" x14ac:dyDescent="0.3">
      <c r="B880" s="83">
        <v>45861</v>
      </c>
      <c r="C880" s="2">
        <v>0.63</v>
      </c>
      <c r="D880" s="2">
        <v>-0.23</v>
      </c>
      <c r="E880" s="77"/>
    </row>
    <row r="881" spans="2:5" ht="13.5" customHeight="1" x14ac:dyDescent="0.3">
      <c r="B881" s="83">
        <v>45862</v>
      </c>
      <c r="C881" s="2">
        <v>-0.63</v>
      </c>
      <c r="D881" s="2">
        <v>-0.25</v>
      </c>
      <c r="E881" s="77"/>
    </row>
    <row r="882" spans="2:5" ht="13.5" customHeight="1" x14ac:dyDescent="0.3">
      <c r="B882" s="83">
        <v>45863</v>
      </c>
      <c r="C882" s="2">
        <v>-0.9</v>
      </c>
      <c r="D882" s="2">
        <v>-0.23</v>
      </c>
      <c r="E882" s="77"/>
    </row>
    <row r="883" spans="2:5" ht="13.5" customHeight="1" x14ac:dyDescent="0.3">
      <c r="B883" s="83">
        <v>45866</v>
      </c>
      <c r="C883" s="2">
        <v>-0.63</v>
      </c>
      <c r="D883" s="2">
        <v>2.08</v>
      </c>
      <c r="E883" s="77"/>
    </row>
    <row r="884" spans="2:5" ht="13.5" customHeight="1" x14ac:dyDescent="0.3">
      <c r="B884" s="83">
        <v>45867</v>
      </c>
      <c r="C884" s="2">
        <v>0.56999999999999995</v>
      </c>
      <c r="D884" s="2">
        <v>-0.71</v>
      </c>
      <c r="E884" s="77"/>
    </row>
    <row r="885" spans="2:5" ht="13.5" customHeight="1" x14ac:dyDescent="0.3">
      <c r="B885" s="83">
        <v>45868</v>
      </c>
      <c r="C885" s="2">
        <v>0.14000000000000001</v>
      </c>
      <c r="D885" s="2">
        <v>0.71</v>
      </c>
      <c r="E885" s="77"/>
    </row>
    <row r="886" spans="2:5" ht="13.5" customHeight="1" x14ac:dyDescent="0.3">
      <c r="B886" s="83">
        <v>45869</v>
      </c>
      <c r="C886" s="2">
        <v>-0.35</v>
      </c>
      <c r="D886" s="2">
        <v>1.34</v>
      </c>
      <c r="E886" s="77"/>
    </row>
    <row r="887" spans="2:5" ht="13.5" customHeight="1" x14ac:dyDescent="0.3">
      <c r="B887" s="83">
        <v>45870</v>
      </c>
      <c r="C887" s="2">
        <v>-0.82</v>
      </c>
      <c r="D887" s="2">
        <v>1.01</v>
      </c>
      <c r="E887" s="77"/>
    </row>
    <row r="888" spans="2:5" ht="13.5" customHeight="1" x14ac:dyDescent="0.3">
      <c r="B888" s="83">
        <v>45873</v>
      </c>
      <c r="C888" s="2">
        <v>0.64</v>
      </c>
      <c r="D888" s="2">
        <v>-0.88</v>
      </c>
      <c r="E888" s="77"/>
    </row>
    <row r="889" spans="2:5" ht="13.5" customHeight="1" x14ac:dyDescent="0.3">
      <c r="B889" s="83">
        <v>45874</v>
      </c>
      <c r="C889" s="2">
        <v>-0.3</v>
      </c>
      <c r="D889" s="2">
        <v>-0.93</v>
      </c>
      <c r="E889" s="77"/>
    </row>
    <row r="890" spans="2:5" ht="13.5" customHeight="1" x14ac:dyDescent="0.3">
      <c r="B890" s="83">
        <v>45875</v>
      </c>
      <c r="C890" s="2">
        <v>-0.31</v>
      </c>
      <c r="D890" s="2">
        <v>-2.04</v>
      </c>
      <c r="E890" s="77"/>
    </row>
    <row r="891" spans="2:5" ht="13.5" customHeight="1" x14ac:dyDescent="0.3">
      <c r="B891" s="83">
        <v>45876</v>
      </c>
      <c r="C891" s="2">
        <v>0.09</v>
      </c>
      <c r="D891" s="2">
        <v>0.62</v>
      </c>
      <c r="E891" s="77"/>
    </row>
    <row r="892" spans="2:5" ht="13.5" customHeight="1" x14ac:dyDescent="0.3">
      <c r="B892" s="83">
        <v>45877</v>
      </c>
      <c r="C892" s="2">
        <v>-0.95</v>
      </c>
      <c r="D892" s="2">
        <v>-1.92</v>
      </c>
      <c r="E892" s="77"/>
    </row>
    <row r="893" spans="2:5" ht="13.5" customHeight="1" x14ac:dyDescent="0.3">
      <c r="B893" s="83">
        <v>45880</v>
      </c>
      <c r="C893" s="2">
        <v>0.91</v>
      </c>
      <c r="D893" s="2">
        <v>0.55000000000000004</v>
      </c>
      <c r="E893" s="77"/>
    </row>
    <row r="894" spans="2:5" ht="13.5" customHeight="1" x14ac:dyDescent="0.3">
      <c r="B894" s="83">
        <v>45881</v>
      </c>
      <c r="C894" s="2">
        <v>-0.4</v>
      </c>
      <c r="D894" s="2">
        <v>-1.4</v>
      </c>
      <c r="E894" s="77"/>
    </row>
    <row r="895" spans="2:5" ht="13.5" customHeight="1" x14ac:dyDescent="0.3">
      <c r="B895" s="83">
        <v>45882</v>
      </c>
      <c r="C895" s="2">
        <v>0.54</v>
      </c>
      <c r="D895" s="2">
        <v>0.12</v>
      </c>
      <c r="E895" s="77"/>
    </row>
    <row r="896" spans="2:5" ht="13.5" customHeight="1" x14ac:dyDescent="0.3">
      <c r="B896" s="83">
        <v>45883</v>
      </c>
      <c r="C896" s="2">
        <v>0.05</v>
      </c>
      <c r="D896" s="2">
        <v>-0.52</v>
      </c>
      <c r="E896" s="77"/>
    </row>
    <row r="897" spans="2:5" ht="13.5" customHeight="1" x14ac:dyDescent="0.3">
      <c r="B897" s="83">
        <v>45887</v>
      </c>
      <c r="C897" s="2">
        <v>1</v>
      </c>
      <c r="D897" s="2">
        <v>3.63</v>
      </c>
      <c r="E897" s="77"/>
    </row>
    <row r="898" spans="2:5" ht="13.5" customHeight="1" x14ac:dyDescent="0.3">
      <c r="B898" s="83">
        <v>45888</v>
      </c>
      <c r="C898" s="2">
        <v>0.42</v>
      </c>
      <c r="D898" s="2">
        <v>0.56999999999999995</v>
      </c>
      <c r="E898" s="77"/>
    </row>
    <row r="899" spans="2:5" ht="13.5" customHeight="1" x14ac:dyDescent="0.3">
      <c r="B899" s="83">
        <v>45889</v>
      </c>
      <c r="C899" s="2">
        <v>0.28000000000000003</v>
      </c>
      <c r="D899" s="2">
        <v>2.48</v>
      </c>
      <c r="E899" s="77"/>
    </row>
    <row r="900" spans="2:5" ht="13.5" customHeight="1" x14ac:dyDescent="0.3">
      <c r="B900" s="83">
        <v>45890</v>
      </c>
      <c r="C900" s="2">
        <v>0.13</v>
      </c>
      <c r="D900" s="2">
        <v>-3.61</v>
      </c>
      <c r="E900" s="77"/>
    </row>
    <row r="901" spans="2:5" ht="13.5" customHeight="1" x14ac:dyDescent="0.3">
      <c r="B901" s="83">
        <v>45891</v>
      </c>
      <c r="C901" s="2">
        <v>-0.85</v>
      </c>
      <c r="D901" s="2">
        <v>0.05</v>
      </c>
      <c r="E901" s="77"/>
    </row>
    <row r="902" spans="2:5" ht="13.5" customHeight="1" x14ac:dyDescent="0.3">
      <c r="B902" s="83">
        <v>45894</v>
      </c>
      <c r="C902" s="2">
        <v>0.39</v>
      </c>
      <c r="D902" s="2">
        <v>0.51</v>
      </c>
      <c r="E902" s="77"/>
    </row>
    <row r="903" spans="2:5" ht="13.5" customHeight="1" x14ac:dyDescent="0.3">
      <c r="B903" s="83">
        <v>45895</v>
      </c>
      <c r="C903" s="2">
        <v>-1.02</v>
      </c>
      <c r="D903" s="2">
        <v>0.73</v>
      </c>
      <c r="E903" s="77"/>
    </row>
    <row r="904" spans="2:5" ht="13.5" customHeight="1" x14ac:dyDescent="0.3">
      <c r="B904" s="83">
        <v>45897</v>
      </c>
      <c r="C904" s="2">
        <v>-0.85</v>
      </c>
      <c r="D904" s="2">
        <v>-1.64</v>
      </c>
      <c r="E904" s="77"/>
    </row>
    <row r="905" spans="2:5" ht="13.5" customHeight="1" x14ac:dyDescent="0.3">
      <c r="B905" s="83">
        <v>45898</v>
      </c>
      <c r="C905" s="2">
        <v>-0.3</v>
      </c>
      <c r="D905" s="2">
        <v>1.41</v>
      </c>
      <c r="E905" s="77"/>
    </row>
    <row r="906" spans="2:5" ht="13.5" customHeight="1" x14ac:dyDescent="0.3">
      <c r="B906" s="83">
        <v>45901</v>
      </c>
      <c r="C906" s="2">
        <v>0.81</v>
      </c>
      <c r="D906" s="2">
        <v>0.49</v>
      </c>
      <c r="E906" s="77"/>
    </row>
    <row r="907" spans="2:5" ht="13.5" customHeight="1" x14ac:dyDescent="0.3">
      <c r="B907" s="83">
        <v>45902</v>
      </c>
      <c r="C907" s="2">
        <v>-0.18</v>
      </c>
      <c r="D907" s="2">
        <v>4</v>
      </c>
      <c r="E907" s="77"/>
    </row>
    <row r="908" spans="2:5" ht="13.5" customHeight="1" x14ac:dyDescent="0.3">
      <c r="B908" s="83">
        <v>45903</v>
      </c>
      <c r="C908" s="2">
        <v>0.55000000000000004</v>
      </c>
      <c r="D908" s="2">
        <v>-0.2</v>
      </c>
      <c r="E908" s="77"/>
    </row>
    <row r="909" spans="2:5" ht="13.5" customHeight="1" x14ac:dyDescent="0.3">
      <c r="B909" s="83">
        <v>45904</v>
      </c>
      <c r="C909" s="2">
        <v>0.08</v>
      </c>
      <c r="D909" s="2">
        <v>1.69</v>
      </c>
      <c r="E909" s="77"/>
    </row>
    <row r="910" spans="2:5" ht="13.5" customHeight="1" x14ac:dyDescent="0.3">
      <c r="B910" s="83">
        <v>45905</v>
      </c>
      <c r="C910" s="2">
        <v>0.03</v>
      </c>
      <c r="D910" s="2">
        <v>-1.0900000000000001</v>
      </c>
      <c r="E910" s="77"/>
    </row>
    <row r="911" spans="2:5" ht="13.5" customHeight="1" x14ac:dyDescent="0.3">
      <c r="B911" s="83">
        <v>45908</v>
      </c>
      <c r="C911" s="2">
        <v>0.13</v>
      </c>
      <c r="D911" s="2">
        <v>-0.09</v>
      </c>
      <c r="E911" s="77"/>
    </row>
    <row r="912" spans="2:5" ht="13.5" customHeight="1" x14ac:dyDescent="0.3">
      <c r="B912" s="83">
        <v>45909</v>
      </c>
      <c r="C912" s="2">
        <v>0.39</v>
      </c>
      <c r="D912" s="2">
        <v>-0.36</v>
      </c>
      <c r="E912" s="77"/>
    </row>
    <row r="913" spans="2:5" ht="13.5" customHeight="1" x14ac:dyDescent="0.3">
      <c r="B913" s="83">
        <v>45910</v>
      </c>
      <c r="C913" s="2">
        <v>0.42</v>
      </c>
      <c r="D913" s="2">
        <v>0.6</v>
      </c>
      <c r="E913" s="77"/>
    </row>
    <row r="914" spans="2:5" ht="13.5" customHeight="1" x14ac:dyDescent="0.3">
      <c r="B914" s="83">
        <v>45911</v>
      </c>
      <c r="C914" s="2">
        <v>0.13</v>
      </c>
      <c r="D914" s="2">
        <v>-0.62</v>
      </c>
      <c r="E914" s="77"/>
    </row>
    <row r="915" spans="2:5" ht="13.5" customHeight="1" x14ac:dyDescent="0.3">
      <c r="B915" s="83">
        <v>45912</v>
      </c>
      <c r="C915" s="2">
        <v>0.43</v>
      </c>
      <c r="D915" s="2">
        <v>-0.96</v>
      </c>
      <c r="E915" s="77"/>
    </row>
    <row r="916" spans="2:5" ht="13.5" customHeight="1" x14ac:dyDescent="0.3">
      <c r="B916" s="83">
        <v>45915</v>
      </c>
      <c r="C916" s="2">
        <v>-0.18</v>
      </c>
      <c r="D916" s="2">
        <v>0.38</v>
      </c>
      <c r="E916" s="77"/>
    </row>
    <row r="917" spans="2:5" ht="13.5" customHeight="1" x14ac:dyDescent="0.3">
      <c r="B917" s="83">
        <v>45916</v>
      </c>
      <c r="C917" s="2">
        <v>0.68</v>
      </c>
      <c r="D917" s="2">
        <v>-0.96</v>
      </c>
      <c r="E917" s="77"/>
    </row>
    <row r="918" spans="2:5" ht="13.5" customHeight="1" x14ac:dyDescent="0.3">
      <c r="B918" s="83">
        <v>45917</v>
      </c>
      <c r="C918" s="2">
        <v>0.36</v>
      </c>
      <c r="D918" s="2">
        <v>-0.1</v>
      </c>
      <c r="E918" s="77"/>
    </row>
    <row r="919" spans="2:5" ht="13.5" customHeight="1" x14ac:dyDescent="0.3">
      <c r="B919" s="83">
        <v>45918</v>
      </c>
      <c r="C919" s="2">
        <v>0.37</v>
      </c>
      <c r="D919" s="2">
        <v>0.21</v>
      </c>
      <c r="E919" s="77"/>
    </row>
    <row r="920" spans="2:5" ht="13.5" customHeight="1" x14ac:dyDescent="0.3">
      <c r="B920" s="83">
        <v>45919</v>
      </c>
      <c r="C920" s="2">
        <v>-0.38</v>
      </c>
      <c r="D920" s="2">
        <v>-0.16</v>
      </c>
      <c r="E920" s="77"/>
    </row>
    <row r="921" spans="2:5" ht="13.5" customHeight="1" x14ac:dyDescent="0.3">
      <c r="B921" s="83">
        <v>45922</v>
      </c>
      <c r="C921" s="2">
        <v>-0.49</v>
      </c>
      <c r="D921" s="2">
        <v>-2.5</v>
      </c>
      <c r="E921" s="77"/>
    </row>
    <row r="922" spans="2:5" ht="13.5" customHeight="1" x14ac:dyDescent="0.3">
      <c r="B922" s="83">
        <v>45923</v>
      </c>
      <c r="C922" s="2">
        <v>-0.13</v>
      </c>
      <c r="D922" s="2">
        <v>-1.35</v>
      </c>
      <c r="E922" s="77"/>
    </row>
    <row r="923" spans="2:5" ht="13.5" customHeight="1" x14ac:dyDescent="0.3">
      <c r="B923" s="83">
        <v>45924</v>
      </c>
      <c r="C923" s="2">
        <v>-0.45</v>
      </c>
      <c r="D923" s="2">
        <v>0.54</v>
      </c>
      <c r="E923" s="77"/>
    </row>
    <row r="924" spans="2:5" ht="13.5" customHeight="1" x14ac:dyDescent="0.3">
      <c r="B924" s="83">
        <v>45925</v>
      </c>
      <c r="C924" s="2">
        <v>-0.66</v>
      </c>
      <c r="D924" s="2">
        <v>-2.2200000000000002</v>
      </c>
      <c r="E924" s="77"/>
    </row>
    <row r="925" spans="2:5" ht="13.5" customHeight="1" x14ac:dyDescent="0.3">
      <c r="B925" s="83">
        <v>45926</v>
      </c>
      <c r="C925" s="2">
        <v>-0.95</v>
      </c>
      <c r="D925" s="2">
        <v>-1.29</v>
      </c>
      <c r="E925" s="77"/>
    </row>
    <row r="926" spans="2:5" ht="13.5" customHeight="1" x14ac:dyDescent="0.3">
      <c r="B926" s="83">
        <v>45929</v>
      </c>
      <c r="C926" s="2">
        <v>-0.08</v>
      </c>
      <c r="D926" s="2">
        <v>-1.38</v>
      </c>
      <c r="E926" s="77"/>
    </row>
    <row r="927" spans="2:5" ht="13.5" customHeight="1" x14ac:dyDescent="0.3">
      <c r="B927" s="83">
        <v>45930</v>
      </c>
      <c r="C927" s="2">
        <v>-0.1</v>
      </c>
      <c r="D927" s="2">
        <v>-0.31</v>
      </c>
      <c r="E927" s="77"/>
    </row>
    <row r="928" spans="2:5" ht="13.5" customHeight="1" x14ac:dyDescent="0.3">
      <c r="B928" s="83">
        <v>45931</v>
      </c>
      <c r="C928" s="2">
        <v>0.92</v>
      </c>
      <c r="D928" s="2">
        <v>0.76</v>
      </c>
      <c r="E928" s="77"/>
    </row>
    <row r="929" spans="2:5" ht="13.5" customHeight="1" x14ac:dyDescent="0.3">
      <c r="B929" s="83">
        <v>45933</v>
      </c>
      <c r="C929" s="2">
        <v>0.23</v>
      </c>
      <c r="D929" s="2">
        <v>0.22</v>
      </c>
      <c r="E929" s="77"/>
    </row>
    <row r="930" spans="2:5" ht="13.5" customHeight="1" x14ac:dyDescent="0.3">
      <c r="B930" s="83">
        <v>45936</v>
      </c>
      <c r="C930" s="2">
        <v>0.74</v>
      </c>
      <c r="D930" s="2">
        <v>-0.56000000000000005</v>
      </c>
      <c r="E930" s="77"/>
    </row>
    <row r="931" spans="2:5" ht="13.5" customHeight="1" x14ac:dyDescent="0.3">
      <c r="B931" s="83">
        <v>45937</v>
      </c>
      <c r="C931" s="2">
        <v>0.12</v>
      </c>
      <c r="D931" s="2">
        <v>-0.22</v>
      </c>
      <c r="E931" s="77"/>
    </row>
    <row r="932" spans="2:5" ht="13.5" customHeight="1" x14ac:dyDescent="0.3">
      <c r="B932" s="83">
        <v>45938</v>
      </c>
      <c r="C932" s="2">
        <v>-0.25</v>
      </c>
      <c r="D932" s="2">
        <v>-2.46</v>
      </c>
      <c r="E932" s="77"/>
    </row>
    <row r="933" spans="2:5" ht="13.5" customHeight="1" x14ac:dyDescent="0.3">
      <c r="B933" s="83">
        <v>45939</v>
      </c>
      <c r="C933" s="2">
        <v>0.54</v>
      </c>
      <c r="D933" s="2">
        <v>1.0900000000000001</v>
      </c>
      <c r="E933" s="77"/>
    </row>
    <row r="934" spans="2:5" ht="13.5" customHeight="1" x14ac:dyDescent="0.3">
      <c r="B934" s="83">
        <v>45940</v>
      </c>
      <c r="C934" s="2">
        <v>0.41</v>
      </c>
      <c r="D934" s="2">
        <v>0.89</v>
      </c>
      <c r="E934" s="77"/>
    </row>
    <row r="935" spans="2:5" ht="13.5" customHeight="1" x14ac:dyDescent="0.3">
      <c r="B935" s="83">
        <v>45943</v>
      </c>
      <c r="C935" s="2">
        <v>-0.23</v>
      </c>
      <c r="D935" s="2">
        <v>-0.4</v>
      </c>
      <c r="E935" s="77"/>
    </row>
    <row r="936" spans="2:5" ht="13.5" customHeight="1" x14ac:dyDescent="0.3">
      <c r="B936" s="83">
        <v>45944</v>
      </c>
      <c r="C936" s="2">
        <v>-0.32</v>
      </c>
      <c r="D936" s="2">
        <v>-0.08</v>
      </c>
      <c r="E936" s="77"/>
    </row>
    <row r="937" spans="2:5" ht="13.5" customHeight="1" x14ac:dyDescent="0.3">
      <c r="B937" s="83">
        <v>45945</v>
      </c>
      <c r="C937" s="2">
        <v>0.71</v>
      </c>
      <c r="D937" s="2">
        <v>1.19</v>
      </c>
      <c r="E937" s="77"/>
    </row>
    <row r="938" spans="2:5" ht="13.5" customHeight="1" x14ac:dyDescent="0.3">
      <c r="B938" s="83">
        <v>45946</v>
      </c>
      <c r="C938" s="2">
        <v>1.03</v>
      </c>
      <c r="D938" s="2">
        <v>1.54</v>
      </c>
      <c r="E938" s="77"/>
    </row>
    <row r="939" spans="2:5" ht="13.5" customHeight="1" x14ac:dyDescent="0.3">
      <c r="B939" s="83">
        <v>45947</v>
      </c>
      <c r="C939" s="2">
        <v>0.49</v>
      </c>
      <c r="D939" s="2">
        <v>1.52</v>
      </c>
      <c r="E939" s="77"/>
    </row>
    <row r="940" spans="2:5" ht="13.5" customHeight="1" x14ac:dyDescent="0.3">
      <c r="B940" s="83">
        <v>45950</v>
      </c>
      <c r="C940" s="2">
        <v>0.52</v>
      </c>
      <c r="D940" s="2">
        <v>-0.75</v>
      </c>
      <c r="E940" s="77"/>
    </row>
    <row r="941" spans="2:5" ht="13.5" customHeight="1" x14ac:dyDescent="0.3">
      <c r="B941" s="83">
        <v>45951</v>
      </c>
      <c r="C941" s="2">
        <v>0.1</v>
      </c>
      <c r="D941" s="2">
        <v>0.37</v>
      </c>
      <c r="E941" s="77"/>
    </row>
    <row r="942" spans="2:5" ht="13.5" customHeight="1" x14ac:dyDescent="0.3">
      <c r="B942" s="83">
        <v>45953</v>
      </c>
      <c r="C942" s="2">
        <v>0.09</v>
      </c>
      <c r="D942" s="2">
        <v>0.99</v>
      </c>
      <c r="E942" s="77"/>
    </row>
    <row r="943" spans="2:5" ht="13.5" customHeight="1" x14ac:dyDescent="0.3">
      <c r="B943" s="83">
        <v>45954</v>
      </c>
      <c r="C943" s="2">
        <v>-0.37</v>
      </c>
      <c r="D943" s="2">
        <v>-0.57999999999999996</v>
      </c>
      <c r="E943" s="77"/>
    </row>
    <row r="944" spans="2:5" ht="13.5" customHeight="1" x14ac:dyDescent="0.3">
      <c r="B944" s="83">
        <v>45957</v>
      </c>
      <c r="C944" s="2">
        <v>0.66</v>
      </c>
      <c r="D944" s="2">
        <v>-0.28000000000000003</v>
      </c>
      <c r="E944" s="77"/>
    </row>
    <row r="945" spans="2:5" ht="13.5" customHeight="1" x14ac:dyDescent="0.3">
      <c r="B945" s="83">
        <v>45958</v>
      </c>
      <c r="C945" s="2">
        <v>-0.11</v>
      </c>
      <c r="D945" s="2">
        <v>-0.72</v>
      </c>
      <c r="E945" s="77"/>
    </row>
    <row r="946" spans="2:5" ht="13.5" customHeight="1" x14ac:dyDescent="0.3">
      <c r="B946" s="83">
        <v>45959</v>
      </c>
      <c r="C946" s="2">
        <v>0.45</v>
      </c>
      <c r="D946" s="2">
        <v>0.92</v>
      </c>
      <c r="E946" s="77"/>
    </row>
    <row r="947" spans="2:5" ht="13.5" customHeight="1" x14ac:dyDescent="0.3">
      <c r="B947" s="83">
        <v>45960</v>
      </c>
      <c r="C947" s="2">
        <v>-0.68</v>
      </c>
      <c r="D947" s="2">
        <v>-1.28</v>
      </c>
      <c r="E947" s="77"/>
    </row>
    <row r="948" spans="2:5" ht="13.5" customHeight="1" x14ac:dyDescent="0.3">
      <c r="B948" s="83">
        <v>45961</v>
      </c>
      <c r="C948" s="2">
        <v>-0.6</v>
      </c>
      <c r="D948" s="2">
        <v>-2.79</v>
      </c>
      <c r="E948" s="77"/>
    </row>
    <row r="949" spans="2:5" ht="13.5" customHeight="1" x14ac:dyDescent="0.3">
      <c r="B949" s="83">
        <v>45964</v>
      </c>
      <c r="C949" s="2">
        <v>0.16</v>
      </c>
      <c r="D949" s="2">
        <v>3.23</v>
      </c>
      <c r="E949" s="77"/>
    </row>
    <row r="950" spans="2:5" ht="13.5" customHeight="1" x14ac:dyDescent="0.3">
      <c r="B950" s="83">
        <v>45965</v>
      </c>
      <c r="C950" s="2">
        <v>-0.64</v>
      </c>
      <c r="D950" s="2">
        <v>2.73</v>
      </c>
      <c r="E950" s="77"/>
    </row>
    <row r="951" spans="2:5" ht="13.5" customHeight="1" x14ac:dyDescent="0.3">
      <c r="B951" s="83">
        <v>45967</v>
      </c>
      <c r="C951" s="2">
        <v>-0.34</v>
      </c>
      <c r="D951" s="2">
        <v>1.29</v>
      </c>
      <c r="E951" s="77"/>
    </row>
    <row r="952" spans="2:5" ht="13.5" customHeight="1" x14ac:dyDescent="0.3">
      <c r="B952" s="83">
        <v>45968</v>
      </c>
      <c r="C952" s="2">
        <v>-7.0000000000000007E-2</v>
      </c>
      <c r="D952" s="2">
        <v>-0.44</v>
      </c>
      <c r="E952" s="77"/>
    </row>
    <row r="953" spans="2:5" ht="13.5" customHeight="1" x14ac:dyDescent="0.3">
      <c r="B953" s="83">
        <v>45971</v>
      </c>
      <c r="C953" s="2">
        <v>0.32</v>
      </c>
      <c r="D953" s="2">
        <v>-0.62</v>
      </c>
      <c r="E953" s="77"/>
    </row>
    <row r="954" spans="2:5" ht="13.5" customHeight="1" x14ac:dyDescent="0.3">
      <c r="B954" s="83">
        <v>45972</v>
      </c>
      <c r="C954" s="2">
        <v>0.47</v>
      </c>
      <c r="D954" s="2">
        <v>0.87</v>
      </c>
      <c r="E954" s="77"/>
    </row>
    <row r="955" spans="2:5" ht="13.5" customHeight="1" x14ac:dyDescent="0.3">
      <c r="B955" s="83">
        <v>45973</v>
      </c>
      <c r="C955" s="2">
        <v>0.7</v>
      </c>
      <c r="D955" s="2">
        <v>0.45</v>
      </c>
      <c r="E955" s="77"/>
    </row>
    <row r="956" spans="2:5" ht="13.5" customHeight="1" x14ac:dyDescent="0.3">
      <c r="B956" s="83">
        <v>45974</v>
      </c>
      <c r="C956" s="2">
        <v>0.01</v>
      </c>
      <c r="D956" s="2">
        <v>-0.02</v>
      </c>
      <c r="E956" s="77"/>
    </row>
    <row r="957" spans="2:5" ht="13.5" customHeight="1" x14ac:dyDescent="0.3">
      <c r="B957" s="83">
        <v>45975</v>
      </c>
      <c r="C957" s="2">
        <v>0.12</v>
      </c>
      <c r="D957" s="2">
        <v>0.54</v>
      </c>
      <c r="E957" s="77"/>
    </row>
    <row r="958" spans="2:5" ht="13.5" customHeight="1" x14ac:dyDescent="0.3">
      <c r="B958" s="83">
        <v>45978</v>
      </c>
      <c r="C958" s="2">
        <v>0.4</v>
      </c>
      <c r="D958" s="2">
        <v>-0.14000000000000001</v>
      </c>
      <c r="E958" s="77"/>
    </row>
    <row r="959" spans="2:5" ht="13.5" customHeight="1" x14ac:dyDescent="0.3">
      <c r="B959" s="83">
        <v>45979</v>
      </c>
      <c r="C959" s="2">
        <v>-0.4</v>
      </c>
      <c r="D959" s="2">
        <v>-0.65</v>
      </c>
      <c r="E959" s="77"/>
    </row>
    <row r="960" spans="2:5" ht="13.5" customHeight="1" x14ac:dyDescent="0.3">
      <c r="B960" s="83">
        <v>45980</v>
      </c>
      <c r="C960" s="2">
        <v>0.55000000000000004</v>
      </c>
      <c r="D960" s="2">
        <v>-0.63</v>
      </c>
      <c r="E960" s="77"/>
    </row>
    <row r="961" spans="2:5" ht="13.5" customHeight="1" x14ac:dyDescent="0.3">
      <c r="B961" s="83">
        <v>45981</v>
      </c>
      <c r="C961" s="2">
        <v>0.54</v>
      </c>
      <c r="D961" s="2">
        <v>1.45</v>
      </c>
      <c r="E961" s="77"/>
    </row>
    <row r="962" spans="2:5" ht="13.5" customHeight="1" x14ac:dyDescent="0.3">
      <c r="B962" s="83">
        <v>45982</v>
      </c>
      <c r="C962" s="2">
        <v>-0.47</v>
      </c>
      <c r="D962" s="2">
        <v>-1.79</v>
      </c>
      <c r="E962" s="77"/>
    </row>
    <row r="963" spans="2:5" ht="13.5" customHeight="1" x14ac:dyDescent="0.3">
      <c r="B963" s="83">
        <v>45985</v>
      </c>
      <c r="C963" s="2">
        <v>-0.42</v>
      </c>
      <c r="D963" s="2">
        <v>-0.63</v>
      </c>
      <c r="E963" s="77"/>
    </row>
    <row r="964" spans="2:5" ht="13.5" customHeight="1" x14ac:dyDescent="0.3">
      <c r="B964" s="83">
        <v>45986</v>
      </c>
      <c r="C964" s="2">
        <v>-0.28999999999999998</v>
      </c>
      <c r="D964" s="2">
        <v>0.39</v>
      </c>
      <c r="E964" s="77"/>
    </row>
    <row r="965" spans="2:5" ht="13.5" customHeight="1" x14ac:dyDescent="0.3">
      <c r="B965" s="83">
        <v>45987</v>
      </c>
      <c r="C965" s="2">
        <v>1.24</v>
      </c>
      <c r="D965" s="2">
        <v>0.54</v>
      </c>
      <c r="E965" s="77"/>
    </row>
    <row r="966" spans="2:5" ht="13.5" customHeight="1" x14ac:dyDescent="0.3">
      <c r="B966" s="83">
        <v>45988</v>
      </c>
      <c r="C966" s="2">
        <v>0.04</v>
      </c>
      <c r="D966" s="2">
        <v>0.38</v>
      </c>
      <c r="E966" s="77"/>
    </row>
    <row r="967" spans="2:5" ht="13.5" customHeight="1" x14ac:dyDescent="0.3">
      <c r="B967" s="83">
        <v>45989</v>
      </c>
      <c r="C967" s="2">
        <v>-0.05</v>
      </c>
      <c r="D967" s="2">
        <v>-0.34</v>
      </c>
      <c r="E967" s="77"/>
    </row>
    <row r="968" spans="2:5" ht="13.5" customHeight="1" x14ac:dyDescent="0.3">
      <c r="B968" s="83">
        <v>45992</v>
      </c>
      <c r="C968" s="2">
        <v>-0.1</v>
      </c>
      <c r="D968" s="2">
        <v>-0.42</v>
      </c>
      <c r="E968" s="77"/>
    </row>
    <row r="969" spans="2:5" ht="13.5" customHeight="1" x14ac:dyDescent="0.3">
      <c r="B969" s="83">
        <v>45993</v>
      </c>
      <c r="C969" s="2">
        <v>-0.55000000000000004</v>
      </c>
      <c r="D969" s="2">
        <v>-1.42</v>
      </c>
      <c r="E969" s="77"/>
    </row>
    <row r="970" spans="2:5" ht="13.5" customHeight="1" x14ac:dyDescent="0.3">
      <c r="B970" s="83">
        <v>45994</v>
      </c>
      <c r="C970" s="2">
        <v>-0.18</v>
      </c>
      <c r="D970" s="2">
        <v>-0.38</v>
      </c>
      <c r="E970" s="77"/>
    </row>
    <row r="971" spans="2:5" ht="13.5" customHeight="1" x14ac:dyDescent="0.3">
      <c r="B971" s="83">
        <v>45995</v>
      </c>
      <c r="C971" s="2">
        <v>0.18</v>
      </c>
      <c r="D971" s="2">
        <v>0.42</v>
      </c>
      <c r="E971" s="77"/>
    </row>
    <row r="972" spans="2:5" ht="13.5" customHeight="1" x14ac:dyDescent="0.3">
      <c r="B972" s="83">
        <v>45996</v>
      </c>
      <c r="C972" s="2">
        <v>0.59</v>
      </c>
      <c r="D972" s="2">
        <v>0.39</v>
      </c>
      <c r="E972" s="77"/>
    </row>
    <row r="973" spans="2:5" ht="13.5" customHeight="1" x14ac:dyDescent="0.3">
      <c r="B973" s="83">
        <v>45999</v>
      </c>
      <c r="C973" s="2">
        <v>-0.86</v>
      </c>
      <c r="D973" s="2">
        <v>-1.1100000000000001</v>
      </c>
      <c r="E973" s="77"/>
    </row>
    <row r="974" spans="2:5" ht="13.5" customHeight="1" x14ac:dyDescent="0.3">
      <c r="B974" s="83">
        <v>46000</v>
      </c>
      <c r="C974" s="2">
        <v>-0.47</v>
      </c>
      <c r="D974" s="2">
        <v>-0.17</v>
      </c>
      <c r="E974" s="77"/>
    </row>
    <row r="975" spans="2:5" ht="13.5" customHeight="1" x14ac:dyDescent="0.3">
      <c r="B975" s="83">
        <v>46001</v>
      </c>
      <c r="C975" s="2">
        <v>-0.32</v>
      </c>
      <c r="D975" s="2">
        <v>-0.21</v>
      </c>
      <c r="E975" s="77"/>
    </row>
    <row r="976" spans="2:5" ht="13.5" customHeight="1" x14ac:dyDescent="0.3">
      <c r="B976" s="83">
        <v>46002</v>
      </c>
      <c r="C976" s="2">
        <v>0.55000000000000004</v>
      </c>
      <c r="D976" s="2">
        <v>-0.16</v>
      </c>
      <c r="E976" s="77"/>
    </row>
    <row r="977" spans="2:5" ht="13.5" customHeight="1" x14ac:dyDescent="0.3">
      <c r="B977" s="83">
        <v>46003</v>
      </c>
      <c r="C977" s="2">
        <v>0.56999999999999995</v>
      </c>
      <c r="D977" s="2">
        <v>-1.35</v>
      </c>
      <c r="E977" s="77"/>
    </row>
    <row r="978" spans="2:5" ht="13.5" customHeight="1" x14ac:dyDescent="0.3">
      <c r="B978" s="83">
        <v>46006</v>
      </c>
      <c r="C978" s="2">
        <v>-0.08</v>
      </c>
      <c r="D978" s="2">
        <v>0.44</v>
      </c>
      <c r="E978" s="77"/>
    </row>
    <row r="979" spans="2:5" ht="13.5" customHeight="1" x14ac:dyDescent="0.3">
      <c r="B979" s="83">
        <v>46007</v>
      </c>
      <c r="C979" s="2">
        <v>-0.64</v>
      </c>
      <c r="D979" s="2">
        <v>0</v>
      </c>
      <c r="E979" s="77"/>
    </row>
    <row r="980" spans="2:5" ht="13.5" customHeight="1" x14ac:dyDescent="0.3">
      <c r="B980" s="83">
        <v>46008</v>
      </c>
      <c r="C980" s="2">
        <v>-0.16</v>
      </c>
      <c r="D980" s="2">
        <v>-0.61</v>
      </c>
      <c r="E980" s="77"/>
    </row>
    <row r="981" spans="2:5" ht="13.5" customHeight="1" x14ac:dyDescent="0.3">
      <c r="B981" s="83">
        <v>46009</v>
      </c>
      <c r="C981" s="2">
        <v>-0.01</v>
      </c>
      <c r="D981" s="2">
        <v>-0.32</v>
      </c>
      <c r="E981" s="77"/>
    </row>
    <row r="982" spans="2:5" ht="13.5" customHeight="1" x14ac:dyDescent="0.3">
      <c r="B982" s="83">
        <v>46010</v>
      </c>
      <c r="C982" s="2">
        <v>0.57999999999999996</v>
      </c>
      <c r="D982" s="2">
        <v>0.28000000000000003</v>
      </c>
      <c r="E982" s="77"/>
    </row>
    <row r="983" spans="2:5" ht="13.5" customHeight="1" x14ac:dyDescent="0.3">
      <c r="B983" s="83">
        <v>46013</v>
      </c>
      <c r="C983" s="2">
        <v>0.79</v>
      </c>
      <c r="D983" s="2">
        <v>-0.05</v>
      </c>
      <c r="E983" s="77"/>
    </row>
    <row r="984" spans="2:5" ht="13.5" customHeight="1" x14ac:dyDescent="0.3">
      <c r="B984" s="83">
        <v>46014</v>
      </c>
      <c r="C984" s="2">
        <v>0.02</v>
      </c>
      <c r="D984" s="2">
        <v>-0.11</v>
      </c>
      <c r="E984" s="77"/>
    </row>
    <row r="985" spans="2:5" ht="13.5" customHeight="1" x14ac:dyDescent="0.3">
      <c r="B985" s="83">
        <v>46015</v>
      </c>
      <c r="C985" s="2">
        <v>-0.13</v>
      </c>
      <c r="D985" s="2">
        <v>-0.53</v>
      </c>
      <c r="E985" s="77"/>
    </row>
    <row r="986" spans="2:5" ht="13.5" customHeight="1" x14ac:dyDescent="0.3">
      <c r="B986" s="83">
        <v>46017</v>
      </c>
      <c r="C986" s="2">
        <v>-0.38</v>
      </c>
      <c r="D986" s="2">
        <v>-0.48</v>
      </c>
      <c r="E986" s="77"/>
    </row>
    <row r="987" spans="2:5" ht="13.5" customHeight="1" x14ac:dyDescent="0.3">
      <c r="B987" s="83">
        <v>46020</v>
      </c>
      <c r="C987" s="2">
        <v>-0.38</v>
      </c>
      <c r="D987" s="2">
        <v>0.23</v>
      </c>
      <c r="E987" s="77"/>
    </row>
    <row r="988" spans="2:5" ht="13.5" customHeight="1" x14ac:dyDescent="0.3">
      <c r="B988" s="83">
        <v>46021</v>
      </c>
      <c r="C988" s="2">
        <v>-0.01</v>
      </c>
      <c r="D988" s="2">
        <v>1.3</v>
      </c>
      <c r="E988" s="77"/>
    </row>
    <row r="989" spans="2:5" ht="13.5" customHeight="1" x14ac:dyDescent="0.3">
      <c r="B989" s="83">
        <v>46022</v>
      </c>
      <c r="C989" s="2">
        <v>0.74</v>
      </c>
      <c r="D989" s="2">
        <v>1.6</v>
      </c>
      <c r="E989" s="77"/>
    </row>
    <row r="990" spans="2:5" ht="13.5" customHeight="1" x14ac:dyDescent="0.3">
      <c r="B990" s="83">
        <v>46023</v>
      </c>
      <c r="C990" s="2">
        <v>0.06</v>
      </c>
      <c r="D990" s="2">
        <v>-0.72</v>
      </c>
      <c r="E990" s="77"/>
    </row>
    <row r="991" spans="2:5" ht="13.5" customHeight="1" x14ac:dyDescent="0.3">
      <c r="B991" s="83">
        <v>46024</v>
      </c>
      <c r="C991" s="2">
        <v>0.7</v>
      </c>
      <c r="D991" s="2">
        <v>4.53</v>
      </c>
      <c r="E991" s="77"/>
    </row>
    <row r="992" spans="2:5" ht="13.5" customHeight="1" x14ac:dyDescent="0.3">
      <c r="B992" s="83">
        <v>46027</v>
      </c>
      <c r="C992" s="2">
        <v>-0.3</v>
      </c>
      <c r="D992" s="2">
        <v>-0.27</v>
      </c>
      <c r="E992" s="77"/>
    </row>
    <row r="993" spans="2:5" ht="13.5" customHeight="1" x14ac:dyDescent="0.3">
      <c r="B993" s="83">
        <v>46028</v>
      </c>
      <c r="C993" s="2">
        <v>-0.27</v>
      </c>
      <c r="D993" s="2">
        <v>-0.16</v>
      </c>
      <c r="E993" s="77"/>
    </row>
    <row r="994" spans="2:5" ht="13.5" customHeight="1" x14ac:dyDescent="0.3">
      <c r="B994" s="83">
        <v>46029</v>
      </c>
      <c r="C994" s="2">
        <v>-0.14000000000000001</v>
      </c>
      <c r="D994" s="2">
        <v>0.11</v>
      </c>
      <c r="E994" s="77"/>
    </row>
    <row r="995" spans="2:5" ht="13.5" customHeight="1" x14ac:dyDescent="0.3">
      <c r="B995" s="83">
        <v>46030</v>
      </c>
      <c r="C995" s="2">
        <v>-1.01</v>
      </c>
      <c r="D995" s="2">
        <v>-0.28000000000000003</v>
      </c>
      <c r="E995" s="77"/>
    </row>
    <row r="996" spans="2:5" ht="13.5" customHeight="1" x14ac:dyDescent="0.3">
      <c r="B996" s="83">
        <v>46031</v>
      </c>
      <c r="C996" s="2">
        <v>-0.75</v>
      </c>
      <c r="D996" s="2">
        <v>0.56999999999999995</v>
      </c>
      <c r="E996" s="77"/>
    </row>
    <row r="997" spans="2:5" ht="13.5" customHeight="1" x14ac:dyDescent="0.3">
      <c r="B997" s="83">
        <v>46034</v>
      </c>
      <c r="C997" s="2">
        <v>0.42</v>
      </c>
      <c r="D997" s="2">
        <v>0.31</v>
      </c>
      <c r="E997" s="77"/>
    </row>
    <row r="998" spans="2:5" ht="13.5" customHeight="1" x14ac:dyDescent="0.3">
      <c r="B998" s="83">
        <v>46035</v>
      </c>
      <c r="C998" s="2">
        <v>-0.22</v>
      </c>
      <c r="D998" s="2">
        <v>-0.37</v>
      </c>
      <c r="E998" s="77"/>
    </row>
    <row r="999" spans="2:5" ht="13.5" customHeight="1" x14ac:dyDescent="0.3">
      <c r="B999" s="83">
        <v>46036</v>
      </c>
      <c r="C999" s="2">
        <v>-0.26</v>
      </c>
      <c r="D999" s="2">
        <v>-1.59</v>
      </c>
      <c r="E999" s="77"/>
    </row>
    <row r="1000" spans="2:5" ht="13.5" customHeight="1" x14ac:dyDescent="0.3">
      <c r="B1000" s="83">
        <v>46038</v>
      </c>
      <c r="C1000" s="2">
        <v>0.11</v>
      </c>
      <c r="D1000" s="2">
        <v>0.16</v>
      </c>
      <c r="E1000" s="77"/>
    </row>
    <row r="1001" spans="2:5" ht="13.5" customHeight="1" x14ac:dyDescent="0.3">
      <c r="B1001" s="83">
        <v>46041</v>
      </c>
      <c r="C1001" s="2">
        <v>-0.42</v>
      </c>
      <c r="D1001" s="2">
        <v>-0.35</v>
      </c>
      <c r="E1001" s="77"/>
    </row>
    <row r="1002" spans="2:5" ht="13.5" customHeight="1" x14ac:dyDescent="0.3">
      <c r="B1002" s="83">
        <v>46042</v>
      </c>
      <c r="C1002" s="2">
        <v>-1.38</v>
      </c>
      <c r="D1002" s="2">
        <v>-1.49</v>
      </c>
      <c r="E1002" s="77"/>
    </row>
    <row r="1003" spans="2:5" ht="13.5" customHeight="1" x14ac:dyDescent="0.3">
      <c r="B1003" s="83">
        <v>46043</v>
      </c>
      <c r="C1003" s="2">
        <v>-0.3</v>
      </c>
      <c r="D1003" s="2">
        <v>2.2000000000000002</v>
      </c>
      <c r="E1003" s="77"/>
    </row>
    <row r="1004" spans="2:5" ht="13.5" customHeight="1" x14ac:dyDescent="0.3">
      <c r="B1004" s="83">
        <v>46044</v>
      </c>
      <c r="C1004" s="2">
        <v>0.53</v>
      </c>
      <c r="D1004" s="2">
        <v>1.77</v>
      </c>
      <c r="E1004" s="77"/>
    </row>
    <row r="1005" spans="2:5" ht="13.5" customHeight="1" x14ac:dyDescent="0.3">
      <c r="B1005" s="83">
        <v>46045</v>
      </c>
      <c r="C1005" s="2">
        <v>-0.95</v>
      </c>
      <c r="D1005" s="2">
        <v>-1.21</v>
      </c>
      <c r="E1005" s="77"/>
    </row>
    <row r="1006" spans="2:5" ht="13.5" customHeight="1" x14ac:dyDescent="0.3">
      <c r="B1006" s="83">
        <v>46049</v>
      </c>
      <c r="C1006" s="2">
        <v>0.51</v>
      </c>
      <c r="D1006" s="2">
        <v>-1.08</v>
      </c>
      <c r="E1006" s="77"/>
    </row>
    <row r="1007" spans="2:5" ht="13.5" customHeight="1" x14ac:dyDescent="0.3">
      <c r="B1007" s="83">
        <v>46050</v>
      </c>
      <c r="C1007" s="2">
        <v>0.66</v>
      </c>
      <c r="D1007" s="2">
        <v>0.46</v>
      </c>
      <c r="E1007" s="77"/>
    </row>
    <row r="1008" spans="2:5" ht="13.5" customHeight="1" x14ac:dyDescent="0.3">
      <c r="B1008" s="83">
        <v>46051</v>
      </c>
      <c r="C1008" s="2">
        <v>0.3</v>
      </c>
      <c r="D1008" s="2">
        <v>-1.03</v>
      </c>
      <c r="E1008" s="77"/>
    </row>
    <row r="1009" spans="2:5" ht="13.5" customHeight="1" x14ac:dyDescent="0.3">
      <c r="B1009" s="83">
        <v>46052</v>
      </c>
      <c r="C1009" s="2">
        <v>-0.39</v>
      </c>
      <c r="D1009" s="2">
        <v>-0.75</v>
      </c>
      <c r="E1009" s="77"/>
    </row>
    <row r="1010" spans="2:5" ht="13.5" customHeight="1" x14ac:dyDescent="0.3">
      <c r="B1010" s="83">
        <v>46055</v>
      </c>
      <c r="C1010" s="2">
        <v>-0.92</v>
      </c>
      <c r="D1010" s="2">
        <v>-1.5</v>
      </c>
      <c r="E1010" s="77"/>
    </row>
    <row r="1011" spans="2:5" ht="13.5" customHeight="1" x14ac:dyDescent="0.3">
      <c r="B1011" s="83">
        <v>46056</v>
      </c>
      <c r="C1011" s="2">
        <v>2.5499999999999998</v>
      </c>
      <c r="D1011" s="2">
        <v>0.3</v>
      </c>
      <c r="E1011" s="77"/>
    </row>
    <row r="1012" spans="2:5" ht="13.5" customHeight="1" x14ac:dyDescent="0.3">
      <c r="B1012" s="83">
        <v>46057</v>
      </c>
      <c r="C1012" s="2">
        <v>0.19</v>
      </c>
      <c r="D1012" s="2">
        <v>0.14000000000000001</v>
      </c>
      <c r="E1012" s="77"/>
    </row>
    <row r="1013" spans="2:5" ht="13.5" customHeight="1" x14ac:dyDescent="0.3">
      <c r="B1013" s="83">
        <v>46058</v>
      </c>
      <c r="C1013" s="2">
        <v>-0.52</v>
      </c>
      <c r="D1013" s="2">
        <v>0.62</v>
      </c>
      <c r="E1013" s="77"/>
    </row>
    <row r="1014" spans="2:5" ht="13.5" customHeight="1" x14ac:dyDescent="0.3">
      <c r="B1014" s="83">
        <v>46059</v>
      </c>
      <c r="C1014" s="2">
        <v>0.2</v>
      </c>
      <c r="D1014" s="2">
        <v>0.79</v>
      </c>
      <c r="E1014" s="77"/>
    </row>
    <row r="1015" spans="2:5" ht="13.5" customHeight="1" x14ac:dyDescent="0.3">
      <c r="B1015" s="83">
        <v>46062</v>
      </c>
      <c r="C1015" s="2">
        <v>0.68</v>
      </c>
      <c r="D1015" s="2">
        <v>1.2</v>
      </c>
      <c r="E1015" s="77"/>
    </row>
    <row r="1016" spans="2:5" ht="13.5" customHeight="1" x14ac:dyDescent="0.3">
      <c r="B1016" s="83">
        <v>46063</v>
      </c>
      <c r="C1016" s="2">
        <v>0.26</v>
      </c>
      <c r="D1016" s="2">
        <v>1.03</v>
      </c>
      <c r="E1016" s="77"/>
    </row>
    <row r="1017" spans="2:5" ht="13.5" customHeight="1" x14ac:dyDescent="0.3">
      <c r="B1017" s="83">
        <v>46064</v>
      </c>
      <c r="C1017" s="2">
        <v>7.0000000000000007E-2</v>
      </c>
      <c r="D1017" s="2">
        <v>0.51</v>
      </c>
      <c r="E1017" s="77"/>
    </row>
    <row r="1018" spans="2:5" ht="13.5" customHeight="1" x14ac:dyDescent="0.3">
      <c r="B1018" s="83">
        <v>46065</v>
      </c>
      <c r="C1018" s="2">
        <v>-0.56999999999999995</v>
      </c>
      <c r="D1018" s="2">
        <v>-0.54</v>
      </c>
      <c r="E1018" s="77"/>
    </row>
    <row r="1019" spans="2:5" ht="13.5" customHeight="1" x14ac:dyDescent="0.3">
      <c r="B1019" s="83">
        <v>46066</v>
      </c>
      <c r="C1019" s="2">
        <v>-1.3</v>
      </c>
      <c r="D1019" s="2">
        <v>-1.37</v>
      </c>
      <c r="E1019" s="77"/>
    </row>
    <row r="1020" spans="2:5" ht="13.5" customHeight="1" x14ac:dyDescent="0.3">
      <c r="B1020" s="83">
        <v>46069</v>
      </c>
      <c r="C1020" s="2">
        <v>0.83</v>
      </c>
      <c r="D1020" s="2">
        <v>0.35</v>
      </c>
      <c r="E1020" s="77"/>
    </row>
    <row r="1021" spans="2:5" ht="13.5" customHeight="1" x14ac:dyDescent="0.3">
      <c r="B1021" s="83">
        <v>46070</v>
      </c>
      <c r="C1021" s="2">
        <v>0.17</v>
      </c>
      <c r="D1021" s="2">
        <v>0.5</v>
      </c>
      <c r="E1021" s="77"/>
    </row>
    <row r="1022" spans="2:5" ht="13.5" customHeight="1" x14ac:dyDescent="0.3">
      <c r="B1022" s="83">
        <v>46071</v>
      </c>
      <c r="C1022" s="2">
        <v>0.37</v>
      </c>
      <c r="D1022" s="2">
        <v>-1.2</v>
      </c>
      <c r="E1022" s="77"/>
    </row>
    <row r="1023" spans="2:5" ht="13.5" customHeight="1" x14ac:dyDescent="0.3">
      <c r="B1023" s="83">
        <v>46072</v>
      </c>
      <c r="C1023" s="2">
        <v>-1.41</v>
      </c>
      <c r="D1023" s="2">
        <v>-1.75</v>
      </c>
      <c r="E1023" s="77"/>
    </row>
    <row r="1024" spans="2:5" ht="13.5" customHeight="1" x14ac:dyDescent="0.3">
      <c r="B1024" s="83">
        <v>46073</v>
      </c>
      <c r="C1024" s="2">
        <v>0.46</v>
      </c>
      <c r="D1024" s="2">
        <v>1.6</v>
      </c>
      <c r="E1024" s="77"/>
    </row>
    <row r="1025" spans="2:5" ht="13.5" customHeight="1" x14ac:dyDescent="0.3">
      <c r="B1025" s="83">
        <v>46076</v>
      </c>
      <c r="C1025" s="2">
        <v>0.55000000000000004</v>
      </c>
      <c r="D1025" s="2">
        <v>0.91</v>
      </c>
      <c r="E1025" s="77"/>
    </row>
    <row r="1026" spans="2:5" ht="13.5" customHeight="1" x14ac:dyDescent="0.3">
      <c r="B1026" s="83">
        <v>46077</v>
      </c>
      <c r="C1026" s="2">
        <v>-1.1200000000000001</v>
      </c>
      <c r="D1026" s="2">
        <v>0.72</v>
      </c>
      <c r="E1026" s="77"/>
    </row>
    <row r="1027" spans="2:5" ht="13.5" customHeight="1" x14ac:dyDescent="0.3">
      <c r="B1027" s="83">
        <v>46078</v>
      </c>
      <c r="C1027" s="2">
        <v>0.23</v>
      </c>
      <c r="D1027" s="2">
        <v>0.12</v>
      </c>
      <c r="E1027" s="77"/>
    </row>
    <row r="1028" spans="2:5" ht="13.5" customHeight="1" x14ac:dyDescent="0.3">
      <c r="B1028" s="83">
        <v>46079</v>
      </c>
      <c r="C1028" s="2">
        <v>0.06</v>
      </c>
      <c r="D1028" s="2">
        <v>1.1200000000000001</v>
      </c>
      <c r="E1028" s="77"/>
    </row>
    <row r="1029" spans="2:5" ht="13.5" customHeight="1" x14ac:dyDescent="0.3">
      <c r="B1029" s="83">
        <v>46080</v>
      </c>
      <c r="C1029" s="2">
        <v>-1.25</v>
      </c>
      <c r="D1029" s="2">
        <v>-1.1299999999999999</v>
      </c>
      <c r="E1029" s="77"/>
    </row>
    <row r="1030" spans="2:5" ht="13.5" customHeight="1" x14ac:dyDescent="0.3">
      <c r="B1030" s="83">
        <v>46083</v>
      </c>
      <c r="C1030" s="2">
        <v>-1.24</v>
      </c>
      <c r="D1030" s="2">
        <v>-2.1</v>
      </c>
      <c r="E1030" s="77"/>
    </row>
    <row r="1031" spans="2:5" ht="13.5" customHeight="1" x14ac:dyDescent="0.3">
      <c r="B1031" s="83">
        <v>46085</v>
      </c>
      <c r="C1031" s="2">
        <v>-1.55</v>
      </c>
      <c r="D1031" s="2">
        <v>-3.98</v>
      </c>
      <c r="E1031" s="77"/>
    </row>
    <row r="1032" spans="2:5" ht="13.5" customHeight="1" x14ac:dyDescent="0.3">
      <c r="B1032" s="83">
        <v>46086</v>
      </c>
      <c r="C1032" s="2">
        <v>1.17</v>
      </c>
      <c r="D1032" s="2">
        <v>0.1</v>
      </c>
      <c r="E1032" s="77"/>
    </row>
    <row r="1033" spans="2:5" ht="13.5" customHeight="1" x14ac:dyDescent="0.3">
      <c r="B1033" s="83">
        <v>46087</v>
      </c>
      <c r="C1033" s="2">
        <v>-1.27</v>
      </c>
      <c r="D1033" s="2">
        <v>-1.91</v>
      </c>
      <c r="E1033" s="77"/>
    </row>
    <row r="1034" spans="2:5" ht="13.5" customHeight="1" x14ac:dyDescent="0.3">
      <c r="B1034" s="83">
        <v>46090</v>
      </c>
      <c r="C1034" s="2">
        <v>-1.73</v>
      </c>
      <c r="D1034" s="2">
        <v>-2.4900000000000002</v>
      </c>
      <c r="E1034" s="77"/>
    </row>
    <row r="1035" spans="2:5" ht="13.5" customHeight="1" x14ac:dyDescent="0.3">
      <c r="B1035" s="83">
        <v>46091</v>
      </c>
      <c r="C1035" s="2">
        <v>0.97</v>
      </c>
      <c r="D1035" s="2">
        <v>3.04</v>
      </c>
      <c r="E1035" s="77"/>
    </row>
    <row r="1036" spans="2:5" ht="13.5" customHeight="1" x14ac:dyDescent="0.3">
      <c r="B1036" s="83">
        <v>46092</v>
      </c>
      <c r="C1036" s="2">
        <v>-1.63</v>
      </c>
      <c r="D1036" s="2">
        <v>-1.88</v>
      </c>
      <c r="E1036" s="77"/>
    </row>
    <row r="1037" spans="2:5" ht="13.5" customHeight="1" x14ac:dyDescent="0.3">
      <c r="B1037" s="83">
        <v>46093</v>
      </c>
      <c r="C1037" s="2">
        <v>-0.95</v>
      </c>
      <c r="D1037" s="2">
        <v>-2.65</v>
      </c>
      <c r="E1037" s="77"/>
    </row>
    <row r="1038" spans="2:5" ht="13.5" customHeight="1" x14ac:dyDescent="0.3">
      <c r="B1038" s="83">
        <v>46094</v>
      </c>
      <c r="C1038" s="2">
        <v>-2.06</v>
      </c>
      <c r="D1038" s="2">
        <v>-1.27</v>
      </c>
      <c r="E1038" s="77"/>
    </row>
    <row r="1039" spans="2:5" ht="13.5" customHeight="1" x14ac:dyDescent="0.3">
      <c r="B1039" s="83">
        <v>46097</v>
      </c>
      <c r="C1039" s="2">
        <v>1.1100000000000001</v>
      </c>
      <c r="D1039" s="2">
        <v>1.18</v>
      </c>
      <c r="E1039" s="77"/>
    </row>
    <row r="1040" spans="2:5" ht="13.5" customHeight="1" x14ac:dyDescent="0.3">
      <c r="B1040" s="83">
        <v>46098</v>
      </c>
      <c r="C1040" s="2">
        <v>0.74</v>
      </c>
      <c r="D1040" s="2">
        <v>-1.36</v>
      </c>
      <c r="E1040" s="77"/>
    </row>
    <row r="1041" spans="2:5" ht="13.5" customHeight="1" x14ac:dyDescent="0.3">
      <c r="B1041" s="83">
        <v>46099</v>
      </c>
      <c r="C1041" s="2">
        <v>0.83</v>
      </c>
      <c r="D1041" s="2">
        <v>-0.17</v>
      </c>
      <c r="E1041" s="77"/>
    </row>
    <row r="1042" spans="2:5" ht="13.5" customHeight="1" x14ac:dyDescent="0.3">
      <c r="B1042" s="83">
        <v>46100</v>
      </c>
      <c r="C1042" s="2">
        <v>-3.26</v>
      </c>
      <c r="D1042" s="2">
        <v>-4.79</v>
      </c>
      <c r="E1042" s="77"/>
    </row>
    <row r="1043" spans="2:5" ht="13.5" customHeight="1" x14ac:dyDescent="0.3">
      <c r="B1043" s="83">
        <v>46101</v>
      </c>
      <c r="C1043" s="2">
        <v>0.49</v>
      </c>
      <c r="D1043" s="2">
        <v>0.12</v>
      </c>
      <c r="E1043" s="77"/>
    </row>
    <row r="1044" spans="2:5" ht="13.5" customHeight="1" x14ac:dyDescent="0.3">
      <c r="B1044" s="83">
        <v>46104</v>
      </c>
      <c r="C1044" s="2">
        <v>-2.6</v>
      </c>
      <c r="D1044" s="2">
        <v>-3.1</v>
      </c>
      <c r="E1044" s="77"/>
    </row>
    <row r="1045" spans="2:5" ht="13.5" customHeight="1" x14ac:dyDescent="0.3">
      <c r="B1045" s="83">
        <v>46105</v>
      </c>
      <c r="C1045" s="2">
        <v>1.78</v>
      </c>
      <c r="D1045" s="2">
        <v>0.97</v>
      </c>
      <c r="E1045" s="77"/>
    </row>
    <row r="1046" spans="2:5" ht="13.5" customHeight="1" x14ac:dyDescent="0.3">
      <c r="B1046" s="83">
        <v>46106</v>
      </c>
      <c r="C1046" s="2">
        <v>1.72</v>
      </c>
      <c r="D1046" s="2">
        <v>2.2799999999999998</v>
      </c>
      <c r="E1046" s="77"/>
    </row>
    <row r="1047" spans="2:5" ht="13.5" customHeight="1" x14ac:dyDescent="0.3">
      <c r="B1047" s="83">
        <v>46108</v>
      </c>
      <c r="C1047" s="2">
        <v>-2.09</v>
      </c>
      <c r="D1047" s="2">
        <v>-2.65</v>
      </c>
      <c r="E1047" s="77"/>
    </row>
    <row r="1048" spans="2:5" ht="13.5" customHeight="1" x14ac:dyDescent="0.3">
      <c r="B1048" s="83">
        <v>46111</v>
      </c>
      <c r="C1048" s="2">
        <v>-2.14</v>
      </c>
      <c r="D1048" s="2">
        <v>-2.1800000000000002</v>
      </c>
      <c r="E1048" s="77"/>
    </row>
    <row r="1049" spans="2:5" ht="13.5" customHeight="1" x14ac:dyDescent="0.3">
      <c r="B1049" s="83">
        <v>46113</v>
      </c>
      <c r="C1049" s="2">
        <v>1.56</v>
      </c>
      <c r="D1049" s="2">
        <v>1.1000000000000001</v>
      </c>
      <c r="E1049" s="77"/>
    </row>
    <row r="1050" spans="2:5" ht="13.5" customHeight="1" x14ac:dyDescent="0.3">
      <c r="B1050" s="83">
        <v>46114</v>
      </c>
      <c r="C1050" s="2">
        <v>0.15</v>
      </c>
      <c r="D1050" s="2">
        <v>0.55000000000000004</v>
      </c>
      <c r="E1050" s="77"/>
    </row>
    <row r="1051" spans="2:5" ht="13.5" customHeight="1" x14ac:dyDescent="0.3">
      <c r="B1051" s="83">
        <v>46118</v>
      </c>
      <c r="C1051" s="2">
        <v>1.1200000000000001</v>
      </c>
      <c r="D1051" s="2">
        <v>-0.85</v>
      </c>
      <c r="E1051" s="77"/>
    </row>
    <row r="1052" spans="2:5" ht="13.5" customHeight="1" x14ac:dyDescent="0.3">
      <c r="B1052" s="83">
        <v>46119</v>
      </c>
      <c r="C1052" s="2">
        <v>0.68</v>
      </c>
      <c r="D1052" s="2">
        <v>0.13</v>
      </c>
      <c r="E1052" s="77"/>
    </row>
    <row r="1053" spans="2:5" ht="13.5" customHeight="1" x14ac:dyDescent="0.3">
      <c r="B1053" s="83">
        <v>46120</v>
      </c>
      <c r="C1053" s="2">
        <v>3.78</v>
      </c>
      <c r="D1053" s="2">
        <v>3.14</v>
      </c>
      <c r="E1053" s="77"/>
    </row>
    <row r="1054" spans="2:5" ht="13.5" customHeight="1" x14ac:dyDescent="0.3">
      <c r="B1054" s="83">
        <v>46121</v>
      </c>
      <c r="C1054" s="2">
        <v>-0.93</v>
      </c>
      <c r="D1054" s="2">
        <v>0.5</v>
      </c>
      <c r="E1054" s="77"/>
    </row>
    <row r="1055" spans="2:5" ht="13.5" customHeight="1" x14ac:dyDescent="0.3">
      <c r="B1055" s="83">
        <v>46122</v>
      </c>
      <c r="C1055" s="2">
        <v>1.1599999999999999</v>
      </c>
      <c r="D1055" s="2">
        <v>1.47</v>
      </c>
      <c r="E1055" s="77"/>
    </row>
    <row r="1056" spans="2:5" ht="13.5" customHeight="1" x14ac:dyDescent="0.3">
      <c r="B1056" s="83">
        <v>46125</v>
      </c>
      <c r="C1056" s="2">
        <v>-0.86</v>
      </c>
      <c r="D1056" s="2">
        <v>-2.5099999999999998</v>
      </c>
      <c r="E1056" s="77"/>
    </row>
    <row r="1057" spans="2:5" ht="13.5" customHeight="1" x14ac:dyDescent="0.3">
      <c r="B1057" s="83">
        <v>46127</v>
      </c>
      <c r="C1057" s="2">
        <v>1.63</v>
      </c>
      <c r="D1057" s="2">
        <v>2</v>
      </c>
      <c r="E1057" s="77"/>
    </row>
    <row r="1058" spans="2:5" ht="13.5" customHeight="1" x14ac:dyDescent="0.3">
      <c r="B1058" s="83">
        <v>46128</v>
      </c>
      <c r="C1058" s="2">
        <v>-0.14000000000000001</v>
      </c>
      <c r="D1058" s="2">
        <v>-1.32</v>
      </c>
      <c r="E1058" s="77"/>
    </row>
    <row r="1059" spans="2:5" ht="13.5" customHeight="1" x14ac:dyDescent="0.3">
      <c r="B1059" s="83">
        <v>46129</v>
      </c>
      <c r="C1059" s="2">
        <v>0.65</v>
      </c>
      <c r="D1059" s="2">
        <v>3.58</v>
      </c>
      <c r="E1059" s="77"/>
    </row>
    <row r="1060" spans="2:5" ht="13.5" customHeight="1" x14ac:dyDescent="0.3">
      <c r="B1060" s="83">
        <v>46132</v>
      </c>
      <c r="C1060" s="2">
        <v>0.05</v>
      </c>
      <c r="D1060" s="2">
        <v>-0.26</v>
      </c>
      <c r="E1060" s="77"/>
    </row>
    <row r="1061" spans="2:5" ht="13.5" customHeight="1" x14ac:dyDescent="0.3">
      <c r="B1061" s="83">
        <v>46133</v>
      </c>
      <c r="C1061" s="2">
        <v>0.87</v>
      </c>
      <c r="D1061" s="2">
        <v>2.33</v>
      </c>
      <c r="E1061" s="77"/>
    </row>
    <row r="1062" spans="2:5" ht="13.5" customHeight="1" x14ac:dyDescent="0.3">
      <c r="B1062" s="83">
        <v>46134</v>
      </c>
      <c r="C1062" s="2">
        <v>-0.81</v>
      </c>
      <c r="D1062" s="2">
        <v>1.77</v>
      </c>
      <c r="E1062" s="77"/>
    </row>
    <row r="1063" spans="2:5" ht="13.5" customHeight="1" x14ac:dyDescent="0.3">
      <c r="B1063" s="83">
        <v>46135</v>
      </c>
      <c r="C1063" s="2">
        <v>-0.84</v>
      </c>
      <c r="D1063" s="2">
        <v>0</v>
      </c>
      <c r="E1063" s="77"/>
    </row>
    <row r="1064" spans="2:5" ht="13.5" customHeight="1" x14ac:dyDescent="0.3">
      <c r="B1064" s="83">
        <v>46136</v>
      </c>
      <c r="C1064" s="2">
        <v>-1.1399999999999999</v>
      </c>
      <c r="D1064" s="2">
        <v>-1.93</v>
      </c>
      <c r="E1064" s="77"/>
    </row>
    <row r="1065" spans="2:5" ht="13.5" customHeight="1" x14ac:dyDescent="0.3">
      <c r="B1065" s="83">
        <v>46139</v>
      </c>
      <c r="C1065" s="2">
        <v>0.81</v>
      </c>
      <c r="D1065" s="2">
        <v>0.2</v>
      </c>
      <c r="E1065" s="77"/>
    </row>
    <row r="1066" spans="2:5" ht="13.5" customHeight="1" x14ac:dyDescent="0.3">
      <c r="B1066" s="83">
        <v>46140</v>
      </c>
      <c r="C1066" s="2">
        <v>-0.4</v>
      </c>
      <c r="D1066" s="2">
        <v>-0.41</v>
      </c>
      <c r="E1066" s="77"/>
    </row>
    <row r="1067" spans="2:5" ht="13.5" customHeight="1" x14ac:dyDescent="0.3">
      <c r="B1067" s="83">
        <v>46141</v>
      </c>
      <c r="C1067" s="2">
        <v>0.76</v>
      </c>
      <c r="D1067" s="2">
        <v>1.3</v>
      </c>
      <c r="E1067" s="77"/>
    </row>
    <row r="1068" spans="2:5" ht="13.5" customHeight="1" x14ac:dyDescent="0.3">
      <c r="B1068" s="83">
        <v>46142</v>
      </c>
      <c r="C1068" s="2">
        <v>-0.74</v>
      </c>
      <c r="D1068" s="2">
        <v>-3.18</v>
      </c>
      <c r="E1068" s="77"/>
    </row>
    <row r="1069" spans="2:5" ht="13.5" customHeight="1" x14ac:dyDescent="0.3">
      <c r="B1069" s="83">
        <v>46146</v>
      </c>
      <c r="C1069" s="2">
        <v>0.51</v>
      </c>
      <c r="D1069" s="2">
        <v>0.94</v>
      </c>
      <c r="E1069" s="77"/>
    </row>
    <row r="1070" spans="2:5" ht="13.5" customHeight="1" x14ac:dyDescent="0.3">
      <c r="B1070" s="83">
        <v>46147</v>
      </c>
      <c r="C1070" s="2">
        <v>-0.36</v>
      </c>
      <c r="D1070" s="2">
        <v>3.34</v>
      </c>
      <c r="E1070" s="77"/>
    </row>
    <row r="1071" spans="2:5" ht="13.5" customHeight="1" x14ac:dyDescent="0.3">
      <c r="B1071" s="83">
        <v>46148</v>
      </c>
      <c r="C1071" s="2">
        <v>1.24</v>
      </c>
      <c r="D1071" s="2">
        <v>1.24</v>
      </c>
      <c r="E1071" s="77"/>
    </row>
    <row r="1072" spans="2:5" ht="13.5" customHeight="1" x14ac:dyDescent="0.3">
      <c r="B1072" s="83">
        <v>46149</v>
      </c>
      <c r="C1072" s="2">
        <v>-0.02</v>
      </c>
      <c r="D1072" s="2">
        <v>0.8</v>
      </c>
      <c r="E1072" s="77"/>
    </row>
    <row r="1073" spans="2:8" ht="13.5" customHeight="1" x14ac:dyDescent="0.3">
      <c r="B1073" s="83">
        <v>46150</v>
      </c>
      <c r="C1073" s="2">
        <v>-0.62</v>
      </c>
      <c r="D1073" s="2">
        <v>3.77</v>
      </c>
      <c r="E1073" s="77"/>
    </row>
    <row r="1074" spans="2:8" ht="13.5" customHeight="1" x14ac:dyDescent="0.3">
      <c r="B1074" s="83">
        <v>46153</v>
      </c>
      <c r="C1074" s="2">
        <v>-1.49</v>
      </c>
      <c r="D1074" s="2">
        <v>-2.92</v>
      </c>
      <c r="E1074" s="77"/>
    </row>
    <row r="1075" spans="2:8" ht="13.5" customHeight="1" x14ac:dyDescent="0.3">
      <c r="B1075" s="83">
        <v>46154</v>
      </c>
      <c r="C1075" s="2">
        <v>-1.83</v>
      </c>
      <c r="D1075" s="2">
        <v>-0.04</v>
      </c>
      <c r="E1075" s="77"/>
    </row>
    <row r="1076" spans="2:8" ht="13.5" customHeight="1" x14ac:dyDescent="0.3">
      <c r="B1076" s="83">
        <v>46155</v>
      </c>
      <c r="C1076" s="2">
        <v>0.14000000000000001</v>
      </c>
      <c r="D1076" s="2">
        <v>-2.14</v>
      </c>
      <c r="E1076" s="77"/>
    </row>
    <row r="1077" spans="2:8" ht="13.5" customHeight="1" x14ac:dyDescent="0.3">
      <c r="B1077" s="83">
        <v>46156</v>
      </c>
      <c r="C1077" s="2">
        <v>1.18</v>
      </c>
      <c r="D1077" s="2">
        <v>0.36</v>
      </c>
      <c r="E1077" s="77"/>
    </row>
    <row r="1078" spans="2:8" ht="13.5" customHeight="1" x14ac:dyDescent="0.3">
      <c r="B1078" s="83">
        <v>46157</v>
      </c>
      <c r="C1078" s="2">
        <v>-0.19</v>
      </c>
      <c r="D1078" s="2">
        <v>0.63</v>
      </c>
      <c r="E1078" s="77"/>
    </row>
    <row r="1079" spans="2:8" ht="13.5" customHeight="1" x14ac:dyDescent="0.3">
      <c r="B1079" s="83">
        <v>46160</v>
      </c>
      <c r="C1079" s="2">
        <v>0.03</v>
      </c>
      <c r="D1079" s="2">
        <v>-2.4300000000000002</v>
      </c>
      <c r="E1079" s="77"/>
    </row>
    <row r="1080" spans="2:8" ht="13.5" customHeight="1" x14ac:dyDescent="0.3">
      <c r="B1080" s="83">
        <v>46161</v>
      </c>
      <c r="C1080" s="2">
        <v>-0.14000000000000001</v>
      </c>
      <c r="D1080" s="2">
        <v>-0.78</v>
      </c>
      <c r="E1080" s="77"/>
    </row>
    <row r="1081" spans="2:8" ht="13.5" customHeight="1" x14ac:dyDescent="0.3">
      <c r="B1081" s="83">
        <v>46162</v>
      </c>
      <c r="C1081" s="2">
        <v>0.17</v>
      </c>
      <c r="D1081" s="2">
        <v>-0.42</v>
      </c>
      <c r="E1081" s="77"/>
    </row>
    <row r="1082" spans="2:8" ht="13.5" customHeight="1" x14ac:dyDescent="0.3">
      <c r="B1082" s="83">
        <v>46163</v>
      </c>
      <c r="C1082" s="2">
        <v>-0.02</v>
      </c>
      <c r="D1082" s="2">
        <v>-0.9</v>
      </c>
      <c r="E1082" s="77"/>
    </row>
    <row r="1083" spans="2:8" ht="13.5" customHeight="1" x14ac:dyDescent="0.3">
      <c r="B1083" s="83">
        <v>46164</v>
      </c>
      <c r="C1083" s="2">
        <v>0.27</v>
      </c>
      <c r="D1083" s="2">
        <v>0.94</v>
      </c>
    </row>
    <row r="1084" spans="2:8" ht="13.5" customHeight="1" x14ac:dyDescent="0.3"/>
    <row r="1087" spans="2:8" ht="13.5" customHeight="1" x14ac:dyDescent="0.3">
      <c r="H1087" s="88">
        <v>46037</v>
      </c>
    </row>
  </sheetData>
  <mergeCells count="3">
    <mergeCell ref="B1:D1"/>
    <mergeCell ref="E2:F2"/>
    <mergeCell ref="F11:G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G29"/>
  <sheetViews>
    <sheetView showGridLines="0" zoomScale="92" zoomScaleNormal="92" workbookViewId="0">
      <selection activeCell="D9" sqref="D9"/>
    </sheetView>
  </sheetViews>
  <sheetFormatPr defaultColWidth="8.6328125" defaultRowHeight="14.5" x14ac:dyDescent="0.35"/>
  <cols>
    <col min="1" max="1" width="2.54296875" customWidth="1"/>
    <col min="2" max="2" width="5.453125" customWidth="1"/>
    <col min="3" max="3" width="17.81640625" customWidth="1"/>
    <col min="5" max="5" width="18.7265625" customWidth="1"/>
    <col min="6" max="6" width="7.90625" customWidth="1"/>
    <col min="7" max="7" width="13" customWidth="1"/>
  </cols>
  <sheetData>
    <row r="1" spans="2:7" ht="14.25" customHeight="1" x14ac:dyDescent="0.35">
      <c r="B1" s="474" t="s">
        <v>493</v>
      </c>
      <c r="C1" s="474"/>
      <c r="D1" s="2"/>
      <c r="E1" s="2"/>
      <c r="F1" s="2"/>
      <c r="G1" s="2"/>
    </row>
    <row r="2" spans="2:7" ht="14.25" customHeight="1" x14ac:dyDescent="0.35">
      <c r="B2" s="474"/>
      <c r="C2" s="474"/>
      <c r="D2" s="2"/>
      <c r="E2" s="2"/>
      <c r="F2" s="2"/>
      <c r="G2" s="2"/>
    </row>
    <row r="3" spans="2:7" ht="14.25" customHeight="1" x14ac:dyDescent="0.35">
      <c r="B3" s="89" t="s">
        <v>404</v>
      </c>
      <c r="C3" s="89" t="s">
        <v>494</v>
      </c>
      <c r="D3" s="2"/>
      <c r="E3" s="2"/>
      <c r="F3" s="2"/>
      <c r="G3" s="2"/>
    </row>
    <row r="4" spans="2:7" ht="14.25" customHeight="1" x14ac:dyDescent="0.35">
      <c r="B4" s="90">
        <v>2000</v>
      </c>
      <c r="C4" s="91">
        <v>-0.14649999999999999</v>
      </c>
      <c r="D4" s="2"/>
      <c r="E4" s="92" t="s">
        <v>495</v>
      </c>
      <c r="F4" s="93">
        <f>AVERAGE(C4:C29)</f>
        <v>0.15121153846153848</v>
      </c>
      <c r="G4" s="94" t="s">
        <v>496</v>
      </c>
    </row>
    <row r="5" spans="2:7" ht="14.25" customHeight="1" x14ac:dyDescent="0.35">
      <c r="B5" s="90">
        <v>2001</v>
      </c>
      <c r="C5" s="91">
        <v>-0.1618</v>
      </c>
      <c r="D5" s="2"/>
      <c r="E5" s="95" t="s">
        <v>497</v>
      </c>
      <c r="F5" s="96">
        <v>1.2999999999999999E-2</v>
      </c>
      <c r="G5" s="94" t="s">
        <v>498</v>
      </c>
    </row>
    <row r="6" spans="2:7" ht="14.25" customHeight="1" x14ac:dyDescent="0.35">
      <c r="B6" s="90">
        <v>2002</v>
      </c>
      <c r="C6" s="91">
        <v>3.2500000000000001E-2</v>
      </c>
      <c r="D6" s="2"/>
      <c r="E6" s="97" t="s">
        <v>499</v>
      </c>
      <c r="F6" s="98">
        <f>SUM(F4:F5)</f>
        <v>0.16421153846153849</v>
      </c>
      <c r="G6" s="2"/>
    </row>
    <row r="7" spans="2:7" ht="14.25" customHeight="1" x14ac:dyDescent="0.35">
      <c r="B7" s="99">
        <v>2003</v>
      </c>
      <c r="C7" s="100">
        <v>0.71899999999999997</v>
      </c>
      <c r="D7" s="2"/>
      <c r="E7" s="101"/>
      <c r="F7" s="2"/>
      <c r="G7" s="2"/>
    </row>
    <row r="8" spans="2:7" ht="14.25" customHeight="1" x14ac:dyDescent="0.35">
      <c r="B8" s="99">
        <v>2004</v>
      </c>
      <c r="C8" s="100">
        <v>0.10680000000000001</v>
      </c>
      <c r="D8" s="2"/>
      <c r="E8" s="2"/>
      <c r="F8" s="2"/>
      <c r="G8" s="2"/>
    </row>
    <row r="9" spans="2:7" ht="14.25" customHeight="1" x14ac:dyDescent="0.35">
      <c r="B9" s="99">
        <v>2005</v>
      </c>
      <c r="C9" s="100">
        <v>0.3634</v>
      </c>
      <c r="D9" s="2"/>
      <c r="E9" s="2"/>
      <c r="F9" s="2"/>
      <c r="G9" s="2"/>
    </row>
    <row r="10" spans="2:7" ht="14.25" customHeight="1" x14ac:dyDescent="0.35">
      <c r="B10" s="99">
        <v>2006</v>
      </c>
      <c r="C10" s="100">
        <v>0.39829999999999999</v>
      </c>
      <c r="D10" s="2"/>
      <c r="E10" s="2"/>
      <c r="F10" s="2"/>
      <c r="G10" s="2"/>
    </row>
    <row r="11" spans="2:7" ht="14.25" customHeight="1" x14ac:dyDescent="0.35">
      <c r="B11" s="102">
        <v>2007</v>
      </c>
      <c r="C11" s="103">
        <v>0.54769999999999996</v>
      </c>
      <c r="D11" s="2"/>
      <c r="E11" s="2"/>
      <c r="F11" s="2"/>
      <c r="G11" s="2"/>
    </row>
    <row r="12" spans="2:7" ht="14.25" customHeight="1" x14ac:dyDescent="0.35">
      <c r="B12" s="104">
        <v>2008</v>
      </c>
      <c r="C12" s="105">
        <v>-0.51790000000000003</v>
      </c>
      <c r="D12" s="2"/>
      <c r="E12" s="2"/>
      <c r="F12" s="2"/>
      <c r="G12" s="2"/>
    </row>
    <row r="13" spans="2:7" ht="14.25" customHeight="1" x14ac:dyDescent="0.35">
      <c r="B13" s="106">
        <v>2009</v>
      </c>
      <c r="C13" s="107">
        <v>0.75760000000000005</v>
      </c>
      <c r="D13" s="2"/>
      <c r="E13" s="2"/>
      <c r="F13" s="2"/>
      <c r="G13" s="2"/>
    </row>
    <row r="14" spans="2:7" ht="14.25" customHeight="1" x14ac:dyDescent="0.35">
      <c r="B14" s="90">
        <v>2010</v>
      </c>
      <c r="C14" s="91">
        <v>0.17949999999999999</v>
      </c>
      <c r="D14" s="2"/>
      <c r="E14" s="2"/>
      <c r="F14" s="2"/>
      <c r="G14" s="2"/>
    </row>
    <row r="15" spans="2:7" ht="14.25" customHeight="1" x14ac:dyDescent="0.35">
      <c r="B15" s="90">
        <v>2011</v>
      </c>
      <c r="C15" s="91">
        <v>-0.2462</v>
      </c>
      <c r="D15" s="2"/>
      <c r="E15" s="2"/>
      <c r="F15" s="2"/>
      <c r="G15" s="2"/>
    </row>
    <row r="16" spans="2:7" ht="14.25" customHeight="1" x14ac:dyDescent="0.35">
      <c r="B16" s="99">
        <v>2012</v>
      </c>
      <c r="C16" s="100">
        <v>0.27700000000000002</v>
      </c>
      <c r="D16" s="2"/>
      <c r="E16" s="2"/>
      <c r="F16" s="2"/>
      <c r="G16" s="2"/>
    </row>
    <row r="17" spans="2:7" ht="14.25" customHeight="1" x14ac:dyDescent="0.35">
      <c r="B17" s="99">
        <v>2013</v>
      </c>
      <c r="C17" s="100">
        <v>6.7599999999999993E-2</v>
      </c>
      <c r="D17" s="2"/>
      <c r="E17" s="2"/>
      <c r="F17" s="2"/>
      <c r="G17" s="2"/>
    </row>
    <row r="18" spans="2:7" ht="14.25" customHeight="1" x14ac:dyDescent="0.35">
      <c r="B18" s="99">
        <v>2014</v>
      </c>
      <c r="C18" s="100">
        <v>0.31390000000000001</v>
      </c>
      <c r="D18" s="2"/>
      <c r="E18" s="2"/>
      <c r="F18" s="2"/>
      <c r="G18" s="2"/>
    </row>
    <row r="19" spans="2:7" ht="14.25" customHeight="1" x14ac:dyDescent="0.35">
      <c r="B19" s="102">
        <v>2015</v>
      </c>
      <c r="C19" s="103">
        <v>-4.0599999999999997E-2</v>
      </c>
      <c r="D19" s="2"/>
      <c r="E19" s="2"/>
      <c r="F19" s="2"/>
      <c r="G19" s="2"/>
    </row>
    <row r="20" spans="2:7" ht="14.25" customHeight="1" x14ac:dyDescent="0.35">
      <c r="B20" s="106">
        <v>2016</v>
      </c>
      <c r="C20" s="107">
        <v>3.0099999999999998E-2</v>
      </c>
      <c r="D20" s="2"/>
      <c r="E20" s="2"/>
      <c r="F20" s="2"/>
      <c r="G20" s="2"/>
    </row>
    <row r="21" spans="2:7" ht="14.25" customHeight="1" x14ac:dyDescent="0.35">
      <c r="B21" s="90">
        <v>2017</v>
      </c>
      <c r="C21" s="91">
        <v>0.28649999999999998</v>
      </c>
      <c r="D21" s="2"/>
      <c r="E21" s="2"/>
      <c r="F21" s="2"/>
      <c r="G21" s="2"/>
    </row>
    <row r="22" spans="2:7" ht="14.25" customHeight="1" x14ac:dyDescent="0.35">
      <c r="B22" s="108">
        <v>2018</v>
      </c>
      <c r="C22" s="109">
        <v>3.15E-2</v>
      </c>
      <c r="D22" s="2"/>
      <c r="E22" s="2"/>
      <c r="F22" s="2"/>
      <c r="G22" s="2"/>
    </row>
    <row r="23" spans="2:7" ht="14.25" customHeight="1" x14ac:dyDescent="0.35">
      <c r="B23" s="90">
        <v>2019</v>
      </c>
      <c r="C23" s="91">
        <v>0.1202</v>
      </c>
      <c r="D23" s="2"/>
      <c r="E23" s="2"/>
      <c r="F23" s="2"/>
      <c r="G23" s="2"/>
    </row>
    <row r="24" spans="2:7" ht="14.25" customHeight="1" x14ac:dyDescent="0.35">
      <c r="B24" s="90">
        <v>2020</v>
      </c>
      <c r="C24" s="91">
        <v>0.14169999999999999</v>
      </c>
      <c r="D24" s="2"/>
      <c r="E24" s="2"/>
      <c r="F24" s="2"/>
      <c r="G24" s="2"/>
    </row>
    <row r="25" spans="2:7" ht="14.25" customHeight="1" x14ac:dyDescent="0.35">
      <c r="B25" s="99">
        <v>2021</v>
      </c>
      <c r="C25" s="100">
        <v>0.2412</v>
      </c>
      <c r="D25" s="2"/>
      <c r="E25" s="2"/>
      <c r="F25" s="2"/>
      <c r="G25" s="2"/>
    </row>
    <row r="26" spans="2:7" ht="14.25" customHeight="1" x14ac:dyDescent="0.35">
      <c r="B26" s="99">
        <v>2022</v>
      </c>
      <c r="C26" s="100">
        <v>4.3200000000000002E-2</v>
      </c>
      <c r="D26" s="2"/>
      <c r="E26" s="2"/>
      <c r="F26" s="2"/>
      <c r="G26" s="2"/>
    </row>
    <row r="27" spans="2:7" ht="14.25" customHeight="1" x14ac:dyDescent="0.35">
      <c r="B27" s="110">
        <v>2023</v>
      </c>
      <c r="C27" s="111">
        <v>0.19420000000000001</v>
      </c>
      <c r="D27" s="2"/>
      <c r="E27" s="2"/>
      <c r="F27" s="2"/>
      <c r="G27" s="2"/>
    </row>
    <row r="28" spans="2:7" ht="14.25" customHeight="1" x14ac:dyDescent="0.35">
      <c r="B28" s="110">
        <v>2024</v>
      </c>
      <c r="C28" s="111">
        <v>8.7499999999999994E-2</v>
      </c>
      <c r="D28" s="112"/>
      <c r="E28" s="113"/>
      <c r="F28" s="112"/>
      <c r="G28" s="114"/>
    </row>
    <row r="29" spans="2:7" ht="14.25" customHeight="1" x14ac:dyDescent="0.35">
      <c r="B29" s="110">
        <v>2025</v>
      </c>
      <c r="C29" s="111">
        <v>0.1051</v>
      </c>
      <c r="D29" s="114"/>
      <c r="E29" s="112"/>
      <c r="F29" s="112"/>
      <c r="G29" s="112"/>
    </row>
  </sheetData>
  <mergeCells count="1">
    <mergeCell ref="B1:C2"/>
  </mergeCells>
  <hyperlinks>
    <hyperlink ref="G4" r:id="rId1" xr:uid="{00000000-0004-0000-0E00-000000000000}"/>
    <hyperlink ref="G5" r:id="rId2" xr:uid="{00000000-0004-0000-0E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U45"/>
  <sheetViews>
    <sheetView showGridLines="0" topLeftCell="A8" zoomScale="71" zoomScaleNormal="65" workbookViewId="0">
      <selection activeCell="M3" sqref="M3"/>
    </sheetView>
  </sheetViews>
  <sheetFormatPr defaultColWidth="8.7265625" defaultRowHeight="14" x14ac:dyDescent="0.3"/>
  <cols>
    <col min="1" max="1" width="2.36328125" style="2" customWidth="1"/>
    <col min="2" max="2" width="45.08984375" style="2" customWidth="1"/>
    <col min="3" max="3" width="10.90625" style="2" customWidth="1"/>
    <col min="4" max="4" width="11" style="2" customWidth="1"/>
    <col min="5" max="5" width="11.26953125" style="2" customWidth="1"/>
    <col min="6" max="6" width="9.81640625" style="2" customWidth="1"/>
    <col min="7" max="7" width="10.1796875" style="2" customWidth="1"/>
    <col min="8" max="8" width="8.08984375" style="2" customWidth="1"/>
    <col min="9" max="9" width="6.81640625" style="2" customWidth="1"/>
    <col min="10" max="10" width="8.36328125" style="2" customWidth="1"/>
    <col min="11" max="11" width="10.36328125" style="2" customWidth="1"/>
    <col min="12" max="13" width="8.7265625" style="2"/>
    <col min="14" max="14" width="7.26953125" style="2" customWidth="1"/>
    <col min="15" max="15" width="15.54296875" style="2" customWidth="1"/>
    <col min="16" max="16" width="9" style="2" customWidth="1"/>
    <col min="17" max="17" width="10.36328125" style="2" customWidth="1"/>
    <col min="18" max="19" width="9" style="2" customWidth="1"/>
    <col min="20" max="20" width="8.90625" style="2" customWidth="1"/>
    <col min="21" max="21" width="8.81640625" style="2" customWidth="1"/>
    <col min="22" max="16384" width="8.7265625" style="2"/>
  </cols>
  <sheetData>
    <row r="1" spans="2:21" ht="25.5" customHeight="1" x14ac:dyDescent="0.3">
      <c r="B1" s="475" t="s">
        <v>500</v>
      </c>
      <c r="C1" s="475"/>
      <c r="D1" s="475"/>
      <c r="E1" s="475"/>
      <c r="F1" s="475"/>
      <c r="G1" s="475"/>
      <c r="H1" s="475"/>
      <c r="I1" s="475"/>
      <c r="J1" s="475"/>
      <c r="K1" s="475"/>
    </row>
    <row r="3" spans="2:21" ht="13.5" customHeight="1" x14ac:dyDescent="0.3">
      <c r="B3" s="115" t="s">
        <v>501</v>
      </c>
    </row>
    <row r="5" spans="2:21" ht="42" customHeight="1" x14ac:dyDescent="0.3">
      <c r="B5" s="116" t="s">
        <v>502</v>
      </c>
      <c r="C5" s="116"/>
      <c r="N5" s="477" t="s">
        <v>423</v>
      </c>
      <c r="O5" s="478" t="s">
        <v>503</v>
      </c>
      <c r="P5" s="479" t="s">
        <v>504</v>
      </c>
      <c r="Q5" s="479" t="s">
        <v>505</v>
      </c>
      <c r="R5" s="479" t="s">
        <v>506</v>
      </c>
      <c r="S5" s="479" t="s">
        <v>507</v>
      </c>
      <c r="T5" s="476" t="s">
        <v>468</v>
      </c>
    </row>
    <row r="6" spans="2:21" ht="13.5" customHeight="1" x14ac:dyDescent="0.3">
      <c r="B6" s="117"/>
      <c r="C6" s="117"/>
      <c r="D6" s="117"/>
      <c r="E6" s="117"/>
      <c r="F6" s="117"/>
      <c r="G6" s="117"/>
      <c r="H6" s="117"/>
      <c r="I6" s="117"/>
      <c r="J6" s="117"/>
      <c r="K6" s="117"/>
      <c r="N6" s="118">
        <v>1</v>
      </c>
      <c r="O6" s="119" t="s">
        <v>425</v>
      </c>
      <c r="P6" s="120">
        <v>1027.5</v>
      </c>
      <c r="Q6" s="120">
        <v>105138.38</v>
      </c>
      <c r="R6" s="120">
        <v>4415.8100000000004</v>
      </c>
      <c r="S6" s="120">
        <v>0.35</v>
      </c>
      <c r="T6" s="121">
        <v>0.62872045706163604</v>
      </c>
    </row>
    <row r="7" spans="2:21" ht="13.5" customHeight="1" x14ac:dyDescent="0.3">
      <c r="B7" s="116"/>
      <c r="C7" s="116"/>
      <c r="D7" s="122"/>
      <c r="E7" s="122"/>
      <c r="F7" s="122"/>
      <c r="G7" s="122"/>
      <c r="H7" s="122" t="s">
        <v>508</v>
      </c>
      <c r="I7" s="122" t="s">
        <v>508</v>
      </c>
      <c r="J7" s="122" t="s">
        <v>509</v>
      </c>
      <c r="K7" s="122" t="s">
        <v>510</v>
      </c>
      <c r="N7" s="123">
        <v>2</v>
      </c>
      <c r="O7" s="119" t="s">
        <v>429</v>
      </c>
      <c r="P7" s="124">
        <v>451.05</v>
      </c>
      <c r="Q7" s="124">
        <v>80002.3</v>
      </c>
      <c r="R7" s="124">
        <v>1287.32</v>
      </c>
      <c r="S7" s="124">
        <v>0.11</v>
      </c>
      <c r="T7" s="125">
        <f>J10</f>
        <v>0.60376437511633996</v>
      </c>
      <c r="U7" s="126"/>
    </row>
    <row r="8" spans="2:21" ht="15.75" customHeight="1" x14ac:dyDescent="0.3">
      <c r="B8" s="127" t="s">
        <v>511</v>
      </c>
      <c r="C8" s="127"/>
      <c r="D8" s="128" t="s">
        <v>512</v>
      </c>
      <c r="E8" s="128" t="s">
        <v>513</v>
      </c>
      <c r="F8" s="128" t="s">
        <v>514</v>
      </c>
      <c r="G8" s="128" t="s">
        <v>515</v>
      </c>
      <c r="H8" s="128" t="s">
        <v>516</v>
      </c>
      <c r="I8" s="128" t="s">
        <v>517</v>
      </c>
      <c r="J8" s="128" t="s">
        <v>518</v>
      </c>
      <c r="K8" s="128" t="s">
        <v>519</v>
      </c>
      <c r="N8" s="118">
        <v>3</v>
      </c>
      <c r="O8" s="119" t="s">
        <v>520</v>
      </c>
      <c r="P8" s="120">
        <v>2156.9</v>
      </c>
      <c r="Q8" s="120">
        <v>58664.58</v>
      </c>
      <c r="R8" s="120">
        <v>47.41</v>
      </c>
      <c r="S8" s="120">
        <v>0.03</v>
      </c>
      <c r="T8" s="121">
        <v>1.40840055333763E-2</v>
      </c>
    </row>
    <row r="9" spans="2:21" ht="13.5" customHeight="1" x14ac:dyDescent="0.3">
      <c r="N9" s="123">
        <v>4</v>
      </c>
      <c r="O9" s="119" t="s">
        <v>521</v>
      </c>
      <c r="P9" s="124">
        <v>9585</v>
      </c>
      <c r="Q9" s="124">
        <v>31113.62</v>
      </c>
      <c r="R9" s="124">
        <v>2.06</v>
      </c>
      <c r="S9" s="124">
        <v>0</v>
      </c>
      <c r="T9" s="129">
        <v>0.85099999999999998</v>
      </c>
    </row>
    <row r="10" spans="2:21" ht="13.5" customHeight="1" x14ac:dyDescent="0.3">
      <c r="B10" s="130" t="s">
        <v>429</v>
      </c>
      <c r="C10" s="130"/>
      <c r="D10" s="131" t="s">
        <v>522</v>
      </c>
      <c r="E10" s="131">
        <f>Q7</f>
        <v>80002.3</v>
      </c>
      <c r="F10" s="131">
        <f>R7</f>
        <v>1287.32</v>
      </c>
      <c r="G10" s="132">
        <v>0.25</v>
      </c>
      <c r="H10" s="133">
        <f>S7</f>
        <v>0.11</v>
      </c>
      <c r="I10" s="133">
        <f>F10/(F10+E10)</f>
        <v>1.5836216235233968E-2</v>
      </c>
      <c r="J10" s="134">
        <f>'Beta Calculation'!G6</f>
        <v>0.60376437511633996</v>
      </c>
      <c r="K10" s="135">
        <f>J10/(1+(1-G10)*H10)</f>
        <v>0.55775000010747344</v>
      </c>
      <c r="N10" s="118">
        <v>5</v>
      </c>
      <c r="O10" s="119" t="s">
        <v>428</v>
      </c>
      <c r="P10" s="120">
        <v>7783.5</v>
      </c>
      <c r="Q10" s="120">
        <v>25366.43</v>
      </c>
      <c r="R10" s="120">
        <v>0.05</v>
      </c>
      <c r="S10" s="120">
        <v>0</v>
      </c>
      <c r="T10" s="121">
        <v>0.42959689263259598</v>
      </c>
    </row>
    <row r="11" spans="2:21" ht="13.5" customHeight="1" x14ac:dyDescent="0.3">
      <c r="B11" s="130" t="s">
        <v>425</v>
      </c>
      <c r="C11" s="130"/>
      <c r="D11" s="131" t="s">
        <v>522</v>
      </c>
      <c r="E11" s="131">
        <f>Q6</f>
        <v>105138.38</v>
      </c>
      <c r="F11" s="131">
        <f>R6</f>
        <v>4415.8100000000004</v>
      </c>
      <c r="G11" s="132">
        <v>0.25</v>
      </c>
      <c r="H11" s="136">
        <f>S6</f>
        <v>0.35</v>
      </c>
      <c r="I11" s="133">
        <f>F11/(F11+E11)</f>
        <v>4.0307084557879534E-2</v>
      </c>
      <c r="J11" s="134">
        <f>T6</f>
        <v>0.62872045706163604</v>
      </c>
      <c r="K11" s="135">
        <f>J11/(1+(1-G11)*H11)</f>
        <v>0.49799640163297904</v>
      </c>
    </row>
    <row r="12" spans="2:21" ht="13.5" customHeight="1" x14ac:dyDescent="0.3">
      <c r="B12" s="130" t="s">
        <v>520</v>
      </c>
      <c r="C12" s="130"/>
      <c r="D12" s="131" t="s">
        <v>522</v>
      </c>
      <c r="E12" s="131">
        <f t="shared" ref="E12:F14" si="0">Q8</f>
        <v>58664.58</v>
      </c>
      <c r="F12" s="131">
        <f t="shared" si="0"/>
        <v>47.41</v>
      </c>
      <c r="G12" s="132">
        <v>0.25</v>
      </c>
      <c r="H12" s="133">
        <f>S8</f>
        <v>0.03</v>
      </c>
      <c r="I12" s="133">
        <f>F12/(F12+E12)</f>
        <v>8.0750115947355889E-4</v>
      </c>
      <c r="J12" s="134">
        <f>T8</f>
        <v>1.40840055333763E-2</v>
      </c>
      <c r="K12" s="135">
        <f>J12/(1+(1-G12)*H12)</f>
        <v>1.3774088541199317E-2</v>
      </c>
    </row>
    <row r="13" spans="2:21" ht="13.5" customHeight="1" x14ac:dyDescent="0.3">
      <c r="B13" s="130" t="s">
        <v>521</v>
      </c>
      <c r="C13" s="130"/>
      <c r="D13" s="131" t="s">
        <v>522</v>
      </c>
      <c r="E13" s="131">
        <f t="shared" si="0"/>
        <v>31113.62</v>
      </c>
      <c r="F13" s="131">
        <f t="shared" si="0"/>
        <v>2.06</v>
      </c>
      <c r="G13" s="132">
        <v>0.25</v>
      </c>
      <c r="H13" s="133">
        <f>S9</f>
        <v>0</v>
      </c>
      <c r="I13" s="133">
        <f>F13/(F13+E13)</f>
        <v>6.6204563101304549E-5</v>
      </c>
      <c r="J13" s="134">
        <f>T9</f>
        <v>0.85099999999999998</v>
      </c>
      <c r="K13" s="135">
        <f>J13/(1+(1-G13)*H13)</f>
        <v>0.85099999999999998</v>
      </c>
    </row>
    <row r="14" spans="2:21" ht="13.5" customHeight="1" x14ac:dyDescent="0.3">
      <c r="B14" s="130" t="s">
        <v>428</v>
      </c>
      <c r="C14" s="130"/>
      <c r="D14" s="131" t="s">
        <v>522</v>
      </c>
      <c r="E14" s="131">
        <f t="shared" si="0"/>
        <v>25366.43</v>
      </c>
      <c r="F14" s="131">
        <f t="shared" si="0"/>
        <v>0.05</v>
      </c>
      <c r="G14" s="132">
        <v>0.25</v>
      </c>
      <c r="H14" s="133">
        <f>S10</f>
        <v>0</v>
      </c>
      <c r="I14" s="133">
        <f>F14/(F14+E14)</f>
        <v>1.9711051750183708E-6</v>
      </c>
      <c r="J14" s="134">
        <f>T10</f>
        <v>0.42959689263259598</v>
      </c>
      <c r="K14" s="135">
        <f>J14/(1+(1-G14)*H14)</f>
        <v>0.42959689263259598</v>
      </c>
    </row>
    <row r="16" spans="2:21" ht="13.5" customHeight="1" x14ac:dyDescent="0.3">
      <c r="F16" s="137" t="s">
        <v>412</v>
      </c>
      <c r="G16" s="138">
        <f>AVERAGE(G10:G14)</f>
        <v>0.25</v>
      </c>
      <c r="H16" s="138">
        <f>AVERAGE(H10:H14)</f>
        <v>9.8000000000000004E-2</v>
      </c>
      <c r="I16" s="138">
        <f>AVERAGE(I10:I14)</f>
        <v>1.1403795524172675E-2</v>
      </c>
      <c r="J16" s="139">
        <f>AVERAGE(J10:J14)</f>
        <v>0.50543314606878975</v>
      </c>
      <c r="K16" s="139">
        <f>AVERAGE(K10:K14)</f>
        <v>0.4700234765828496</v>
      </c>
    </row>
    <row r="17" spans="2:12" ht="13.5" customHeight="1" x14ac:dyDescent="0.3">
      <c r="F17" s="140" t="s">
        <v>523</v>
      </c>
      <c r="G17" s="141">
        <f>MEDIAN(G10:G14)</f>
        <v>0.25</v>
      </c>
      <c r="H17" s="141">
        <f>MEDIAN(H10:H14)</f>
        <v>0.03</v>
      </c>
      <c r="I17" s="141">
        <f>MEDIAN(I10:I14)</f>
        <v>8.0750115947355889E-4</v>
      </c>
      <c r="J17" s="142">
        <f>MEDIAN(J10:J14)</f>
        <v>0.60376437511633996</v>
      </c>
      <c r="K17" s="142">
        <f>MEDIAN(K10:K14)</f>
        <v>0.49799640163297904</v>
      </c>
    </row>
    <row r="20" spans="2:12" ht="13.5" customHeight="1" x14ac:dyDescent="0.3">
      <c r="B20" s="143" t="s">
        <v>409</v>
      </c>
      <c r="C20" s="143"/>
      <c r="D20" s="143"/>
      <c r="E20" s="143"/>
      <c r="G20" s="143" t="s">
        <v>524</v>
      </c>
      <c r="H20" s="143"/>
      <c r="I20" s="144"/>
      <c r="J20" s="144"/>
      <c r="K20" s="144"/>
    </row>
    <row r="22" spans="2:12" ht="13.5" customHeight="1" x14ac:dyDescent="0.3">
      <c r="B22" s="2" t="s">
        <v>525</v>
      </c>
      <c r="E22" s="136">
        <f>'Profit &amp; Loss'!K9/'Balance Sheet'!K6</f>
        <v>0.11294782959947799</v>
      </c>
      <c r="G22" s="2" t="s">
        <v>526</v>
      </c>
      <c r="J22" s="136"/>
      <c r="K22" s="145">
        <v>7.0900000000000005E-2</v>
      </c>
    </row>
    <row r="23" spans="2:12" ht="13.5" customHeight="1" x14ac:dyDescent="0.3">
      <c r="B23" s="2" t="s">
        <v>527</v>
      </c>
      <c r="E23" s="136">
        <f>G17</f>
        <v>0.25</v>
      </c>
      <c r="G23" s="2" t="s">
        <v>528</v>
      </c>
      <c r="J23" s="136"/>
      <c r="K23" s="145">
        <v>7.0000000000000007E-2</v>
      </c>
    </row>
    <row r="24" spans="2:12" ht="16.5" customHeight="1" x14ac:dyDescent="0.3">
      <c r="B24" s="146" t="s">
        <v>529</v>
      </c>
      <c r="C24" s="146"/>
      <c r="D24" s="146"/>
      <c r="E24" s="147">
        <f>E22*(1-E23)</f>
        <v>8.4710872199608489E-2</v>
      </c>
      <c r="G24" s="2" t="s">
        <v>530</v>
      </c>
      <c r="K24" s="148">
        <f>K33</f>
        <v>0.50230482081637606</v>
      </c>
    </row>
    <row r="25" spans="2:12" ht="15" customHeight="1" x14ac:dyDescent="0.3">
      <c r="G25" s="149" t="s">
        <v>524</v>
      </c>
      <c r="H25" s="149"/>
      <c r="I25" s="149"/>
      <c r="J25" s="147"/>
      <c r="K25" s="147">
        <f>K22+(K23*K24)</f>
        <v>0.10606133745714633</v>
      </c>
    </row>
    <row r="26" spans="2:12" ht="14.25" customHeight="1" x14ac:dyDescent="0.3"/>
    <row r="28" spans="2:12" ht="13.5" customHeight="1" x14ac:dyDescent="0.3">
      <c r="B28" s="143" t="s">
        <v>531</v>
      </c>
      <c r="C28" s="144"/>
      <c r="D28" s="144"/>
      <c r="E28" s="144"/>
      <c r="G28" s="143" t="s">
        <v>532</v>
      </c>
      <c r="H28" s="144"/>
      <c r="I28" s="144"/>
      <c r="J28" s="144"/>
      <c r="K28" s="144"/>
    </row>
    <row r="30" spans="2:12" ht="13.5" customHeight="1" x14ac:dyDescent="0.3">
      <c r="D30" s="150" t="s">
        <v>533</v>
      </c>
      <c r="E30" s="150" t="s">
        <v>534</v>
      </c>
      <c r="G30" s="2" t="s">
        <v>535</v>
      </c>
      <c r="K30" s="148">
        <f>K17</f>
        <v>0.49799640163297904</v>
      </c>
    </row>
    <row r="31" spans="2:12" ht="13.5" customHeight="1" x14ac:dyDescent="0.3">
      <c r="B31" s="2" t="s">
        <v>536</v>
      </c>
      <c r="C31" s="78">
        <f>F10</f>
        <v>1287.32</v>
      </c>
      <c r="D31" s="151">
        <f>C31/C33</f>
        <v>1.5836216235233968E-2</v>
      </c>
      <c r="E31" s="152">
        <f>I16</f>
        <v>1.1403795524172675E-2</v>
      </c>
      <c r="G31" s="2" t="s">
        <v>537</v>
      </c>
      <c r="J31" s="136"/>
      <c r="K31" s="136">
        <f>E35</f>
        <v>1.1535342208014228E-2</v>
      </c>
      <c r="L31" s="153"/>
    </row>
    <row r="32" spans="2:12" ht="13.5" customHeight="1" x14ac:dyDescent="0.3">
      <c r="B32" s="2" t="s">
        <v>538</v>
      </c>
      <c r="C32" s="154">
        <f>E10</f>
        <v>80002.3</v>
      </c>
      <c r="D32" s="151">
        <f>C32/C33</f>
        <v>0.98416378376476599</v>
      </c>
      <c r="E32" s="152">
        <f>E33-E31</f>
        <v>0.9885962044758273</v>
      </c>
      <c r="G32" s="2" t="s">
        <v>527</v>
      </c>
      <c r="J32" s="136"/>
      <c r="K32" s="136">
        <v>0.25</v>
      </c>
    </row>
    <row r="33" spans="2:11" ht="14.25" customHeight="1" x14ac:dyDescent="0.3">
      <c r="B33" s="2" t="s">
        <v>539</v>
      </c>
      <c r="C33" s="155">
        <f>SUM(C31:C32)</f>
        <v>81289.62000000001</v>
      </c>
      <c r="D33" s="156">
        <f>SUM(D31:D32)</f>
        <v>1</v>
      </c>
      <c r="E33" s="157">
        <f>D33</f>
        <v>1</v>
      </c>
      <c r="G33" s="149" t="s">
        <v>540</v>
      </c>
      <c r="H33" s="149"/>
      <c r="I33" s="149"/>
      <c r="J33" s="149"/>
      <c r="K33" s="158">
        <f>K30*(1+(1-K32)*K31)</f>
        <v>0.50230482081637606</v>
      </c>
    </row>
    <row r="34" spans="2:11" ht="14.25" customHeight="1" x14ac:dyDescent="0.3">
      <c r="C34" s="159"/>
      <c r="D34" s="136"/>
      <c r="E34" s="136"/>
    </row>
    <row r="35" spans="2:11" ht="14.25" customHeight="1" x14ac:dyDescent="0.3">
      <c r="B35" s="146" t="s">
        <v>541</v>
      </c>
      <c r="C35" s="146"/>
      <c r="D35" s="160">
        <f>D31/D32</f>
        <v>1.6091037382675248E-2</v>
      </c>
      <c r="E35" s="160">
        <f>E31/E32</f>
        <v>1.1535342208014228E-2</v>
      </c>
      <c r="G35" s="161"/>
      <c r="H35" s="162"/>
      <c r="I35" s="162"/>
      <c r="J35" s="162"/>
      <c r="K35" s="162"/>
    </row>
    <row r="36" spans="2:11" ht="14.25" customHeight="1" x14ac:dyDescent="0.3">
      <c r="D36" s="163"/>
      <c r="E36" s="163"/>
      <c r="G36" s="164" t="s">
        <v>542</v>
      </c>
      <c r="H36" s="165"/>
      <c r="I36" s="165"/>
      <c r="J36" s="165"/>
      <c r="K36" s="143"/>
    </row>
    <row r="37" spans="2:11" ht="13.5" customHeight="1" x14ac:dyDescent="0.3">
      <c r="G37" s="166"/>
      <c r="H37" s="166"/>
      <c r="I37" s="166"/>
      <c r="J37" s="166"/>
      <c r="K37" s="166"/>
    </row>
    <row r="38" spans="2:11" ht="13.5" customHeight="1" x14ac:dyDescent="0.3">
      <c r="B38" s="167"/>
      <c r="C38" s="166"/>
      <c r="D38" s="166"/>
      <c r="G38" s="101" t="s">
        <v>524</v>
      </c>
      <c r="H38" s="166"/>
      <c r="I38" s="166"/>
      <c r="J38" s="166"/>
      <c r="K38" s="168">
        <f>K25</f>
        <v>0.10606133745714633</v>
      </c>
    </row>
    <row r="39" spans="2:11" ht="13.5" customHeight="1" x14ac:dyDescent="0.3">
      <c r="B39" s="167"/>
      <c r="C39" s="169"/>
      <c r="D39" s="169"/>
      <c r="G39" s="101" t="s">
        <v>543</v>
      </c>
      <c r="H39" s="166"/>
      <c r="I39" s="166"/>
      <c r="J39" s="166"/>
      <c r="K39" s="168">
        <f>E32</f>
        <v>0.9885962044758273</v>
      </c>
    </row>
    <row r="40" spans="2:11" ht="13.5" customHeight="1" x14ac:dyDescent="0.3">
      <c r="B40" s="167"/>
      <c r="C40" s="169"/>
      <c r="D40" s="169"/>
      <c r="G40" s="166"/>
      <c r="H40" s="166"/>
      <c r="I40" s="166"/>
      <c r="J40" s="166"/>
      <c r="K40" s="166"/>
    </row>
    <row r="41" spans="2:11" ht="13.5" customHeight="1" x14ac:dyDescent="0.3">
      <c r="B41" s="167"/>
      <c r="C41" s="169"/>
      <c r="D41" s="169"/>
      <c r="G41" s="101" t="s">
        <v>409</v>
      </c>
      <c r="H41" s="166"/>
      <c r="I41" s="166"/>
      <c r="J41" s="166"/>
      <c r="K41" s="168">
        <f>E24</f>
        <v>8.4710872199608489E-2</v>
      </c>
    </row>
    <row r="42" spans="2:11" ht="13.5" customHeight="1" x14ac:dyDescent="0.3">
      <c r="G42" s="101" t="s">
        <v>544</v>
      </c>
      <c r="H42" s="166"/>
      <c r="I42" s="166"/>
      <c r="J42" s="166"/>
      <c r="K42" s="168">
        <f>E31</f>
        <v>1.1403795524172675E-2</v>
      </c>
    </row>
    <row r="43" spans="2:11" ht="13.5" customHeight="1" x14ac:dyDescent="0.3">
      <c r="G43" s="166"/>
      <c r="H43" s="166"/>
      <c r="I43" s="166"/>
      <c r="J43" s="166"/>
      <c r="K43" s="166"/>
    </row>
    <row r="44" spans="2:11" ht="14.25" customHeight="1" x14ac:dyDescent="0.3">
      <c r="G44" s="170" t="s">
        <v>545</v>
      </c>
      <c r="H44" s="171"/>
      <c r="I44" s="171"/>
      <c r="J44" s="171"/>
      <c r="K44" s="172">
        <f>(K38*K39)+(K41*K42)</f>
        <v>0.10581786111700342</v>
      </c>
    </row>
    <row r="45" spans="2:11" ht="14.25" customHeight="1" x14ac:dyDescent="0.3"/>
  </sheetData>
  <mergeCells count="1">
    <mergeCell ref="B1:K1"/>
  </mergeCells>
  <hyperlinks>
    <hyperlink ref="O6" r:id="rId1" xr:uid="{00000000-0004-0000-0F00-000000000000}"/>
    <hyperlink ref="O7" r:id="rId2" xr:uid="{00000000-0004-0000-0F00-000001000000}"/>
    <hyperlink ref="O8" r:id="rId3" xr:uid="{00000000-0004-0000-0F00-000002000000}"/>
    <hyperlink ref="O9" r:id="rId4" xr:uid="{00000000-0004-0000-0F00-000003000000}"/>
    <hyperlink ref="O10" r:id="rId5" xr:uid="{00000000-0004-0000-0F00-000004000000}"/>
  </hyperlinks>
  <pageMargins left="0.7" right="0.7" top="0.75" bottom="0.75" header="0.511811023622047" footer="0.511811023622047"/>
  <pageSetup paperSize="9" orientation="portrait" horizontalDpi="300" verticalDpi="300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showGridLines="0" zoomScale="83" zoomScaleNormal="83" workbookViewId="0">
      <selection activeCell="B1" sqref="B1:G1"/>
    </sheetView>
  </sheetViews>
  <sheetFormatPr defaultColWidth="8.6328125" defaultRowHeight="14.5" x14ac:dyDescent="0.35"/>
  <cols>
    <col min="1" max="1" width="2" customWidth="1"/>
    <col min="2" max="2" width="35" customWidth="1"/>
    <col min="3" max="7" width="15" customWidth="1"/>
  </cols>
  <sheetData>
    <row r="1" spans="1:8" ht="24.75" customHeight="1" x14ac:dyDescent="0.35">
      <c r="A1" s="173"/>
      <c r="B1" s="480" t="s">
        <v>546</v>
      </c>
      <c r="C1" s="480"/>
      <c r="D1" s="480"/>
      <c r="E1" s="480"/>
      <c r="F1" s="480"/>
      <c r="G1" s="480"/>
    </row>
    <row r="2" spans="1:8" ht="14.25" customHeight="1" x14ac:dyDescent="0.35">
      <c r="A2" s="173"/>
      <c r="B2" s="174" t="s">
        <v>547</v>
      </c>
      <c r="C2" s="173"/>
      <c r="D2" s="173"/>
      <c r="E2" s="173"/>
      <c r="F2" s="173"/>
      <c r="G2" s="175"/>
    </row>
    <row r="3" spans="1:8" ht="14.25" customHeight="1" x14ac:dyDescent="0.35">
      <c r="A3" s="173"/>
      <c r="B3" s="176" t="s">
        <v>441</v>
      </c>
      <c r="C3" s="177" t="s">
        <v>344</v>
      </c>
      <c r="D3" s="177" t="s">
        <v>345</v>
      </c>
      <c r="E3" s="177" t="s">
        <v>346</v>
      </c>
      <c r="F3" s="177" t="s">
        <v>347</v>
      </c>
      <c r="G3" s="177" t="s">
        <v>348</v>
      </c>
    </row>
    <row r="4" spans="1:8" ht="14.25" customHeight="1" x14ac:dyDescent="0.35">
      <c r="A4" s="173"/>
      <c r="B4" s="391" t="s">
        <v>548</v>
      </c>
      <c r="C4" s="391"/>
      <c r="D4" s="391"/>
      <c r="E4" s="391"/>
      <c r="F4" s="391"/>
      <c r="G4" s="391"/>
    </row>
    <row r="5" spans="1:8" ht="14.25" customHeight="1" x14ac:dyDescent="0.35">
      <c r="A5" s="173"/>
      <c r="B5" s="178" t="s">
        <v>549</v>
      </c>
      <c r="C5" s="179">
        <f>HistoricalFS!C23</f>
        <v>1982.0200000000004</v>
      </c>
      <c r="D5" s="179">
        <f>HistoricalFS!D23</f>
        <v>1669.9499999999994</v>
      </c>
      <c r="E5" s="179">
        <f>HistoricalFS!E23</f>
        <v>2098.4100000000003</v>
      </c>
      <c r="F5" s="179">
        <f>HistoricalFS!F23</f>
        <v>1756.5400000000009</v>
      </c>
      <c r="G5" s="179">
        <f>HistoricalFS!G23</f>
        <v>1816.55</v>
      </c>
      <c r="H5" s="180"/>
    </row>
    <row r="6" spans="1:8" ht="14.25" customHeight="1" x14ac:dyDescent="0.35">
      <c r="A6" s="173"/>
      <c r="B6" s="178" t="s">
        <v>550</v>
      </c>
      <c r="C6" s="179">
        <f>C5*25%</f>
        <v>495.50500000000011</v>
      </c>
      <c r="D6" s="179">
        <f>D5*25%</f>
        <v>417.48749999999984</v>
      </c>
      <c r="E6" s="179">
        <f>E5*25%</f>
        <v>524.60250000000008</v>
      </c>
      <c r="F6" s="179">
        <f>F5*25%</f>
        <v>439.13500000000022</v>
      </c>
      <c r="G6" s="179">
        <f>G5*25%</f>
        <v>454.13749999999999</v>
      </c>
    </row>
    <row r="7" spans="1:8" ht="14.25" customHeight="1" x14ac:dyDescent="0.35">
      <c r="A7" s="173"/>
      <c r="B7" s="178" t="s">
        <v>551</v>
      </c>
      <c r="C7" s="179">
        <f>C5-C6</f>
        <v>1486.5150000000003</v>
      </c>
      <c r="D7" s="179">
        <f>D5-D6</f>
        <v>1252.4624999999996</v>
      </c>
      <c r="E7" s="179">
        <f>E5-E6</f>
        <v>1573.8075000000003</v>
      </c>
      <c r="F7" s="179">
        <f>F5-F6</f>
        <v>1317.4050000000007</v>
      </c>
      <c r="G7" s="179">
        <f>G5-G6</f>
        <v>1362.4124999999999</v>
      </c>
    </row>
    <row r="8" spans="1:8" ht="14.25" customHeight="1" x14ac:dyDescent="0.35">
      <c r="A8" s="173"/>
      <c r="B8" s="181"/>
      <c r="C8" s="182"/>
      <c r="D8" s="182"/>
      <c r="E8" s="182"/>
      <c r="F8" s="182"/>
      <c r="G8" s="183"/>
    </row>
    <row r="9" spans="1:8" ht="15" customHeight="1" x14ac:dyDescent="0.35">
      <c r="A9" s="173"/>
      <c r="B9" s="391" t="s">
        <v>552</v>
      </c>
      <c r="C9" s="391"/>
      <c r="D9" s="391"/>
      <c r="E9" s="391"/>
      <c r="F9" s="391"/>
      <c r="G9" s="391"/>
    </row>
    <row r="10" spans="1:8" ht="15" customHeight="1" x14ac:dyDescent="0.35">
      <c r="A10" s="173"/>
      <c r="B10" s="178" t="s">
        <v>553</v>
      </c>
      <c r="C10" s="179"/>
      <c r="D10" s="179">
        <f>'Fixed Asset Schedule'!D10</f>
        <v>1270.75</v>
      </c>
      <c r="E10" s="179">
        <f>'Fixed Asset Schedule'!E10</f>
        <v>236.34999999999997</v>
      </c>
      <c r="F10" s="179">
        <f>'Fixed Asset Schedule'!F10</f>
        <v>174.69000000000005</v>
      </c>
      <c r="G10" s="179">
        <f>'Fixed Asset Schedule'!G10</f>
        <v>-50.769999999999982</v>
      </c>
    </row>
    <row r="11" spans="1:8" ht="14.25" customHeight="1" x14ac:dyDescent="0.35">
      <c r="A11" s="173"/>
      <c r="B11" s="178" t="s">
        <v>554</v>
      </c>
      <c r="C11" s="179"/>
      <c r="D11" s="179">
        <f>'Changes in Working Capital'!D9</f>
        <v>146.42999999999984</v>
      </c>
      <c r="E11" s="179">
        <f>'Changes in Working Capital'!E9</f>
        <v>-262.25999999999976</v>
      </c>
      <c r="F11" s="179">
        <f>'Changes in Working Capital'!F9</f>
        <v>-60.079999999999927</v>
      </c>
      <c r="G11" s="179">
        <f>'Changes in Working Capital'!G9</f>
        <v>-280.57000000000016</v>
      </c>
    </row>
    <row r="12" spans="1:8" ht="14.25" customHeight="1" x14ac:dyDescent="0.35">
      <c r="A12" s="173"/>
      <c r="B12" s="178" t="s">
        <v>555</v>
      </c>
      <c r="C12" s="179"/>
      <c r="D12" s="179">
        <f>D10+D11</f>
        <v>1417.1799999999998</v>
      </c>
      <c r="E12" s="179">
        <f>E10+E11</f>
        <v>-25.909999999999798</v>
      </c>
      <c r="F12" s="179">
        <f>F10+F11</f>
        <v>114.61000000000013</v>
      </c>
      <c r="G12" s="179">
        <f>G10+G11</f>
        <v>-331.34000000000015</v>
      </c>
    </row>
    <row r="13" spans="1:8" ht="14.25" customHeight="1" x14ac:dyDescent="0.35">
      <c r="A13" s="173"/>
      <c r="B13" s="181"/>
      <c r="C13" s="184"/>
      <c r="D13" s="184"/>
      <c r="E13" s="173"/>
      <c r="F13" s="173"/>
      <c r="G13" s="175"/>
    </row>
    <row r="14" spans="1:8" ht="14.25" customHeight="1" x14ac:dyDescent="0.35">
      <c r="B14" s="391" t="s">
        <v>556</v>
      </c>
      <c r="C14" s="391"/>
      <c r="D14" s="391"/>
      <c r="E14" s="391"/>
      <c r="F14" s="391"/>
      <c r="G14" s="391"/>
    </row>
    <row r="15" spans="1:8" ht="14.25" customHeight="1" x14ac:dyDescent="0.35">
      <c r="B15" s="178" t="s">
        <v>557</v>
      </c>
      <c r="C15" s="179"/>
      <c r="D15" s="179">
        <f>D7-D12</f>
        <v>-164.7175000000002</v>
      </c>
      <c r="E15" s="179">
        <f>E7-E12</f>
        <v>1599.7175000000002</v>
      </c>
      <c r="F15" s="179">
        <f>F7-F12</f>
        <v>1202.7950000000005</v>
      </c>
      <c r="G15" s="179">
        <f>G7-G12</f>
        <v>1693.7525000000001</v>
      </c>
    </row>
    <row r="16" spans="1:8" ht="14.25" customHeight="1" x14ac:dyDescent="0.35">
      <c r="B16" s="185"/>
      <c r="G16" s="38"/>
    </row>
    <row r="17" spans="2:7" ht="14.25" customHeight="1" x14ac:dyDescent="0.35">
      <c r="B17" s="391" t="s">
        <v>558</v>
      </c>
      <c r="C17" s="391"/>
      <c r="D17" s="391"/>
      <c r="E17" s="391"/>
      <c r="F17" s="391"/>
      <c r="G17" s="391"/>
    </row>
    <row r="18" spans="2:7" ht="14.25" customHeight="1" x14ac:dyDescent="0.35">
      <c r="B18" s="178" t="s">
        <v>559</v>
      </c>
      <c r="C18" s="186"/>
      <c r="D18" s="186">
        <f>D12/D7</f>
        <v>1.1315149156162363</v>
      </c>
      <c r="E18" s="186">
        <f>E12/E7</f>
        <v>-1.6463258689515581E-2</v>
      </c>
      <c r="F18" s="186">
        <f>F12/F7</f>
        <v>8.6996785346951072E-2</v>
      </c>
      <c r="G18" s="186">
        <f>G12/G7</f>
        <v>-0.2432009395098769</v>
      </c>
    </row>
    <row r="20" spans="2:7" ht="14.25" customHeight="1" x14ac:dyDescent="0.35">
      <c r="B20" s="390" t="s">
        <v>560</v>
      </c>
      <c r="C20" s="390"/>
      <c r="D20" s="390"/>
      <c r="E20" s="390"/>
      <c r="F20" s="390"/>
      <c r="G20" s="390"/>
    </row>
    <row r="21" spans="2:7" ht="14.25" customHeight="1" x14ac:dyDescent="0.35">
      <c r="B21" s="187" t="s">
        <v>561</v>
      </c>
      <c r="C21" s="188">
        <f>MEDIAN(D18:G18)</f>
        <v>3.526676332871774E-2</v>
      </c>
      <c r="D21" t="s">
        <v>663</v>
      </c>
      <c r="E21" s="265">
        <f>AVERAGE(C7:G7)</f>
        <v>1398.5205000000001</v>
      </c>
    </row>
    <row r="22" spans="2:7" ht="14.25" customHeight="1" x14ac:dyDescent="0.35">
      <c r="B22" s="189" t="s">
        <v>562</v>
      </c>
      <c r="C22" s="190">
        <f>AVERAGE(C18:G18)</f>
        <v>0.23971187569094876</v>
      </c>
      <c r="D22" t="s">
        <v>664</v>
      </c>
      <c r="E22" s="265">
        <f>AVERAGE(C12:G12)</f>
        <v>293.63499999999999</v>
      </c>
    </row>
    <row r="24" spans="2:7" ht="15" thickBot="1" x14ac:dyDescent="0.4">
      <c r="D24" s="266" t="s">
        <v>665</v>
      </c>
      <c r="E24" s="267">
        <f>E22/E21</f>
        <v>0.20996116967895714</v>
      </c>
    </row>
    <row r="25" spans="2:7" ht="15" thickTop="1" x14ac:dyDescent="0.35"/>
  </sheetData>
  <mergeCells count="6">
    <mergeCell ref="B20:G20"/>
    <mergeCell ref="B1:G1"/>
    <mergeCell ref="B4:G4"/>
    <mergeCell ref="B9:G9"/>
    <mergeCell ref="B14:G14"/>
    <mergeCell ref="B17:G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28"/>
  <sheetViews>
    <sheetView showGridLines="0" topLeftCell="B8" zoomScale="88" zoomScaleNormal="79" workbookViewId="0">
      <selection activeCell="I16" sqref="I16"/>
    </sheetView>
  </sheetViews>
  <sheetFormatPr defaultColWidth="8.6328125" defaultRowHeight="14.5" x14ac:dyDescent="0.35"/>
  <cols>
    <col min="1" max="1" width="4" customWidth="1"/>
    <col min="2" max="2" width="38" customWidth="1"/>
    <col min="3" max="9" width="14" customWidth="1"/>
    <col min="10" max="10" width="10.36328125" customWidth="1"/>
    <col min="11" max="11" width="18" customWidth="1"/>
  </cols>
  <sheetData>
    <row r="1" spans="2:10" ht="27.75" customHeight="1" x14ac:dyDescent="0.35">
      <c r="B1" s="481" t="str">
        <f>"Assumptions: "&amp;'Data Sheet'!B1</f>
        <v>Assumptions: DABUR INDIA LTD</v>
      </c>
      <c r="C1" s="481"/>
      <c r="D1" s="481"/>
      <c r="E1" s="481"/>
      <c r="F1" s="481"/>
      <c r="G1" s="481"/>
    </row>
    <row r="2" spans="2:10" ht="14.25" customHeight="1" x14ac:dyDescent="0.35">
      <c r="B2" s="392"/>
      <c r="C2" s="392"/>
      <c r="D2" s="392"/>
      <c r="E2" s="392"/>
      <c r="F2" s="392"/>
      <c r="G2" s="392"/>
      <c r="H2" s="392"/>
    </row>
    <row r="3" spans="2:10" ht="14.25" customHeight="1" x14ac:dyDescent="0.35">
      <c r="B3" s="1" t="s">
        <v>354</v>
      </c>
      <c r="C3" s="191" t="s">
        <v>344</v>
      </c>
      <c r="D3" s="191" t="s">
        <v>345</v>
      </c>
      <c r="E3" s="191" t="s">
        <v>346</v>
      </c>
      <c r="F3" s="191" t="s">
        <v>347</v>
      </c>
      <c r="G3" s="191" t="s">
        <v>348</v>
      </c>
      <c r="I3" s="393" t="s">
        <v>563</v>
      </c>
      <c r="J3" s="393"/>
    </row>
    <row r="4" spans="2:10" ht="14.25" customHeight="1" x14ac:dyDescent="0.35">
      <c r="B4" s="192" t="s">
        <v>564</v>
      </c>
      <c r="C4" s="36">
        <f>HistoricalFS!C18</f>
        <v>0.20525077419852547</v>
      </c>
      <c r="D4" s="36">
        <f>HistoricalFS!D18</f>
        <v>0.17180649598565118</v>
      </c>
      <c r="E4" s="36">
        <f>HistoricalFS!E18</f>
        <v>0.20135585185758478</v>
      </c>
      <c r="F4" s="36">
        <f>HistoricalFS!F18</f>
        <v>0.17528649400744567</v>
      </c>
      <c r="G4" s="36">
        <f>HistoricalFS!G18</f>
        <v>0.17323993732835982</v>
      </c>
      <c r="H4" s="193"/>
      <c r="I4" s="394">
        <f>MEDIAN(HistoricalFS!D6:G6)</f>
        <v>5.44966349096494E-2</v>
      </c>
      <c r="J4" s="394"/>
    </row>
    <row r="5" spans="2:10" ht="14.25" customHeight="1" x14ac:dyDescent="0.35">
      <c r="B5" s="192" t="s">
        <v>549</v>
      </c>
      <c r="C5" s="36">
        <f>HistoricalFS!C24</f>
        <v>0.18202573682025741</v>
      </c>
      <c r="D5" s="36">
        <f>HistoricalFS!D24</f>
        <v>0.14483659427800261</v>
      </c>
      <c r="E5" s="36">
        <f>HistoricalFS!E24</f>
        <v>0.16917190489204703</v>
      </c>
      <c r="F5" s="36">
        <f>HistoricalFS!F24</f>
        <v>0.13981751304814347</v>
      </c>
      <c r="G5" s="36">
        <f>HistoricalFS!G24</f>
        <v>0.13769492979760578</v>
      </c>
    </row>
    <row r="6" spans="2:10" ht="14.25" customHeight="1" x14ac:dyDescent="0.35">
      <c r="B6" s="192" t="s">
        <v>565</v>
      </c>
      <c r="C6" s="36">
        <f>HistoricalFS!C32</f>
        <v>0.20678172193507388</v>
      </c>
      <c r="D6" s="36">
        <f>HistoricalFS!D32</f>
        <v>0.1766799162871458</v>
      </c>
      <c r="E6" s="36">
        <f>HistoricalFS!E32</f>
        <v>0.1980520815445973</v>
      </c>
      <c r="F6" s="36">
        <f>HistoricalFS!F32</f>
        <v>0.17063397619534693</v>
      </c>
      <c r="G6" s="36">
        <f>HistoricalFS!G32</f>
        <v>0.17099549215960194</v>
      </c>
    </row>
    <row r="7" spans="2:10" ht="14.25" customHeight="1" x14ac:dyDescent="0.35">
      <c r="B7" s="192" t="s">
        <v>566</v>
      </c>
      <c r="C7" s="36">
        <f>HistoricalFS!C38</f>
        <v>0.15843977415076943</v>
      </c>
      <c r="D7" s="36">
        <f>HistoricalFS!D38</f>
        <v>0.13180958361267969</v>
      </c>
      <c r="E7" s="36">
        <f>HistoricalFS!E38</f>
        <v>0.15391877304194373</v>
      </c>
      <c r="F7" s="36">
        <f>HistoricalFS!F38</f>
        <v>0.12944426888607827</v>
      </c>
      <c r="G7" s="36">
        <f>HistoricalFS!G38</f>
        <v>0.12917346658005224</v>
      </c>
    </row>
    <row r="9" spans="2:10" ht="14.25" customHeight="1" x14ac:dyDescent="0.35">
      <c r="B9" s="1" t="s">
        <v>567</v>
      </c>
      <c r="C9" s="191" t="s">
        <v>344</v>
      </c>
      <c r="D9" s="191" t="s">
        <v>345</v>
      </c>
      <c r="E9" s="191" t="s">
        <v>346</v>
      </c>
      <c r="F9" s="191" t="s">
        <v>347</v>
      </c>
      <c r="G9" s="191" t="s">
        <v>348</v>
      </c>
    </row>
    <row r="10" spans="2:10" ht="14.25" customHeight="1" x14ac:dyDescent="0.35">
      <c r="B10" s="194" t="s">
        <v>568</v>
      </c>
      <c r="C10" s="195">
        <f>AVERAGE(HistoricalFS!D6:G6)</f>
        <v>4.9407885144756303E-2</v>
      </c>
    </row>
    <row r="11" spans="2:10" ht="14.25" customHeight="1" x14ac:dyDescent="0.35">
      <c r="B11" s="194" t="s">
        <v>569</v>
      </c>
      <c r="C11" s="196">
        <f>(HistoricalFS!G5/HistoricalFS!C5)^(1/4)-1</f>
        <v>4.9152314631399685E-2</v>
      </c>
      <c r="D11" s="196">
        <f>_xlfn.RRI(4,HistoricalFS!C5,HistoricalFS!G5)</f>
        <v>4.9152314631399685E-2</v>
      </c>
      <c r="E11" s="197" t="s">
        <v>570</v>
      </c>
    </row>
    <row r="13" spans="2:10" ht="14.25" customHeight="1" x14ac:dyDescent="0.35">
      <c r="B13" s="1" t="s">
        <v>527</v>
      </c>
      <c r="C13" s="191" t="s">
        <v>344</v>
      </c>
      <c r="D13" s="191" t="s">
        <v>345</v>
      </c>
      <c r="E13" s="191" t="s">
        <v>346</v>
      </c>
      <c r="F13" s="191" t="s">
        <v>347</v>
      </c>
      <c r="G13" s="191" t="s">
        <v>348</v>
      </c>
    </row>
    <row r="14" spans="2:10" ht="14.25" customHeight="1" x14ac:dyDescent="0.35">
      <c r="B14" s="194" t="s">
        <v>571</v>
      </c>
      <c r="C14" s="36">
        <f>HistoricalFS!C35</f>
        <v>0.23378249940042101</v>
      </c>
      <c r="D14" s="36">
        <f>HistoricalFS!D35</f>
        <v>0.25396396838643176</v>
      </c>
      <c r="E14" s="36">
        <f>HistoricalFS!E35</f>
        <v>0.22283688289696491</v>
      </c>
      <c r="F14" s="36">
        <f>HistoricalFS!F35</f>
        <v>0.24139217890646492</v>
      </c>
      <c r="G14" s="36">
        <f>HistoricalFS!G35</f>
        <v>0.24457969652506573</v>
      </c>
      <c r="H14" s="193">
        <f>AVERAGE(C14:G14)</f>
        <v>0.23931104522306965</v>
      </c>
    </row>
    <row r="15" spans="2:10" ht="14.25" customHeight="1" x14ac:dyDescent="0.35">
      <c r="B15" s="194" t="s">
        <v>572</v>
      </c>
      <c r="C15" s="198">
        <v>0.25</v>
      </c>
    </row>
    <row r="17" spans="2:13" ht="14.25" customHeight="1" x14ac:dyDescent="0.35">
      <c r="B17" s="1" t="s">
        <v>573</v>
      </c>
      <c r="C17" s="191" t="s">
        <v>344</v>
      </c>
      <c r="D17" s="191" t="s">
        <v>345</v>
      </c>
      <c r="E17" s="191" t="s">
        <v>346</v>
      </c>
      <c r="F17" s="191" t="s">
        <v>347</v>
      </c>
      <c r="G17" s="191" t="s">
        <v>348</v>
      </c>
    </row>
    <row r="18" spans="2:13" ht="14.25" customHeight="1" x14ac:dyDescent="0.35">
      <c r="B18" s="192" t="s">
        <v>574</v>
      </c>
      <c r="C18" s="199">
        <f>HistoricalFS!C23*(1-Assumptions!$C$15)</f>
        <v>1486.5150000000003</v>
      </c>
      <c r="D18" s="199">
        <f>HistoricalFS!D23*(1-Assumptions!$C$15)</f>
        <v>1252.4624999999996</v>
      </c>
      <c r="E18" s="199">
        <f>HistoricalFS!E23*(1-Assumptions!$C$15)</f>
        <v>1573.8075000000003</v>
      </c>
      <c r="F18" s="199">
        <f>HistoricalFS!F23*(1-Assumptions!$C$15)</f>
        <v>1317.4050000000007</v>
      </c>
      <c r="G18" s="199">
        <f>HistoricalFS!G23*(1-Assumptions!$C$15)</f>
        <v>1362.4124999999999</v>
      </c>
    </row>
    <row r="19" spans="2:13" ht="14.25" customHeight="1" x14ac:dyDescent="0.35">
      <c r="B19" s="192" t="s">
        <v>575</v>
      </c>
      <c r="C19" s="199">
        <f>HistoricalFS!C51+HistoricalFS!C52</f>
        <v>8381.3000000000011</v>
      </c>
      <c r="D19" s="199">
        <f>HistoricalFS!D51+HistoricalFS!D52</f>
        <v>8973.26</v>
      </c>
      <c r="E19" s="199">
        <f>HistoricalFS!E51+HistoricalFS!E52</f>
        <v>9866.3000000000011</v>
      </c>
      <c r="F19" s="199">
        <f>HistoricalFS!F51+HistoricalFS!F52</f>
        <v>10800.689999999999</v>
      </c>
      <c r="G19" s="199">
        <f>HistoricalFS!G51+HistoricalFS!G52</f>
        <v>11419.52</v>
      </c>
    </row>
    <row r="20" spans="2:13" ht="14.25" customHeight="1" x14ac:dyDescent="0.35">
      <c r="B20" s="192" t="s">
        <v>576</v>
      </c>
      <c r="C20" s="199">
        <f>HistoricalFS!C53</f>
        <v>1030.0999999999999</v>
      </c>
      <c r="D20" s="199">
        <f>HistoricalFS!D53</f>
        <v>1173.79</v>
      </c>
      <c r="E20" s="199">
        <f>HistoricalFS!E53</f>
        <v>1365.09</v>
      </c>
      <c r="F20" s="199">
        <f>HistoricalFS!F53</f>
        <v>950.37</v>
      </c>
      <c r="G20" s="199">
        <f>HistoricalFS!G53</f>
        <v>1287.32</v>
      </c>
    </row>
    <row r="21" spans="2:13" ht="14.25" customHeight="1" x14ac:dyDescent="0.35">
      <c r="B21" s="192" t="s">
        <v>577</v>
      </c>
      <c r="C21" s="199">
        <f>HistoricalFS!C65</f>
        <v>570.14</v>
      </c>
      <c r="D21" s="199">
        <f>HistoricalFS!D65</f>
        <v>325.92</v>
      </c>
      <c r="E21" s="199">
        <f>HistoricalFS!E65</f>
        <v>666.36</v>
      </c>
      <c r="F21" s="199">
        <f>HistoricalFS!F65</f>
        <v>578.01</v>
      </c>
      <c r="G21" s="199">
        <f>HistoricalFS!G65</f>
        <v>562.07000000000005</v>
      </c>
    </row>
    <row r="22" spans="2:13" ht="14.25" customHeight="1" x14ac:dyDescent="0.35">
      <c r="B22" s="192" t="s">
        <v>578</v>
      </c>
      <c r="C22" s="199">
        <f>C19+C20</f>
        <v>9411.4000000000015</v>
      </c>
      <c r="D22" s="199">
        <f>D19+D20</f>
        <v>10147.049999999999</v>
      </c>
      <c r="E22" s="199">
        <f>E19+E20</f>
        <v>11231.390000000001</v>
      </c>
      <c r="F22" s="199">
        <f>F19+F20</f>
        <v>11751.06</v>
      </c>
      <c r="G22" s="199">
        <f>G19+G20</f>
        <v>12706.84</v>
      </c>
    </row>
    <row r="24" spans="2:13" ht="14.25" customHeight="1" x14ac:dyDescent="0.35">
      <c r="B24" s="1" t="s">
        <v>579</v>
      </c>
      <c r="C24" s="191" t="s">
        <v>344</v>
      </c>
      <c r="D24" s="191" t="s">
        <v>345</v>
      </c>
      <c r="E24" s="191" t="s">
        <v>346</v>
      </c>
      <c r="F24" s="191" t="s">
        <v>347</v>
      </c>
      <c r="G24" s="191" t="s">
        <v>348</v>
      </c>
    </row>
    <row r="25" spans="2:13" ht="14.25" customHeight="1" x14ac:dyDescent="0.35">
      <c r="B25" s="192" t="s">
        <v>580</v>
      </c>
      <c r="C25" s="36">
        <f>HistoricalFS!C23/Assumptions!C22</f>
        <v>0.21059778566419451</v>
      </c>
      <c r="D25" s="36">
        <f>HistoricalFS!D23/Assumptions!D22</f>
        <v>0.16457492571732665</v>
      </c>
      <c r="E25" s="36">
        <f>HistoricalFS!E23/Assumptions!E22</f>
        <v>0.18683439894794857</v>
      </c>
      <c r="F25" s="36">
        <f>HistoricalFS!F23/Assumptions!F22</f>
        <v>0.14947928101805291</v>
      </c>
      <c r="G25" s="36">
        <f>HistoricalFS!G23/Assumptions!G22</f>
        <v>0.14295843813253334</v>
      </c>
    </row>
    <row r="26" spans="2:13" ht="14.25" customHeight="1" x14ac:dyDescent="0.35">
      <c r="B26" s="192" t="s">
        <v>581</v>
      </c>
      <c r="C26" s="36">
        <f>C18/C22</f>
        <v>0.15794833924814589</v>
      </c>
      <c r="D26" s="36">
        <f>D18/D22</f>
        <v>0.12343119428799501</v>
      </c>
      <c r="E26" s="36">
        <f>E18/E22</f>
        <v>0.14012579921096144</v>
      </c>
      <c r="F26" s="36">
        <f>F18/F22</f>
        <v>0.11210946076353968</v>
      </c>
      <c r="G26" s="36">
        <f>G18/G22</f>
        <v>0.1072188285994</v>
      </c>
    </row>
    <row r="28" spans="2:13" ht="14.25" customHeight="1" x14ac:dyDescent="0.35">
      <c r="B28" s="200" t="s">
        <v>582</v>
      </c>
      <c r="C28" s="196">
        <f>AVERAGE(C26:G26)*FCFF!E24</f>
        <v>2.6910035373565448E-2</v>
      </c>
      <c r="D28" s="197"/>
      <c r="E28" s="392"/>
      <c r="F28" s="392"/>
      <c r="G28" s="392"/>
      <c r="H28" s="392"/>
      <c r="I28" s="392"/>
      <c r="J28" s="392"/>
      <c r="K28" s="392"/>
      <c r="L28" s="392"/>
      <c r="M28" s="392"/>
    </row>
  </sheetData>
  <mergeCells count="5">
    <mergeCell ref="B1:G1"/>
    <mergeCell ref="B2:H2"/>
    <mergeCell ref="I3:J3"/>
    <mergeCell ref="I4:J4"/>
    <mergeCell ref="E28:M28"/>
  </mergeCells>
  <pageMargins left="0.7" right="0.7" top="0.75" bottom="0.75" header="0.511811023622047" footer="0.511811023622047"/>
  <pageSetup paperSize="9" orientation="portrait" horizontalDpi="300" verticalDpi="300"/>
  <ignoredErrors>
    <ignoredError sqref="C3:G3 C9:G9 C13:G13 C17:G2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106"/>
  <sheetViews>
    <sheetView showGridLines="0" zoomScale="78" zoomScaleNormal="71" workbookViewId="0">
      <selection activeCell="I38" sqref="I38"/>
    </sheetView>
  </sheetViews>
  <sheetFormatPr defaultColWidth="8.6328125" defaultRowHeight="14.5" x14ac:dyDescent="0.35"/>
  <cols>
    <col min="1" max="1" width="4" customWidth="1"/>
    <col min="2" max="2" width="34" customWidth="1"/>
    <col min="3" max="7" width="14" customWidth="1"/>
    <col min="8" max="8" width="15.453125" customWidth="1"/>
    <col min="9" max="9" width="18" customWidth="1"/>
  </cols>
  <sheetData>
    <row r="1" spans="2:9" ht="26.25" customHeight="1" x14ac:dyDescent="0.35">
      <c r="B1" s="481" t="str">
        <f>"Historical Financial Statement - "&amp;'Data Sheet'!B1</f>
        <v>Historical Financial Statement - DABUR INDIA LTD</v>
      </c>
      <c r="C1" s="481"/>
      <c r="D1" s="481"/>
      <c r="E1" s="481"/>
      <c r="F1" s="481"/>
      <c r="G1" s="481"/>
    </row>
    <row r="3" spans="2:9" ht="14.25" customHeight="1" x14ac:dyDescent="0.35">
      <c r="B3" s="201" t="s">
        <v>343</v>
      </c>
      <c r="C3" s="202" t="s">
        <v>344</v>
      </c>
      <c r="D3" s="202" t="s">
        <v>345</v>
      </c>
      <c r="E3" s="202" t="s">
        <v>346</v>
      </c>
      <c r="F3" s="202" t="s">
        <v>347</v>
      </c>
      <c r="G3" s="202" t="s">
        <v>348</v>
      </c>
    </row>
    <row r="4" spans="2:9" ht="14.25" customHeight="1" x14ac:dyDescent="0.35">
      <c r="B4" s="482" t="s">
        <v>583</v>
      </c>
      <c r="C4" s="483"/>
      <c r="D4" s="483"/>
      <c r="E4" s="483"/>
      <c r="F4" s="483"/>
      <c r="G4" s="483"/>
    </row>
    <row r="5" spans="2:9" ht="14.25" customHeight="1" x14ac:dyDescent="0.35">
      <c r="B5" s="204" t="s">
        <v>301</v>
      </c>
      <c r="C5" s="205">
        <f>'Data Sheet'!G14</f>
        <v>10888.68</v>
      </c>
      <c r="D5" s="205">
        <f>'Data Sheet'!H14</f>
        <v>11529.89</v>
      </c>
      <c r="E5" s="205">
        <f>'Data Sheet'!I14</f>
        <v>12404.01</v>
      </c>
      <c r="F5" s="205">
        <f>'Data Sheet'!J14</f>
        <v>12563.09</v>
      </c>
      <c r="G5" s="205">
        <f>'Data Sheet'!K14</f>
        <v>13192.57</v>
      </c>
    </row>
    <row r="6" spans="2:9" ht="14.25" customHeight="1" x14ac:dyDescent="0.35">
      <c r="B6" s="204" t="s">
        <v>324</v>
      </c>
      <c r="C6" s="50"/>
      <c r="D6" s="206">
        <f>D5/C5-1</f>
        <v>5.8887762336665261E-2</v>
      </c>
      <c r="E6" s="206">
        <f>E5/D5-1</f>
        <v>7.5813385903941821E-2</v>
      </c>
      <c r="F6" s="206">
        <f>F5/E5-1</f>
        <v>1.2824884855784591E-2</v>
      </c>
      <c r="G6" s="206">
        <f>G5/F5-1</f>
        <v>5.0105507482633538E-2</v>
      </c>
      <c r="H6" s="207" t="s">
        <v>584</v>
      </c>
      <c r="I6" s="208">
        <f>AVERAGE(D6:G6)</f>
        <v>4.9407885144756303E-2</v>
      </c>
    </row>
    <row r="7" spans="2:9" ht="14.25" customHeight="1" x14ac:dyDescent="0.35">
      <c r="B7" s="51"/>
      <c r="C7" s="51"/>
      <c r="D7" s="51"/>
      <c r="E7" s="51"/>
      <c r="F7" s="51"/>
      <c r="G7" s="51"/>
    </row>
    <row r="8" spans="2:9" ht="14.25" customHeight="1" x14ac:dyDescent="0.35">
      <c r="B8" s="204" t="s">
        <v>585</v>
      </c>
      <c r="C8" s="205">
        <f>SUM('Data Sheet'!G15:G18)</f>
        <v>5930.44</v>
      </c>
      <c r="D8" s="205">
        <f>SUM('Data Sheet'!H15:H18)</f>
        <v>6783.32</v>
      </c>
      <c r="E8" s="205">
        <f>SUM('Data Sheet'!I15:I18)</f>
        <v>6675.87</v>
      </c>
      <c r="F8" s="205">
        <f>SUM('Data Sheet'!J15:J18)</f>
        <v>6983.6399999999994</v>
      </c>
      <c r="G8" s="205">
        <f>SUM('Data Sheet'!K15:K18)</f>
        <v>6988.33</v>
      </c>
    </row>
    <row r="9" spans="2:9" ht="14.25" customHeight="1" x14ac:dyDescent="0.35">
      <c r="B9" s="204" t="s">
        <v>586</v>
      </c>
      <c r="C9" s="206">
        <f>C8/C5</f>
        <v>0.54464269314554192</v>
      </c>
      <c r="D9" s="206">
        <f>D8/D5</f>
        <v>0.58832478020171919</v>
      </c>
      <c r="E9" s="206">
        <f>E8/E5</f>
        <v>0.5382025651382093</v>
      </c>
      <c r="F9" s="206">
        <f>F8/F5</f>
        <v>0.55588553453011957</v>
      </c>
      <c r="G9" s="206">
        <f>G8/G5</f>
        <v>0.52971710591643628</v>
      </c>
    </row>
    <row r="10" spans="2:9" ht="14.25" customHeight="1" x14ac:dyDescent="0.35">
      <c r="B10" s="51"/>
      <c r="C10" s="51"/>
      <c r="D10" s="51"/>
      <c r="E10" s="51"/>
      <c r="F10" s="51"/>
      <c r="G10" s="51"/>
    </row>
    <row r="11" spans="2:9" ht="14.25" customHeight="1" x14ac:dyDescent="0.35">
      <c r="B11" s="204" t="s">
        <v>587</v>
      </c>
      <c r="C11" s="205">
        <f>C5-C8</f>
        <v>4958.2400000000007</v>
      </c>
      <c r="D11" s="205">
        <f>D5-D8</f>
        <v>4746.57</v>
      </c>
      <c r="E11" s="205">
        <f>E5-E8</f>
        <v>5728.14</v>
      </c>
      <c r="F11" s="205">
        <f>F5-F8</f>
        <v>5579.4500000000007</v>
      </c>
      <c r="G11" s="205">
        <f>G5-G8</f>
        <v>6204.24</v>
      </c>
    </row>
    <row r="12" spans="2:9" ht="14.25" customHeight="1" x14ac:dyDescent="0.35">
      <c r="B12" s="204" t="s">
        <v>588</v>
      </c>
      <c r="C12" s="206">
        <f>C11/C5</f>
        <v>0.45535730685445808</v>
      </c>
      <c r="D12" s="206">
        <f>D11/D5</f>
        <v>0.41167521979828081</v>
      </c>
      <c r="E12" s="206">
        <f>E11/E5</f>
        <v>0.4617974348617907</v>
      </c>
      <c r="F12" s="206">
        <f>F11/F5</f>
        <v>0.44411446546988048</v>
      </c>
      <c r="G12" s="206">
        <f>G11/G5</f>
        <v>0.47028289408356372</v>
      </c>
    </row>
    <row r="13" spans="2:9" ht="14.25" customHeight="1" x14ac:dyDescent="0.35">
      <c r="B13" s="51"/>
      <c r="C13" s="51"/>
      <c r="D13" s="51"/>
      <c r="E13" s="51"/>
      <c r="F13" s="51"/>
      <c r="G13" s="51"/>
    </row>
    <row r="14" spans="2:9" ht="14.25" customHeight="1" x14ac:dyDescent="0.35">
      <c r="B14" s="204" t="s">
        <v>589</v>
      </c>
      <c r="C14" s="205">
        <f>SUM('Data Sheet'!G19:G21)</f>
        <v>2723.3300000000004</v>
      </c>
      <c r="D14" s="205">
        <f>SUM('Data Sheet'!H19:H21)</f>
        <v>2765.6600000000003</v>
      </c>
      <c r="E14" s="205">
        <f>SUM('Data Sheet'!I19:I21)</f>
        <v>3230.52</v>
      </c>
      <c r="F14" s="205">
        <f>SUM('Data Sheet'!J19:J21)</f>
        <v>3377.31</v>
      </c>
      <c r="G14" s="205">
        <f>SUM('Data Sheet'!K19:K21)</f>
        <v>3918.7599999999998</v>
      </c>
    </row>
    <row r="15" spans="2:9" ht="14.25" customHeight="1" x14ac:dyDescent="0.35">
      <c r="B15" s="204" t="s">
        <v>590</v>
      </c>
      <c r="C15" s="206">
        <f>C14/C5</f>
        <v>0.25010653265593263</v>
      </c>
      <c r="D15" s="206">
        <f>D14/D5</f>
        <v>0.23986872381262964</v>
      </c>
      <c r="E15" s="206">
        <f>E14/E5</f>
        <v>0.26044158300420589</v>
      </c>
      <c r="F15" s="206">
        <f>F14/F5</f>
        <v>0.26882797146243481</v>
      </c>
      <c r="G15" s="206">
        <f>G14/G5</f>
        <v>0.29704295675520387</v>
      </c>
    </row>
    <row r="16" spans="2:9" ht="14.25" customHeight="1" x14ac:dyDescent="0.35">
      <c r="B16" s="51"/>
      <c r="C16" s="51"/>
      <c r="D16" s="51"/>
      <c r="E16" s="51"/>
      <c r="F16" s="51"/>
      <c r="G16" s="51"/>
    </row>
    <row r="17" spans="2:8" ht="14.25" customHeight="1" x14ac:dyDescent="0.35">
      <c r="B17" s="204" t="s">
        <v>564</v>
      </c>
      <c r="C17" s="205">
        <f>C11-C14</f>
        <v>2234.9100000000003</v>
      </c>
      <c r="D17" s="205">
        <f>D11-D14</f>
        <v>1980.9099999999994</v>
      </c>
      <c r="E17" s="205">
        <f>E11-E14</f>
        <v>2497.6200000000003</v>
      </c>
      <c r="F17" s="205">
        <f>F11-F14</f>
        <v>2202.1400000000008</v>
      </c>
      <c r="G17" s="205">
        <f>G11-G14</f>
        <v>2285.48</v>
      </c>
    </row>
    <row r="18" spans="2:8" ht="14.25" customHeight="1" x14ac:dyDescent="0.35">
      <c r="B18" s="204" t="s">
        <v>591</v>
      </c>
      <c r="C18" s="206">
        <f>C17/C5</f>
        <v>0.20525077419852547</v>
      </c>
      <c r="D18" s="206">
        <f>D17/D5</f>
        <v>0.17180649598565118</v>
      </c>
      <c r="E18" s="206">
        <f>E17/E5</f>
        <v>0.20135585185758478</v>
      </c>
      <c r="F18" s="206">
        <f>F17/F5</f>
        <v>0.17528649400744567</v>
      </c>
      <c r="G18" s="206">
        <f>G17/G5</f>
        <v>0.17323993732835982</v>
      </c>
    </row>
    <row r="19" spans="2:8" ht="14.25" customHeight="1" x14ac:dyDescent="0.35">
      <c r="B19" s="51"/>
      <c r="C19" s="51"/>
      <c r="D19" s="51"/>
      <c r="E19" s="51"/>
      <c r="F19" s="51"/>
      <c r="G19" s="51"/>
    </row>
    <row r="20" spans="2:8" ht="14.25" customHeight="1" x14ac:dyDescent="0.35">
      <c r="B20" s="204" t="s">
        <v>305</v>
      </c>
      <c r="C20" s="205">
        <f>IFERROR('Data Sheet'!G23,0)</f>
        <v>252.89</v>
      </c>
      <c r="D20" s="205">
        <f>IFERROR('Data Sheet'!H23,0)</f>
        <v>310.95999999999998</v>
      </c>
      <c r="E20" s="205">
        <f>IFERROR('Data Sheet'!I23,0)</f>
        <v>399.21</v>
      </c>
      <c r="F20" s="205">
        <f>IFERROR('Data Sheet'!J23,0)</f>
        <v>445.6</v>
      </c>
      <c r="G20" s="205">
        <f>IFERROR('Data Sheet'!K23,0)</f>
        <v>468.93</v>
      </c>
    </row>
    <row r="21" spans="2:8" ht="14.25" customHeight="1" x14ac:dyDescent="0.35">
      <c r="B21" s="204" t="s">
        <v>592</v>
      </c>
      <c r="C21" s="206">
        <f>C20/C5</f>
        <v>2.322503737826807E-2</v>
      </c>
      <c r="D21" s="206">
        <f>D20/D5</f>
        <v>2.6969901707648555E-2</v>
      </c>
      <c r="E21" s="206">
        <f>E20/E5</f>
        <v>3.2183946965537752E-2</v>
      </c>
      <c r="F21" s="206">
        <f>F20/F5</f>
        <v>3.5468980959302211E-2</v>
      </c>
      <c r="G21" s="206">
        <f>G20/G5</f>
        <v>3.5545007530754055E-2</v>
      </c>
    </row>
    <row r="22" spans="2:8" ht="14.25" customHeight="1" x14ac:dyDescent="0.35">
      <c r="B22" s="51"/>
      <c r="C22" s="51"/>
      <c r="D22" s="51"/>
      <c r="E22" s="51"/>
      <c r="F22" s="51"/>
      <c r="G22" s="51"/>
    </row>
    <row r="23" spans="2:8" ht="14.25" customHeight="1" x14ac:dyDescent="0.35">
      <c r="B23" s="204" t="s">
        <v>549</v>
      </c>
      <c r="C23" s="205">
        <f>IFERROR(C17-C20,0)</f>
        <v>1982.0200000000004</v>
      </c>
      <c r="D23" s="205">
        <f>IFERROR(D17-D20,0)</f>
        <v>1669.9499999999994</v>
      </c>
      <c r="E23" s="205">
        <f>IFERROR(E17-E20,0)</f>
        <v>2098.4100000000003</v>
      </c>
      <c r="F23" s="205">
        <f>IFERROR(F17-F20,0)</f>
        <v>1756.5400000000009</v>
      </c>
      <c r="G23" s="205">
        <f>IFERROR(G17-G20,0)</f>
        <v>1816.55</v>
      </c>
    </row>
    <row r="24" spans="2:8" ht="14.25" customHeight="1" x14ac:dyDescent="0.35">
      <c r="B24" s="204" t="s">
        <v>357</v>
      </c>
      <c r="C24" s="206">
        <f>C23/C5</f>
        <v>0.18202573682025741</v>
      </c>
      <c r="D24" s="206">
        <f>D23/D5</f>
        <v>0.14483659427800261</v>
      </c>
      <c r="E24" s="206">
        <f>E23/E5</f>
        <v>0.16917190489204703</v>
      </c>
      <c r="F24" s="206">
        <f>F23/F5</f>
        <v>0.13981751304814347</v>
      </c>
      <c r="G24" s="206">
        <f>G23/G5</f>
        <v>0.13769492979760578</v>
      </c>
      <c r="H24" s="209">
        <f>AVERAGE(C24:G24)</f>
        <v>0.15470933576721127</v>
      </c>
    </row>
    <row r="25" spans="2:8" ht="14.25" customHeight="1" x14ac:dyDescent="0.35">
      <c r="B25" s="51"/>
      <c r="C25" s="51"/>
      <c r="D25" s="51"/>
      <c r="E25" s="51"/>
      <c r="F25" s="51"/>
      <c r="G25" s="51"/>
    </row>
    <row r="26" spans="2:8" ht="14.25" customHeight="1" x14ac:dyDescent="0.35">
      <c r="B26" s="204" t="s">
        <v>306</v>
      </c>
      <c r="C26" s="205">
        <f>IFERROR('Data Sheet'!G24,0)</f>
        <v>38.6</v>
      </c>
      <c r="D26" s="205">
        <f>IFERROR('Data Sheet'!H24,0)</f>
        <v>78.239999999999995</v>
      </c>
      <c r="E26" s="205">
        <f>IFERROR('Data Sheet'!I24,0)</f>
        <v>124.18</v>
      </c>
      <c r="F26" s="205">
        <f>IFERROR('Data Sheet'!J24,0)</f>
        <v>163.5</v>
      </c>
      <c r="G26" s="205">
        <f>IFERROR('Data Sheet'!K24,0)</f>
        <v>145.4</v>
      </c>
    </row>
    <row r="27" spans="2:8" ht="14.25" customHeight="1" x14ac:dyDescent="0.35">
      <c r="B27" s="204" t="s">
        <v>593</v>
      </c>
      <c r="C27" s="206">
        <f>C26/C5</f>
        <v>3.5449659646531995E-3</v>
      </c>
      <c r="D27" s="206">
        <f>D26/D5</f>
        <v>6.7858409750656771E-3</v>
      </c>
      <c r="E27" s="206">
        <f>E26/E5</f>
        <v>1.0011278610707344E-2</v>
      </c>
      <c r="F27" s="206">
        <f>F26/F5</f>
        <v>1.3014314153603931E-2</v>
      </c>
      <c r="G27" s="206">
        <f>G26/G5</f>
        <v>1.1021355202208517E-2</v>
      </c>
    </row>
    <row r="28" spans="2:8" ht="14.25" customHeight="1" x14ac:dyDescent="0.35">
      <c r="B28" s="51"/>
      <c r="C28" s="51"/>
      <c r="D28" s="51"/>
      <c r="E28" s="51"/>
      <c r="F28" s="51"/>
      <c r="G28" s="51"/>
    </row>
    <row r="29" spans="2:8" ht="14.25" customHeight="1" x14ac:dyDescent="0.35">
      <c r="B29" s="204" t="s">
        <v>304</v>
      </c>
      <c r="C29" s="205">
        <f>IFERROR('Data Sheet'!G22,0)</f>
        <v>308.16000000000003</v>
      </c>
      <c r="D29" s="205">
        <f>IFERROR('Data Sheet'!H22,0)</f>
        <v>445.39</v>
      </c>
      <c r="E29" s="205">
        <f>IFERROR('Data Sheet'!I22,0)</f>
        <v>482.41</v>
      </c>
      <c r="F29" s="205">
        <f>IFERROR('Data Sheet'!J22,0)</f>
        <v>550.65</v>
      </c>
      <c r="G29" s="205">
        <f>IFERROR('Data Sheet'!K22,0)</f>
        <v>584.72</v>
      </c>
    </row>
    <row r="30" spans="2:8" ht="14.25" customHeight="1" x14ac:dyDescent="0.35">
      <c r="B30" s="51"/>
      <c r="C30" s="51"/>
      <c r="D30" s="51"/>
      <c r="E30" s="51"/>
      <c r="F30" s="51"/>
      <c r="G30" s="51"/>
    </row>
    <row r="31" spans="2:8" ht="14.25" customHeight="1" x14ac:dyDescent="0.35">
      <c r="B31" s="204" t="s">
        <v>594</v>
      </c>
      <c r="C31" s="205">
        <f>IFERROR(C23-C26+C29,0)</f>
        <v>2251.5800000000004</v>
      </c>
      <c r="D31" s="205">
        <f>IFERROR(D23-D26+D29,0)</f>
        <v>2037.0999999999995</v>
      </c>
      <c r="E31" s="205">
        <f>IFERROR(E23-E26+E29,0)</f>
        <v>2456.6400000000003</v>
      </c>
      <c r="F31" s="205">
        <f>IFERROR(F23-F26+F29,0)</f>
        <v>2143.690000000001</v>
      </c>
      <c r="G31" s="205">
        <f>IFERROR(G23-G26+G29,0)</f>
        <v>2255.87</v>
      </c>
    </row>
    <row r="32" spans="2:8" ht="14.25" customHeight="1" x14ac:dyDescent="0.35">
      <c r="B32" s="204" t="s">
        <v>595</v>
      </c>
      <c r="C32" s="206">
        <f>C31/C5</f>
        <v>0.20678172193507388</v>
      </c>
      <c r="D32" s="206">
        <f>D31/D5</f>
        <v>0.1766799162871458</v>
      </c>
      <c r="E32" s="206">
        <f>E31/E5</f>
        <v>0.1980520815445973</v>
      </c>
      <c r="F32" s="206">
        <f>F31/F5</f>
        <v>0.17063397619534693</v>
      </c>
      <c r="G32" s="206">
        <f>G31/G5</f>
        <v>0.17099549215960194</v>
      </c>
    </row>
    <row r="33" spans="2:8" ht="14.25" customHeight="1" x14ac:dyDescent="0.35">
      <c r="B33" s="51"/>
      <c r="C33" s="51"/>
      <c r="D33" s="51"/>
      <c r="E33" s="51"/>
      <c r="F33" s="51"/>
      <c r="G33" s="51"/>
    </row>
    <row r="34" spans="2:8" ht="14.25" customHeight="1" x14ac:dyDescent="0.35">
      <c r="B34" s="204" t="s">
        <v>308</v>
      </c>
      <c r="C34" s="205">
        <f>IFERROR('Data Sheet'!G26,0)</f>
        <v>526.38</v>
      </c>
      <c r="D34" s="205">
        <f>IFERROR('Data Sheet'!H26,0)</f>
        <v>517.35</v>
      </c>
      <c r="E34" s="205">
        <f>IFERROR('Data Sheet'!I26,0)</f>
        <v>547.42999999999995</v>
      </c>
      <c r="F34" s="205">
        <f>IFERROR('Data Sheet'!J26,0)</f>
        <v>517.47</v>
      </c>
      <c r="G34" s="205">
        <f>IFERROR('Data Sheet'!K26,0)</f>
        <v>551.74</v>
      </c>
    </row>
    <row r="35" spans="2:8" ht="14.25" customHeight="1" x14ac:dyDescent="0.35">
      <c r="B35" s="204" t="s">
        <v>571</v>
      </c>
      <c r="C35" s="206">
        <f>C34/C31</f>
        <v>0.23378249940042101</v>
      </c>
      <c r="D35" s="206">
        <f>D34/D31</f>
        <v>0.25396396838643176</v>
      </c>
      <c r="E35" s="206">
        <f>E34/E31</f>
        <v>0.22283688289696491</v>
      </c>
      <c r="F35" s="206">
        <f>F34/F31</f>
        <v>0.24139217890646492</v>
      </c>
      <c r="G35" s="206">
        <f>G34/G31</f>
        <v>0.24457969652506573</v>
      </c>
    </row>
    <row r="36" spans="2:8" ht="14.25" customHeight="1" x14ac:dyDescent="0.35">
      <c r="B36" s="51"/>
      <c r="C36" s="51"/>
      <c r="D36" s="51"/>
      <c r="E36" s="51"/>
      <c r="F36" s="51"/>
      <c r="G36" s="51"/>
    </row>
    <row r="37" spans="2:8" ht="14.25" customHeight="1" x14ac:dyDescent="0.35">
      <c r="B37" s="204" t="s">
        <v>566</v>
      </c>
      <c r="C37" s="205">
        <f>IFERROR(C31-C34,0)</f>
        <v>1725.2000000000003</v>
      </c>
      <c r="D37" s="205">
        <f>IFERROR(D31-D34,0)</f>
        <v>1519.7499999999995</v>
      </c>
      <c r="E37" s="205">
        <f>IFERROR(E31-E34,0)</f>
        <v>1909.2100000000005</v>
      </c>
      <c r="F37" s="205">
        <f>IFERROR(F31-F34,0)</f>
        <v>1626.2200000000009</v>
      </c>
      <c r="G37" s="205">
        <f>IFERROR(G31-G34,0)</f>
        <v>1704.1299999999999</v>
      </c>
    </row>
    <row r="38" spans="2:8" ht="14.25" customHeight="1" x14ac:dyDescent="0.35">
      <c r="B38" s="204" t="s">
        <v>596</v>
      </c>
      <c r="C38" s="206">
        <f>C37/C5</f>
        <v>0.15843977415076943</v>
      </c>
      <c r="D38" s="206">
        <f>D37/D5</f>
        <v>0.13180958361267969</v>
      </c>
      <c r="E38" s="206">
        <f>E37/E5</f>
        <v>0.15391877304194373</v>
      </c>
      <c r="F38" s="206">
        <f>F37/F5</f>
        <v>0.12944426888607827</v>
      </c>
      <c r="G38" s="206">
        <f>G37/G5</f>
        <v>0.12917346658005224</v>
      </c>
    </row>
    <row r="39" spans="2:8" ht="14.25" customHeight="1" x14ac:dyDescent="0.35">
      <c r="B39" s="51"/>
      <c r="C39" s="51"/>
      <c r="D39" s="51"/>
      <c r="E39" s="51"/>
      <c r="F39" s="51"/>
      <c r="G39" s="51"/>
    </row>
    <row r="40" spans="2:8" ht="14.25" customHeight="1" x14ac:dyDescent="0.35">
      <c r="B40" s="204" t="s">
        <v>597</v>
      </c>
      <c r="C40" s="205">
        <f>IFERROR('Data Sheet'!G90,0)</f>
        <v>176.79</v>
      </c>
      <c r="D40" s="205">
        <f>IFERROR('Data Sheet'!H90,0)</f>
        <v>177.18</v>
      </c>
      <c r="E40" s="205">
        <f>IFERROR('Data Sheet'!I90,0)</f>
        <v>177.2</v>
      </c>
      <c r="F40" s="205">
        <f>IFERROR('Data Sheet'!J90,0)</f>
        <v>177.23</v>
      </c>
      <c r="G40" s="205">
        <f>IFERROR('Data Sheet'!K90,0)</f>
        <v>177.37</v>
      </c>
    </row>
    <row r="41" spans="2:8" ht="14.25" customHeight="1" x14ac:dyDescent="0.35">
      <c r="B41" s="51"/>
      <c r="C41" s="51"/>
      <c r="D41" s="51"/>
      <c r="E41" s="51"/>
      <c r="F41" s="51"/>
      <c r="G41" s="51"/>
    </row>
    <row r="42" spans="2:8" ht="14.25" customHeight="1" x14ac:dyDescent="0.35">
      <c r="B42" s="204" t="s">
        <v>598</v>
      </c>
      <c r="C42" s="210">
        <f>IFERROR(C37/C40,0)</f>
        <v>9.7584705017252134</v>
      </c>
      <c r="D42" s="210">
        <f>IFERROR(D37/D40,0)</f>
        <v>8.5774353764533213</v>
      </c>
      <c r="E42" s="210">
        <f>IFERROR(E37/E40,0)</f>
        <v>10.774322799097069</v>
      </c>
      <c r="F42" s="210">
        <f>IFERROR(F37/F40,0)</f>
        <v>9.1757603114596904</v>
      </c>
      <c r="G42" s="210">
        <f>IFERROR(G37/G40,0)</f>
        <v>9.6077690703050109</v>
      </c>
    </row>
    <row r="43" spans="2:8" ht="14.25" customHeight="1" x14ac:dyDescent="0.35">
      <c r="B43" s="204" t="s">
        <v>599</v>
      </c>
      <c r="C43" s="51" t="s">
        <v>55</v>
      </c>
      <c r="D43" s="206">
        <f>IFERROR(D42/C42-1,0)</f>
        <v>-0.12102666345746449</v>
      </c>
      <c r="E43" s="206">
        <f>IFERROR(E42/D42-1,0)</f>
        <v>0.25612404247015585</v>
      </c>
      <c r="F43" s="206">
        <f>IFERROR(F42/E42-1,0)</f>
        <v>-0.14836779233784836</v>
      </c>
      <c r="G43" s="206">
        <f>IFERROR(G42/F42-1,0)</f>
        <v>4.7081521768368439E-2</v>
      </c>
    </row>
    <row r="44" spans="2:8" ht="14.25" customHeight="1" x14ac:dyDescent="0.35">
      <c r="B44" s="51"/>
      <c r="C44" s="51"/>
      <c r="D44" s="51"/>
      <c r="E44" s="51"/>
      <c r="F44" s="51"/>
      <c r="G44" s="51"/>
    </row>
    <row r="45" spans="2:8" ht="14.25" customHeight="1" x14ac:dyDescent="0.35">
      <c r="B45" s="204" t="s">
        <v>600</v>
      </c>
      <c r="C45" s="210">
        <f>IFERROR('Data Sheet'!G28/HistoricalFS!C40,0)</f>
        <v>5.200011312857062</v>
      </c>
      <c r="D45" s="210">
        <f>IFERROR('Data Sheet'!H28/HistoricalFS!D40,0)</f>
        <v>5.2000225759115022</v>
      </c>
      <c r="E45" s="210">
        <f>IFERROR('Data Sheet'!I28/HistoricalFS!E40,0)</f>
        <v>5.5000000000000009</v>
      </c>
      <c r="F45" s="210">
        <f>IFERROR('Data Sheet'!J28/HistoricalFS!F40,0)</f>
        <v>8</v>
      </c>
      <c r="G45" s="210">
        <f>IFERROR('Data Sheet'!K28/HistoricalFS!G40,0)</f>
        <v>8.249985905169984</v>
      </c>
    </row>
    <row r="46" spans="2:8" ht="14.25" customHeight="1" x14ac:dyDescent="0.35">
      <c r="B46" s="204" t="s">
        <v>601</v>
      </c>
      <c r="C46" s="206">
        <f>IFERROR(C45/C42,0)</f>
        <v>0.53287155112450713</v>
      </c>
      <c r="D46" s="206">
        <f>IFERROR(D45/D42,0)</f>
        <v>0.60624444810001665</v>
      </c>
      <c r="E46" s="206">
        <f>IFERROR(E45/E42,0)</f>
        <v>0.51047291811796491</v>
      </c>
      <c r="F46" s="206">
        <f>IFERROR(F45/F42,0)</f>
        <v>0.87186235564683701</v>
      </c>
      <c r="G46" s="206">
        <f>IFERROR(G45/G42,0)</f>
        <v>0.85867862193611999</v>
      </c>
      <c r="H46" s="263"/>
    </row>
    <row r="47" spans="2:8" ht="14.25" customHeight="1" x14ac:dyDescent="0.35">
      <c r="B47" s="51"/>
      <c r="C47" s="51"/>
      <c r="D47" s="51"/>
      <c r="E47" s="51"/>
      <c r="F47" s="51"/>
      <c r="G47" s="51"/>
    </row>
    <row r="48" spans="2:8" ht="14.25" customHeight="1" x14ac:dyDescent="0.35">
      <c r="B48" s="204" t="s">
        <v>602</v>
      </c>
      <c r="C48" s="206">
        <f>IFERROR(IF(C42&gt;C45,1-C46,0),0)</f>
        <v>0.46712844887549287</v>
      </c>
      <c r="D48" s="206">
        <f>IFERROR(IF(D42&gt;D45,1-D46,0),0)</f>
        <v>0.39375555189998335</v>
      </c>
      <c r="E48" s="206">
        <f>IFERROR(IF(E42&gt;E45,1-E46,0),0)</f>
        <v>0.48952708188203509</v>
      </c>
      <c r="F48" s="206">
        <f>IFERROR(IF(F42&gt;F45,1-F46,0),0)</f>
        <v>0.12813764435316299</v>
      </c>
      <c r="G48" s="206">
        <f>IFERROR(IF(G42&gt;G45,1-G46,0),0)</f>
        <v>0.14132137806388001</v>
      </c>
    </row>
    <row r="50" spans="2:7" ht="14.25" customHeight="1" x14ac:dyDescent="0.35">
      <c r="B50" s="203" t="s">
        <v>603</v>
      </c>
      <c r="C50" s="211" t="str">
        <f>C3</f>
        <v>2022</v>
      </c>
      <c r="D50" s="211" t="str">
        <f>D3</f>
        <v>2023</v>
      </c>
      <c r="E50" s="211" t="str">
        <f>E3</f>
        <v>2024</v>
      </c>
      <c r="F50" s="211" t="str">
        <f>F3</f>
        <v>2025</v>
      </c>
      <c r="G50" s="211" t="str">
        <f>G3</f>
        <v>2026</v>
      </c>
    </row>
    <row r="51" spans="2:7" ht="14.25" customHeight="1" x14ac:dyDescent="0.35">
      <c r="B51" s="204" t="s">
        <v>278</v>
      </c>
      <c r="C51" s="205">
        <f>IFERROR('Data Sheet'!G54,0)</f>
        <v>176.79</v>
      </c>
      <c r="D51" s="205">
        <f>IFERROR('Data Sheet'!H54,0)</f>
        <v>177.18</v>
      </c>
      <c r="E51" s="205">
        <f>IFERROR('Data Sheet'!I54,0)</f>
        <v>177.2</v>
      </c>
      <c r="F51" s="205">
        <f>IFERROR('Data Sheet'!J54,0)</f>
        <v>177.23</v>
      </c>
      <c r="G51" s="205">
        <f>IFERROR('Data Sheet'!K54,0)</f>
        <v>177.37</v>
      </c>
    </row>
    <row r="52" spans="2:7" ht="14.25" customHeight="1" x14ac:dyDescent="0.35">
      <c r="B52" s="204" t="s">
        <v>279</v>
      </c>
      <c r="C52" s="205">
        <f>IFERROR('Data Sheet'!G55,0)</f>
        <v>8204.51</v>
      </c>
      <c r="D52" s="205">
        <f>IFERROR('Data Sheet'!H55,0)</f>
        <v>8796.08</v>
      </c>
      <c r="E52" s="205">
        <f>IFERROR('Data Sheet'!I55,0)</f>
        <v>9689.1</v>
      </c>
      <c r="F52" s="205">
        <f>IFERROR('Data Sheet'!J55,0)</f>
        <v>10623.46</v>
      </c>
      <c r="G52" s="205">
        <f>IFERROR('Data Sheet'!K55,0)</f>
        <v>11242.15</v>
      </c>
    </row>
    <row r="53" spans="2:7" ht="14.25" customHeight="1" x14ac:dyDescent="0.35">
      <c r="B53" s="204" t="s">
        <v>280</v>
      </c>
      <c r="C53" s="205">
        <f>IFERROR('Data Sheet'!G56,0)</f>
        <v>1030.0999999999999</v>
      </c>
      <c r="D53" s="205">
        <f>IFERROR('Data Sheet'!H56,0)</f>
        <v>1173.79</v>
      </c>
      <c r="E53" s="205">
        <f>IFERROR('Data Sheet'!I56,0)</f>
        <v>1365.09</v>
      </c>
      <c r="F53" s="205">
        <f>IFERROR('Data Sheet'!J56,0)</f>
        <v>950.37</v>
      </c>
      <c r="G53" s="205">
        <f>IFERROR('Data Sheet'!K56,0)</f>
        <v>1287.32</v>
      </c>
    </row>
    <row r="54" spans="2:7" ht="15" customHeight="1" x14ac:dyDescent="0.35">
      <c r="B54" s="204" t="s">
        <v>281</v>
      </c>
      <c r="C54" s="205">
        <f>IFERROR('Data Sheet'!G57,0)</f>
        <v>2872.46</v>
      </c>
      <c r="D54" s="205">
        <f>IFERROR('Data Sheet'!H57,0)</f>
        <v>3505.23</v>
      </c>
      <c r="E54" s="205">
        <f>IFERROR('Data Sheet'!I57,0)</f>
        <v>3884.97</v>
      </c>
      <c r="F54" s="205">
        <f>IFERROR('Data Sheet'!J57,0)</f>
        <v>4478.6899999999996</v>
      </c>
      <c r="G54" s="205">
        <f>IFERROR('Data Sheet'!K57,0)</f>
        <v>4773.07</v>
      </c>
    </row>
    <row r="55" spans="2:7" ht="15" customHeight="1" x14ac:dyDescent="0.35">
      <c r="B55" s="212" t="s">
        <v>604</v>
      </c>
      <c r="C55" s="213">
        <f>IFERROR('Data Sheet'!G58,0)</f>
        <v>12283.86</v>
      </c>
      <c r="D55" s="213">
        <f>IFERROR('Data Sheet'!H58,0)</f>
        <v>13652.28</v>
      </c>
      <c r="E55" s="213">
        <f>IFERROR('Data Sheet'!I58,0)</f>
        <v>15116.36</v>
      </c>
      <c r="F55" s="213">
        <f>IFERROR('Data Sheet'!J58,0)</f>
        <v>16229.75</v>
      </c>
      <c r="G55" s="213">
        <f>IFERROR('Data Sheet'!K58,0)</f>
        <v>17479.91</v>
      </c>
    </row>
    <row r="56" spans="2:7" ht="14.25" customHeight="1" x14ac:dyDescent="0.35">
      <c r="B56" s="214"/>
      <c r="C56" s="214"/>
      <c r="D56" s="214"/>
      <c r="E56" s="214"/>
      <c r="F56" s="214"/>
      <c r="G56" s="214"/>
    </row>
    <row r="57" spans="2:7" ht="14.25" customHeight="1" x14ac:dyDescent="0.35">
      <c r="B57" s="204" t="s">
        <v>605</v>
      </c>
      <c r="C57" s="205">
        <f>IFERROR('Data Sheet'!G59,0)</f>
        <v>2307.9</v>
      </c>
      <c r="D57" s="205">
        <f>IFERROR('Data Sheet'!H59,0)</f>
        <v>3578.65</v>
      </c>
      <c r="E57" s="205">
        <f>IFERROR('Data Sheet'!I59,0)</f>
        <v>3815</v>
      </c>
      <c r="F57" s="205">
        <f>IFERROR('Data Sheet'!J59,0)</f>
        <v>3989.69</v>
      </c>
      <c r="G57" s="205">
        <f>IFERROR('Data Sheet'!K59,0)</f>
        <v>3938.92</v>
      </c>
    </row>
    <row r="58" spans="2:7" ht="14.25" customHeight="1" x14ac:dyDescent="0.35">
      <c r="B58" s="204" t="s">
        <v>284</v>
      </c>
      <c r="C58" s="205">
        <f>IFERROR('Data Sheet'!G60,0)</f>
        <v>167.5</v>
      </c>
      <c r="D58" s="205">
        <f>IFERROR('Data Sheet'!H60,0)</f>
        <v>175.13</v>
      </c>
      <c r="E58" s="205">
        <f>IFERROR('Data Sheet'!I60,0)</f>
        <v>232.23</v>
      </c>
      <c r="F58" s="205">
        <f>IFERROR('Data Sheet'!J60,0)</f>
        <v>168.99</v>
      </c>
      <c r="G58" s="205">
        <f>IFERROR('Data Sheet'!K60,0)</f>
        <v>137.47999999999999</v>
      </c>
    </row>
    <row r="59" spans="2:7" ht="14.25" customHeight="1" x14ac:dyDescent="0.35">
      <c r="B59" s="204" t="s">
        <v>286</v>
      </c>
      <c r="C59" s="205">
        <f>IFERROR('Data Sheet'!G61,0)</f>
        <v>6219.62</v>
      </c>
      <c r="D59" s="205">
        <f>IFERROR('Data Sheet'!H61,0)</f>
        <v>6265.26</v>
      </c>
      <c r="E59" s="205">
        <f>IFERROR('Data Sheet'!I61,0)</f>
        <v>6932.69</v>
      </c>
      <c r="F59" s="205">
        <f>IFERROR('Data Sheet'!J61,0)</f>
        <v>7467.86</v>
      </c>
      <c r="G59" s="205">
        <f>IFERROR('Data Sheet'!K61,0)</f>
        <v>8947.26</v>
      </c>
    </row>
    <row r="60" spans="2:7" ht="14.25" customHeight="1" x14ac:dyDescent="0.35">
      <c r="B60" s="204" t="s">
        <v>288</v>
      </c>
      <c r="C60" s="205">
        <f>IFERROR('Data Sheet'!G62-SUM('Data Sheet'!G64:G66),0)</f>
        <v>461.18000000000029</v>
      </c>
      <c r="D60" s="205">
        <f>IFERROR('Data Sheet'!H62-SUM('Data Sheet'!H64:H66),0)</f>
        <v>434.36999999999989</v>
      </c>
      <c r="E60" s="205">
        <f>IFERROR('Data Sheet'!I62-SUM('Data Sheet'!I64:I66),0)</f>
        <v>624.38999999999942</v>
      </c>
      <c r="F60" s="205">
        <f>IFERROR('Data Sheet'!J62-SUM('Data Sheet'!J64:J66),0)</f>
        <v>836.59000000000015</v>
      </c>
      <c r="G60" s="205">
        <f>IFERROR('Data Sheet'!K62-SUM('Data Sheet'!K64:K66),0)</f>
        <v>857.13999999999987</v>
      </c>
    </row>
    <row r="61" spans="2:7" ht="14.25" customHeight="1" x14ac:dyDescent="0.35">
      <c r="B61" s="204" t="s">
        <v>606</v>
      </c>
      <c r="C61" s="215">
        <f>SUM(C57:C60)</f>
        <v>9156.2000000000007</v>
      </c>
      <c r="D61" s="215">
        <f>SUM(D57:D60)</f>
        <v>10453.41</v>
      </c>
      <c r="E61" s="215">
        <f>SUM(E57:E60)</f>
        <v>11604.31</v>
      </c>
      <c r="F61" s="215">
        <f>SUM(F57:F60)</f>
        <v>12463.130000000001</v>
      </c>
      <c r="G61" s="215">
        <f>SUM(G57:G60)</f>
        <v>13880.8</v>
      </c>
    </row>
    <row r="62" spans="2:7" ht="14.25" customHeight="1" x14ac:dyDescent="0.35">
      <c r="B62" s="51"/>
      <c r="C62" s="51"/>
      <c r="D62" s="51"/>
      <c r="E62" s="51"/>
      <c r="F62" s="51"/>
      <c r="G62" s="51"/>
    </row>
    <row r="63" spans="2:7" ht="14.25" customHeight="1" x14ac:dyDescent="0.35">
      <c r="B63" s="204" t="s">
        <v>414</v>
      </c>
      <c r="C63" s="205">
        <f>IFERROR('Data Sheet'!G64,0)</f>
        <v>646.15</v>
      </c>
      <c r="D63" s="205">
        <f>IFERROR('Data Sheet'!H64,0)</f>
        <v>848.75</v>
      </c>
      <c r="E63" s="205">
        <f>IFERROR('Data Sheet'!I64,0)</f>
        <v>898.72</v>
      </c>
      <c r="F63" s="205">
        <f>IFERROR('Data Sheet'!J64,0)</f>
        <v>888.5</v>
      </c>
      <c r="G63" s="205">
        <f>IFERROR('Data Sheet'!K64,0)</f>
        <v>715.41</v>
      </c>
    </row>
    <row r="64" spans="2:7" ht="14.25" customHeight="1" x14ac:dyDescent="0.35">
      <c r="B64" s="204" t="s">
        <v>293</v>
      </c>
      <c r="C64" s="205">
        <f>IFERROR('Data Sheet'!G65,0)</f>
        <v>1911.37</v>
      </c>
      <c r="D64" s="205">
        <f>IFERROR('Data Sheet'!H65,0)</f>
        <v>2024.2</v>
      </c>
      <c r="E64" s="205">
        <f>IFERROR('Data Sheet'!I65,0)</f>
        <v>1946.97</v>
      </c>
      <c r="F64" s="205">
        <f>IFERROR('Data Sheet'!J65,0)</f>
        <v>2300.11</v>
      </c>
      <c r="G64" s="205">
        <f>IFERROR('Data Sheet'!K65,0)</f>
        <v>2321.63</v>
      </c>
    </row>
    <row r="65" spans="2:7" ht="14.25" customHeight="1" x14ac:dyDescent="0.35">
      <c r="B65" s="204" t="s">
        <v>415</v>
      </c>
      <c r="C65" s="205">
        <f>IFERROR('Data Sheet'!G66,0)</f>
        <v>570.14</v>
      </c>
      <c r="D65" s="205">
        <f>IFERROR('Data Sheet'!H66,0)</f>
        <v>325.92</v>
      </c>
      <c r="E65" s="205">
        <f>IFERROR('Data Sheet'!I66,0)</f>
        <v>666.36</v>
      </c>
      <c r="F65" s="205">
        <f>IFERROR('Data Sheet'!J66,0)</f>
        <v>578.01</v>
      </c>
      <c r="G65" s="205">
        <f>IFERROR('Data Sheet'!K66,0)</f>
        <v>562.07000000000005</v>
      </c>
    </row>
    <row r="66" spans="2:7" ht="14.25" customHeight="1" x14ac:dyDescent="0.35">
      <c r="B66" s="204" t="s">
        <v>607</v>
      </c>
      <c r="C66" s="215">
        <f>IFERROR(SUM(C63:C65),0)</f>
        <v>3127.66</v>
      </c>
      <c r="D66" s="215">
        <f>IFERROR(SUM(D63:D65),0)</f>
        <v>3198.87</v>
      </c>
      <c r="E66" s="215">
        <f>IFERROR(SUM(E63:E65),0)</f>
        <v>3512.05</v>
      </c>
      <c r="F66" s="215">
        <f>IFERROR(SUM(F63:F65),0)</f>
        <v>3766.62</v>
      </c>
      <c r="G66" s="215">
        <f>IFERROR(SUM(G63:G65),0)</f>
        <v>3599.11</v>
      </c>
    </row>
    <row r="67" spans="2:7" ht="15" customHeight="1" x14ac:dyDescent="0.35">
      <c r="B67" s="51"/>
      <c r="C67" s="51"/>
      <c r="D67" s="51"/>
      <c r="E67" s="51"/>
      <c r="F67" s="51"/>
      <c r="G67" s="51"/>
    </row>
    <row r="68" spans="2:7" ht="15" customHeight="1" x14ac:dyDescent="0.35">
      <c r="B68" s="212" t="s">
        <v>608</v>
      </c>
      <c r="C68" s="213">
        <f>IFERROR(SUM(C61+C66),0)</f>
        <v>12283.86</v>
      </c>
      <c r="D68" s="213">
        <f>IFERROR(SUM(D61+D66),0)</f>
        <v>13652.279999999999</v>
      </c>
      <c r="E68" s="213">
        <f>IFERROR(SUM(E61+E66),0)</f>
        <v>15116.36</v>
      </c>
      <c r="F68" s="213">
        <f>IFERROR(SUM(F61+F66),0)</f>
        <v>16229.75</v>
      </c>
      <c r="G68" s="213">
        <f>IFERROR(SUM(G61+G66),0)</f>
        <v>17479.91</v>
      </c>
    </row>
    <row r="69" spans="2:7" ht="14.25" customHeight="1" x14ac:dyDescent="0.35">
      <c r="B69" s="27"/>
    </row>
    <row r="70" spans="2:7" ht="14.25" customHeight="1" x14ac:dyDescent="0.35">
      <c r="B70" s="216" t="s">
        <v>609</v>
      </c>
      <c r="C70" s="217" t="b">
        <f>C68=C55</f>
        <v>1</v>
      </c>
      <c r="D70" s="217" t="b">
        <f>D68=D55</f>
        <v>1</v>
      </c>
      <c r="E70" s="217" t="b">
        <f>E68=E55</f>
        <v>1</v>
      </c>
      <c r="F70" s="217" t="b">
        <f>F68=F55</f>
        <v>1</v>
      </c>
      <c r="G70" s="218" t="b">
        <f>G68=G55</f>
        <v>1</v>
      </c>
    </row>
    <row r="72" spans="2:7" ht="14.25" customHeight="1" x14ac:dyDescent="0.35">
      <c r="B72" s="203" t="s">
        <v>610</v>
      </c>
      <c r="C72" s="211" t="str">
        <f>C3</f>
        <v>2022</v>
      </c>
      <c r="D72" s="211" t="str">
        <f>D3</f>
        <v>2023</v>
      </c>
      <c r="E72" s="211" t="str">
        <f>E3</f>
        <v>2024</v>
      </c>
      <c r="F72" s="211" t="str">
        <f>F3</f>
        <v>2025</v>
      </c>
      <c r="G72" s="211" t="str">
        <f>G3</f>
        <v>2026</v>
      </c>
    </row>
    <row r="73" spans="2:7" ht="14.25" customHeight="1" x14ac:dyDescent="0.35">
      <c r="B73" s="204" t="s">
        <v>611</v>
      </c>
      <c r="C73" s="51"/>
      <c r="D73" s="51"/>
      <c r="E73" s="51"/>
      <c r="F73" s="51"/>
      <c r="G73" s="51"/>
    </row>
    <row r="74" spans="2:7" ht="14.25" customHeight="1" x14ac:dyDescent="0.35">
      <c r="B74" s="204" t="s">
        <v>612</v>
      </c>
      <c r="C74" s="205">
        <f>IFERROR('Data Sheet'!G79,0)</f>
        <v>1802.33</v>
      </c>
      <c r="D74" s="205">
        <f>IFERROR('Data Sheet'!H79,0)</f>
        <v>1488.43</v>
      </c>
      <c r="E74" s="205">
        <f>IFERROR('Data Sheet'!I79,0)</f>
        <v>2013.47</v>
      </c>
      <c r="F74" s="205">
        <f>IFERROR('Data Sheet'!J79,0)</f>
        <v>1986.75</v>
      </c>
      <c r="G74" s="205">
        <f>IFERROR('Data Sheet'!K79,0)</f>
        <v>2578.62</v>
      </c>
    </row>
    <row r="75" spans="2:7" ht="14.25" customHeight="1" x14ac:dyDescent="0.35">
      <c r="B75" s="204" t="s">
        <v>613</v>
      </c>
      <c r="C75" s="205">
        <f>IFERROR('Data Sheet'!G80,0)</f>
        <v>-1273.45</v>
      </c>
      <c r="D75" s="205">
        <f>IFERROR('Data Sheet'!H80,0)</f>
        <v>-582.79</v>
      </c>
      <c r="E75" s="205">
        <f>IFERROR('Data Sheet'!I80,0)</f>
        <v>-971.04</v>
      </c>
      <c r="F75" s="205">
        <f>IFERROR('Data Sheet'!J80,0)</f>
        <v>-448.26</v>
      </c>
      <c r="G75" s="205">
        <f>IFERROR('Data Sheet'!K80,0)</f>
        <v>-1285.22</v>
      </c>
    </row>
    <row r="76" spans="2:7" ht="14.25" customHeight="1" x14ac:dyDescent="0.35">
      <c r="B76" s="204" t="s">
        <v>614</v>
      </c>
      <c r="C76" s="205">
        <f>IFERROR('Data Sheet'!G81,0)</f>
        <v>-490.49</v>
      </c>
      <c r="D76" s="205">
        <f>IFERROR('Data Sheet'!H81,0)</f>
        <v>-1035.24</v>
      </c>
      <c r="E76" s="205">
        <f>IFERROR('Data Sheet'!I81,0)</f>
        <v>-1161.18</v>
      </c>
      <c r="F76" s="205">
        <f>IFERROR('Data Sheet'!J81,0)</f>
        <v>-1405.34</v>
      </c>
      <c r="G76" s="205">
        <f>IFERROR('Data Sheet'!K81,0)</f>
        <v>-1235.73</v>
      </c>
    </row>
    <row r="77" spans="2:7" ht="14.25" customHeight="1" x14ac:dyDescent="0.35">
      <c r="B77" s="27"/>
      <c r="C77" s="27"/>
      <c r="D77" s="27"/>
      <c r="E77" s="27"/>
      <c r="F77" s="27"/>
      <c r="G77" s="27"/>
    </row>
    <row r="78" spans="2:7" ht="14.25" customHeight="1" x14ac:dyDescent="0.35">
      <c r="B78" s="204" t="s">
        <v>329</v>
      </c>
      <c r="C78" s="205">
        <f>IFERROR(SUM(C74:C76),0)</f>
        <v>38.389999999999873</v>
      </c>
      <c r="D78" s="205">
        <f>IFERROR(SUM(D74:D76),0)</f>
        <v>-129.59999999999991</v>
      </c>
      <c r="E78" s="205">
        <f>IFERROR(SUM(E74:E76),0)</f>
        <v>-118.75</v>
      </c>
      <c r="F78" s="205">
        <f>IFERROR(SUM(F74:F76),0)</f>
        <v>133.15000000000009</v>
      </c>
      <c r="G78" s="205">
        <f>IFERROR(SUM(G74:G76),0)</f>
        <v>57.669999999999845</v>
      </c>
    </row>
    <row r="105" ht="15" customHeight="1" x14ac:dyDescent="0.35"/>
    <row r="106" ht="15" customHeight="1" x14ac:dyDescent="0.35"/>
  </sheetData>
  <mergeCells count="1">
    <mergeCell ref="B1:G1"/>
  </mergeCells>
  <pageMargins left="0.7" right="0.7" top="0.75" bottom="0.75" header="0.511811023622047" footer="0.511811023622047"/>
  <pageSetup paperSize="9" orientation="portrait" horizontalDpi="300" verticalDpi="300"/>
  <ignoredErrors>
    <ignoredError sqref="C3:G3" numberStoredAsText="1"/>
    <ignoredError sqref="C8:G55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6"/>
  <sheetViews>
    <sheetView showGridLines="0" zoomScale="62" zoomScaleNormal="62" workbookViewId="0">
      <selection activeCell="B21" sqref="B21"/>
    </sheetView>
  </sheetViews>
  <sheetFormatPr defaultColWidth="8.6328125" defaultRowHeight="14" x14ac:dyDescent="0.3"/>
  <cols>
    <col min="1" max="1" width="2" style="2" customWidth="1"/>
    <col min="2" max="2" width="30" style="2" customWidth="1"/>
    <col min="3" max="6" width="14" style="2" customWidth="1"/>
    <col min="7" max="7" width="11.453125" style="2" customWidth="1"/>
    <col min="8" max="10" width="14" style="2" customWidth="1"/>
    <col min="11" max="11" width="11.36328125" style="2" customWidth="1"/>
    <col min="12" max="12" width="11.6328125" style="2" customWidth="1"/>
    <col min="13" max="13" width="25.54296875" style="2" customWidth="1"/>
    <col min="14" max="15" width="14" style="2" customWidth="1"/>
    <col min="16" max="16384" width="8.6328125" style="2"/>
  </cols>
  <sheetData>
    <row r="1" spans="1:15" ht="31.5" customHeight="1" x14ac:dyDescent="0.3">
      <c r="B1" s="484" t="s">
        <v>615</v>
      </c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</row>
    <row r="3" spans="1:15" ht="15" customHeight="1" x14ac:dyDescent="0.3">
      <c r="A3" s="2" t="s">
        <v>616</v>
      </c>
      <c r="B3" s="395" t="s">
        <v>617</v>
      </c>
      <c r="C3" s="395"/>
      <c r="D3" s="395"/>
      <c r="E3" s="395"/>
      <c r="G3" s="395" t="s">
        <v>618</v>
      </c>
      <c r="H3" s="395"/>
      <c r="I3" s="395"/>
      <c r="J3" s="395"/>
      <c r="L3" s="395" t="s">
        <v>619</v>
      </c>
      <c r="M3" s="395"/>
      <c r="N3" s="395"/>
      <c r="O3" s="395"/>
    </row>
    <row r="4" spans="1:15" ht="15" customHeight="1" x14ac:dyDescent="0.3">
      <c r="B4" s="219" t="s">
        <v>620</v>
      </c>
      <c r="C4" s="219" t="s">
        <v>404</v>
      </c>
      <c r="D4" s="219" t="s">
        <v>621</v>
      </c>
      <c r="E4" s="219" t="s">
        <v>324</v>
      </c>
      <c r="G4" s="219" t="s">
        <v>620</v>
      </c>
      <c r="H4" s="219" t="s">
        <v>404</v>
      </c>
      <c r="I4" s="219" t="s">
        <v>622</v>
      </c>
      <c r="J4" s="219" t="s">
        <v>350</v>
      </c>
      <c r="L4" s="219" t="s">
        <v>620</v>
      </c>
      <c r="M4" s="219" t="s">
        <v>404</v>
      </c>
      <c r="N4" s="219" t="s">
        <v>623</v>
      </c>
      <c r="O4" s="219" t="s">
        <v>624</v>
      </c>
    </row>
    <row r="5" spans="1:15" ht="15" customHeight="1" x14ac:dyDescent="0.3">
      <c r="B5" s="178">
        <v>1</v>
      </c>
      <c r="C5" s="178">
        <v>2022</v>
      </c>
      <c r="D5" s="179">
        <f>HistoricalFS!C5</f>
        <v>10888.68</v>
      </c>
      <c r="E5" s="220"/>
      <c r="G5" s="178">
        <v>1</v>
      </c>
      <c r="H5" s="178">
        <v>2022</v>
      </c>
      <c r="I5" s="179">
        <f>IFERROR(HistoricalFS!C17,0)</f>
        <v>2234.9100000000003</v>
      </c>
      <c r="J5" s="220"/>
      <c r="L5" s="178">
        <v>1</v>
      </c>
      <c r="M5" s="178">
        <v>2022</v>
      </c>
      <c r="N5" s="221">
        <f>IFERROR(HistoricalFS!C42,0)</f>
        <v>9.7584705017252134</v>
      </c>
      <c r="O5" s="220"/>
    </row>
    <row r="6" spans="1:15" ht="15" customHeight="1" x14ac:dyDescent="0.3">
      <c r="B6" s="178">
        <v>2</v>
      </c>
      <c r="C6" s="178">
        <v>2023</v>
      </c>
      <c r="D6" s="179">
        <f>HistoricalFS!D5</f>
        <v>11529.89</v>
      </c>
      <c r="E6" s="222">
        <f t="shared" ref="E6:E14" si="0">(D6/D5)-1</f>
        <v>5.8887762336665261E-2</v>
      </c>
      <c r="G6" s="178">
        <v>2</v>
      </c>
      <c r="H6" s="178">
        <v>2023</v>
      </c>
      <c r="I6" s="179">
        <f>IFERROR(HistoricalFS!D17,0)</f>
        <v>1980.9099999999994</v>
      </c>
      <c r="J6" s="222">
        <f t="shared" ref="J6:J14" si="1">(I6/I5)-1</f>
        <v>-0.11365110899320374</v>
      </c>
      <c r="L6" s="178">
        <v>2</v>
      </c>
      <c r="M6" s="178">
        <v>2023</v>
      </c>
      <c r="N6" s="221">
        <f>IFERROR(HistoricalFS!D42,0)</f>
        <v>8.5774353764533213</v>
      </c>
      <c r="O6" s="222">
        <f t="shared" ref="O6:O14" si="2">IFERROR(N6/N5-1,0)</f>
        <v>-0.12102666345746449</v>
      </c>
    </row>
    <row r="7" spans="1:15" ht="15" customHeight="1" x14ac:dyDescent="0.3">
      <c r="B7" s="178">
        <v>3</v>
      </c>
      <c r="C7" s="178">
        <v>2024</v>
      </c>
      <c r="D7" s="179">
        <f>HistoricalFS!E5</f>
        <v>12404.01</v>
      </c>
      <c r="E7" s="222">
        <f t="shared" si="0"/>
        <v>7.5813385903941821E-2</v>
      </c>
      <c r="G7" s="178">
        <v>3</v>
      </c>
      <c r="H7" s="178">
        <v>2024</v>
      </c>
      <c r="I7" s="179">
        <f>IFERROR(HistoricalFS!E17,0)</f>
        <v>2497.6200000000003</v>
      </c>
      <c r="J7" s="222">
        <f t="shared" si="1"/>
        <v>0.26084476326536854</v>
      </c>
      <c r="L7" s="178">
        <v>3</v>
      </c>
      <c r="M7" s="178">
        <v>2024</v>
      </c>
      <c r="N7" s="221">
        <f>IFERROR(HistoricalFS!E42,0)</f>
        <v>10.774322799097069</v>
      </c>
      <c r="O7" s="222">
        <f t="shared" si="2"/>
        <v>0.25612404247015585</v>
      </c>
    </row>
    <row r="8" spans="1:15" ht="15" customHeight="1" x14ac:dyDescent="0.3">
      <c r="B8" s="178">
        <v>4</v>
      </c>
      <c r="C8" s="178">
        <v>2025</v>
      </c>
      <c r="D8" s="179">
        <f>HistoricalFS!F5</f>
        <v>12563.09</v>
      </c>
      <c r="E8" s="222">
        <f t="shared" si="0"/>
        <v>1.2824884855784591E-2</v>
      </c>
      <c r="G8" s="178">
        <v>4</v>
      </c>
      <c r="H8" s="178">
        <v>2025</v>
      </c>
      <c r="I8" s="179">
        <f>IFERROR(HistoricalFS!F17,0)</f>
        <v>2202.1400000000008</v>
      </c>
      <c r="J8" s="222">
        <f t="shared" si="1"/>
        <v>-0.11830462600395553</v>
      </c>
      <c r="L8" s="178">
        <v>4</v>
      </c>
      <c r="M8" s="178">
        <v>2025</v>
      </c>
      <c r="N8" s="221">
        <f>IFERROR(HistoricalFS!F42,0)</f>
        <v>9.1757603114596904</v>
      </c>
      <c r="O8" s="222">
        <f t="shared" si="2"/>
        <v>-0.14836779233784836</v>
      </c>
    </row>
    <row r="9" spans="1:15" ht="15" customHeight="1" x14ac:dyDescent="0.3">
      <c r="B9" s="178">
        <v>5</v>
      </c>
      <c r="C9" s="178">
        <v>2026</v>
      </c>
      <c r="D9" s="179">
        <f>HistoricalFS!G5</f>
        <v>13192.57</v>
      </c>
      <c r="E9" s="222">
        <f t="shared" si="0"/>
        <v>5.0105507482633538E-2</v>
      </c>
      <c r="G9" s="178">
        <v>5</v>
      </c>
      <c r="H9" s="178">
        <v>2026</v>
      </c>
      <c r="I9" s="179">
        <f>IFERROR(HistoricalFS!G17,0)</f>
        <v>2285.48</v>
      </c>
      <c r="J9" s="222">
        <f t="shared" si="1"/>
        <v>3.7845005313013269E-2</v>
      </c>
      <c r="L9" s="178">
        <v>5</v>
      </c>
      <c r="M9" s="178">
        <v>2026</v>
      </c>
      <c r="N9" s="221">
        <f>IFERROR(HistoricalFS!G42,0)</f>
        <v>9.6077690703050109</v>
      </c>
      <c r="O9" s="222">
        <f t="shared" si="2"/>
        <v>4.7081521768368439E-2</v>
      </c>
    </row>
    <row r="10" spans="1:15" ht="15" customHeight="1" x14ac:dyDescent="0.3">
      <c r="B10" s="223">
        <v>6</v>
      </c>
      <c r="C10" s="223">
        <v>2027</v>
      </c>
      <c r="D10" s="224">
        <f>FORECAST(B10,$D$5:$D$9,$B$5:$B$9)</f>
        <v>13807.941999999999</v>
      </c>
      <c r="E10" s="225">
        <f t="shared" si="0"/>
        <v>4.6645346585237002E-2</v>
      </c>
      <c r="G10" s="223">
        <v>6</v>
      </c>
      <c r="H10" s="223">
        <v>2027</v>
      </c>
      <c r="I10" s="224">
        <f>FORECAST(G10,$I$5:$I$9,$G$5:$G$9)</f>
        <v>2336.9230000000007</v>
      </c>
      <c r="J10" s="225">
        <f t="shared" si="1"/>
        <v>2.2508619633512694E-2</v>
      </c>
      <c r="L10" s="223">
        <v>6</v>
      </c>
      <c r="M10" s="223">
        <v>2027</v>
      </c>
      <c r="N10" s="226">
        <f>FORECAST(L10,$N$5:$N$9,$L$5:$L$9)</f>
        <v>9.6678282334578505</v>
      </c>
      <c r="O10" s="227">
        <f t="shared" si="2"/>
        <v>6.2511039465411589E-3</v>
      </c>
    </row>
    <row r="11" spans="1:15" ht="15" customHeight="1" x14ac:dyDescent="0.3">
      <c r="B11" s="223">
        <v>7</v>
      </c>
      <c r="C11" s="223">
        <v>2028</v>
      </c>
      <c r="D11" s="224">
        <f>FORECAST(B11,$D$5:$D$9,$B$5:$B$9)</f>
        <v>14372.039999999999</v>
      </c>
      <c r="E11" s="225">
        <f t="shared" si="0"/>
        <v>4.0853155379708239E-2</v>
      </c>
      <c r="G11" s="223">
        <v>7</v>
      </c>
      <c r="H11" s="223">
        <v>2028</v>
      </c>
      <c r="I11" s="224">
        <f>FORECAST(G11,$I$5:$I$9,$G$5:$G$9)</f>
        <v>2369.1600000000008</v>
      </c>
      <c r="J11" s="225">
        <f t="shared" si="1"/>
        <v>1.3794635082114315E-2</v>
      </c>
      <c r="L11" s="223">
        <v>7</v>
      </c>
      <c r="M11" s="223">
        <v>2028</v>
      </c>
      <c r="N11" s="226">
        <f>FORECAST(L11,$N$5:$N$9,$L$5:$L$9)</f>
        <v>9.6975204406744471</v>
      </c>
      <c r="O11" s="227">
        <f t="shared" si="2"/>
        <v>3.0712385966724653E-3</v>
      </c>
    </row>
    <row r="12" spans="1:15" ht="15" customHeight="1" x14ac:dyDescent="0.3">
      <c r="B12" s="223">
        <v>8</v>
      </c>
      <c r="C12" s="223">
        <v>2029</v>
      </c>
      <c r="D12" s="224">
        <f>FORECAST(B12,$D$5:$D$9,$B$5:$B$9)</f>
        <v>14936.137999999999</v>
      </c>
      <c r="E12" s="225">
        <f t="shared" si="0"/>
        <v>3.9249682021480492E-2</v>
      </c>
      <c r="G12" s="223">
        <v>8</v>
      </c>
      <c r="H12" s="223">
        <v>2029</v>
      </c>
      <c r="I12" s="224">
        <f>FORECAST(G12,$I$5:$I$9,$G$5:$G$9)</f>
        <v>2401.3970000000008</v>
      </c>
      <c r="J12" s="225">
        <f t="shared" si="1"/>
        <v>1.3606932414864437E-2</v>
      </c>
      <c r="L12" s="223">
        <v>8</v>
      </c>
      <c r="M12" s="223">
        <v>2029</v>
      </c>
      <c r="N12" s="226">
        <f>FORECAST(L12,$N$5:$N$9,$L$5:$L$9)</f>
        <v>9.7272126478910437</v>
      </c>
      <c r="O12" s="227">
        <f t="shared" si="2"/>
        <v>3.0618349709332637E-3</v>
      </c>
    </row>
    <row r="13" spans="1:15" ht="15" customHeight="1" x14ac:dyDescent="0.3">
      <c r="B13" s="223">
        <v>9</v>
      </c>
      <c r="C13" s="223">
        <v>2030</v>
      </c>
      <c r="D13" s="224">
        <f>FORECAST(B13,$D$5:$D$9,$B$5:$B$9)</f>
        <v>15500.235999999999</v>
      </c>
      <c r="E13" s="225">
        <f t="shared" si="0"/>
        <v>3.7767326466854989E-2</v>
      </c>
      <c r="G13" s="223">
        <v>9</v>
      </c>
      <c r="H13" s="223">
        <v>2030</v>
      </c>
      <c r="I13" s="224">
        <f>FORECAST(G13,$I$5:$I$9,$G$5:$G$9)</f>
        <v>2433.6340000000009</v>
      </c>
      <c r="J13" s="225">
        <f t="shared" si="1"/>
        <v>1.3424269289917579E-2</v>
      </c>
      <c r="L13" s="223">
        <v>9</v>
      </c>
      <c r="M13" s="223">
        <v>2030</v>
      </c>
      <c r="N13" s="226">
        <f>FORECAST(L13,$N$5:$N$9,$L$5:$L$9)</f>
        <v>9.7569048551076403</v>
      </c>
      <c r="O13" s="227">
        <f t="shared" si="2"/>
        <v>3.052488754117455E-3</v>
      </c>
    </row>
    <row r="14" spans="1:15" ht="15" customHeight="1" x14ac:dyDescent="0.3">
      <c r="B14" s="223">
        <v>10</v>
      </c>
      <c r="C14" s="223">
        <v>2031</v>
      </c>
      <c r="D14" s="224">
        <f>FORECAST(B14,$D$5:$D$9,$B$5:$B$9)</f>
        <v>16064.333999999999</v>
      </c>
      <c r="E14" s="225">
        <f t="shared" si="0"/>
        <v>3.6392865244116335E-2</v>
      </c>
      <c r="G14" s="223">
        <v>10</v>
      </c>
      <c r="H14" s="223">
        <v>2031</v>
      </c>
      <c r="I14" s="224">
        <f>FORECAST(G14,$I$5:$I$9,$G$5:$G$9)</f>
        <v>2465.871000000001</v>
      </c>
      <c r="J14" s="225">
        <f t="shared" si="1"/>
        <v>1.3246445439207388E-2</v>
      </c>
      <c r="L14" s="223">
        <v>10</v>
      </c>
      <c r="M14" s="223">
        <v>2031</v>
      </c>
      <c r="N14" s="226">
        <f>FORECAST(L14,$N$5:$N$9,$L$5:$L$9)</f>
        <v>9.7865970623242369</v>
      </c>
      <c r="O14" s="227">
        <f t="shared" si="2"/>
        <v>3.0431994221049585E-3</v>
      </c>
    </row>
    <row r="16" spans="1:15" ht="15" customHeight="1" x14ac:dyDescent="0.3">
      <c r="A16" s="2" t="s">
        <v>616</v>
      </c>
    </row>
    <row r="17" spans="16:16" ht="18" customHeight="1" x14ac:dyDescent="0.3"/>
    <row r="18" spans="16:16" ht="15" customHeight="1" x14ac:dyDescent="0.3"/>
    <row r="19" spans="16:16" ht="15" customHeight="1" x14ac:dyDescent="0.3"/>
    <row r="20" spans="16:16" ht="15" customHeight="1" x14ac:dyDescent="0.3"/>
    <row r="21" spans="16:16" ht="15" customHeight="1" x14ac:dyDescent="0.3"/>
    <row r="22" spans="16:16" ht="15" customHeight="1" x14ac:dyDescent="0.3"/>
    <row r="23" spans="16:16" ht="15" customHeight="1" x14ac:dyDescent="0.3"/>
    <row r="24" spans="16:16" ht="15" customHeight="1" x14ac:dyDescent="0.3"/>
    <row r="25" spans="16:16" ht="15" customHeight="1" x14ac:dyDescent="0.3"/>
    <row r="26" spans="16:16" ht="15" customHeight="1" x14ac:dyDescent="0.3">
      <c r="P26" s="228"/>
    </row>
  </sheetData>
  <mergeCells count="4">
    <mergeCell ref="B1:O1"/>
    <mergeCell ref="B3:E3"/>
    <mergeCell ref="G3:J3"/>
    <mergeCell ref="L3:O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19"/>
  <sheetViews>
    <sheetView showGridLines="0" zoomScale="68" zoomScaleNormal="67" workbookViewId="0">
      <selection activeCell="E24" sqref="E24"/>
    </sheetView>
  </sheetViews>
  <sheetFormatPr defaultColWidth="2.81640625" defaultRowHeight="14.5" x14ac:dyDescent="0.35"/>
  <cols>
    <col min="2" max="2" width="28.90625" customWidth="1"/>
    <col min="3" max="3" width="11.6328125" customWidth="1"/>
    <col min="4" max="13" width="11.08984375" customWidth="1"/>
    <col min="15" max="15" width="25.6328125" customWidth="1"/>
    <col min="16" max="16" width="9.36328125" customWidth="1"/>
  </cols>
  <sheetData>
    <row r="1" spans="2:18" ht="13" customHeight="1" x14ac:dyDescent="0.35"/>
    <row r="2" spans="2:18" ht="3.5" hidden="1" customHeight="1" x14ac:dyDescent="0.35"/>
    <row r="3" spans="2:18" ht="22.5" customHeight="1" x14ac:dyDescent="0.35">
      <c r="B3" s="486" t="s">
        <v>625</v>
      </c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  <c r="N3" s="485"/>
      <c r="O3" s="485"/>
      <c r="P3" s="485"/>
      <c r="Q3" s="485"/>
      <c r="R3" s="485"/>
    </row>
    <row r="4" spans="2:18" ht="14.25" customHeight="1" x14ac:dyDescent="0.35">
      <c r="B4" s="229" t="s">
        <v>626</v>
      </c>
      <c r="C4" s="230" t="s">
        <v>627</v>
      </c>
      <c r="D4" s="230" t="s">
        <v>628</v>
      </c>
      <c r="E4" s="230" t="s">
        <v>629</v>
      </c>
      <c r="F4" s="230" t="s">
        <v>630</v>
      </c>
      <c r="G4" s="230" t="s">
        <v>631</v>
      </c>
      <c r="H4" s="230" t="s">
        <v>632</v>
      </c>
      <c r="I4" s="230" t="s">
        <v>633</v>
      </c>
      <c r="J4" s="230" t="s">
        <v>634</v>
      </c>
      <c r="K4" s="230" t="s">
        <v>635</v>
      </c>
      <c r="L4" s="230" t="s">
        <v>636</v>
      </c>
      <c r="M4" s="230" t="s">
        <v>637</v>
      </c>
    </row>
    <row r="5" spans="2:18" ht="14.25" customHeight="1" x14ac:dyDescent="0.35">
      <c r="B5" s="231" t="s">
        <v>638</v>
      </c>
    </row>
    <row r="6" spans="2:18" ht="14.25" customHeight="1" x14ac:dyDescent="0.35">
      <c r="B6" s="189" t="s">
        <v>301</v>
      </c>
      <c r="C6" s="232">
        <f>HistoricalFS!G5</f>
        <v>13192.57</v>
      </c>
      <c r="D6" s="233">
        <f t="shared" ref="D6:M6" si="0">C6*(1+D7)</f>
        <v>13911.520670809992</v>
      </c>
      <c r="E6" s="233">
        <f t="shared" si="0"/>
        <v>14647.243929822636</v>
      </c>
      <c r="F6" s="233">
        <f t="shared" si="0"/>
        <v>15398.283712991377</v>
      </c>
      <c r="G6" s="233">
        <f t="shared" si="0"/>
        <v>16163.030592992656</v>
      </c>
      <c r="H6" s="233">
        <f t="shared" si="0"/>
        <v>16939.723790901313</v>
      </c>
      <c r="I6" s="233">
        <f t="shared" si="0"/>
        <v>17726.454516433809</v>
      </c>
      <c r="J6" s="233">
        <f t="shared" si="0"/>
        <v>18521.170676880243</v>
      </c>
      <c r="K6" s="233">
        <f t="shared" si="0"/>
        <v>19321.682981600352</v>
      </c>
      <c r="L6" s="233">
        <f t="shared" si="0"/>
        <v>20125.672454644839</v>
      </c>
      <c r="M6" s="233">
        <f t="shared" si="0"/>
        <v>20930.699352830634</v>
      </c>
      <c r="O6" s="234" t="s">
        <v>639</v>
      </c>
      <c r="P6" s="235">
        <f>Assumptions!I4</f>
        <v>5.44966349096494E-2</v>
      </c>
    </row>
    <row r="7" spans="2:18" ht="14.25" customHeight="1" x14ac:dyDescent="0.35">
      <c r="B7" s="236" t="s">
        <v>640</v>
      </c>
      <c r="C7" s="237"/>
      <c r="D7" s="238">
        <f>Assumptions!I4</f>
        <v>5.44966349096494E-2</v>
      </c>
      <c r="E7" s="238">
        <f t="shared" ref="E7:M7" si="1">D7-($P$9)</f>
        <v>5.2885897697466135E-2</v>
      </c>
      <c r="F7" s="238">
        <f t="shared" si="1"/>
        <v>5.127516048528287E-2</v>
      </c>
      <c r="G7" s="238">
        <f t="shared" si="1"/>
        <v>4.9664423273099605E-2</v>
      </c>
      <c r="H7" s="238">
        <f t="shared" si="1"/>
        <v>4.805368606091634E-2</v>
      </c>
      <c r="I7" s="238">
        <f t="shared" si="1"/>
        <v>4.6442948848733075E-2</v>
      </c>
      <c r="J7" s="238">
        <f t="shared" si="1"/>
        <v>4.483221163654981E-2</v>
      </c>
      <c r="K7" s="238">
        <f t="shared" si="1"/>
        <v>4.3221474424366545E-2</v>
      </c>
      <c r="L7" s="238">
        <f t="shared" si="1"/>
        <v>4.161073721218328E-2</v>
      </c>
      <c r="M7" s="238">
        <f t="shared" si="1"/>
        <v>4.0000000000000015E-2</v>
      </c>
      <c r="O7" s="239" t="s">
        <v>526</v>
      </c>
      <c r="P7" s="240">
        <v>0.04</v>
      </c>
      <c r="Q7" s="241"/>
      <c r="R7" s="241"/>
    </row>
    <row r="8" spans="2:18" ht="15" customHeight="1" x14ac:dyDescent="0.35">
      <c r="B8" s="231" t="s">
        <v>641</v>
      </c>
      <c r="C8" s="16"/>
      <c r="O8" s="242"/>
      <c r="P8" s="243">
        <f>P6-P7</f>
        <v>1.4496634909649399E-2</v>
      </c>
    </row>
    <row r="9" spans="2:18" ht="15" customHeight="1" x14ac:dyDescent="0.35">
      <c r="B9" s="189" t="s">
        <v>301</v>
      </c>
      <c r="C9" s="232">
        <f>IFERROR(HistoricalFS!G5,0)</f>
        <v>13192.57</v>
      </c>
      <c r="D9" s="233">
        <f t="shared" ref="D9:M9" si="2">C9*(1+D10)</f>
        <v>13844.386983324159</v>
      </c>
      <c r="E9" s="233">
        <f t="shared" si="2"/>
        <v>14513.93704278039</v>
      </c>
      <c r="F9" s="233">
        <f t="shared" si="2"/>
        <v>15200.696543255706</v>
      </c>
      <c r="G9" s="233">
        <f t="shared" si="2"/>
        <v>15904.062009785428</v>
      </c>
      <c r="H9" s="233">
        <f t="shared" si="2"/>
        <v>16623.348706134148</v>
      </c>
      <c r="I9" s="233">
        <f t="shared" si="2"/>
        <v>17357.789567867756</v>
      </c>
      <c r="J9" s="233">
        <f t="shared" si="2"/>
        <v>18106.534514122915</v>
      </c>
      <c r="K9" s="233">
        <f t="shared" si="2"/>
        <v>18868.65016070526</v>
      </c>
      <c r="L9" s="233">
        <f t="shared" si="2"/>
        <v>19643.119955305523</v>
      </c>
      <c r="M9" s="233">
        <f t="shared" si="2"/>
        <v>20428.844753517744</v>
      </c>
      <c r="O9" s="244" t="s">
        <v>642</v>
      </c>
      <c r="P9" s="245">
        <f>P8/9</f>
        <v>1.6107372121832665E-3</v>
      </c>
      <c r="R9" s="246"/>
    </row>
    <row r="10" spans="2:18" ht="14.25" customHeight="1" x14ac:dyDescent="0.35">
      <c r="B10" s="236" t="s">
        <v>640</v>
      </c>
      <c r="C10" s="237"/>
      <c r="D10" s="238">
        <f>Assumptions!C10</f>
        <v>4.9407885144756303E-2</v>
      </c>
      <c r="E10" s="238">
        <f t="shared" ref="E10:M10" si="3">D10-($P$14)</f>
        <v>4.8362564573116711E-2</v>
      </c>
      <c r="F10" s="238">
        <f t="shared" si="3"/>
        <v>4.7317244001477118E-2</v>
      </c>
      <c r="G10" s="238">
        <f t="shared" si="3"/>
        <v>4.6271923429837526E-2</v>
      </c>
      <c r="H10" s="238">
        <f t="shared" si="3"/>
        <v>4.5226602858197934E-2</v>
      </c>
      <c r="I10" s="238">
        <f t="shared" si="3"/>
        <v>4.4181282286558342E-2</v>
      </c>
      <c r="J10" s="238">
        <f t="shared" si="3"/>
        <v>4.313596171491875E-2</v>
      </c>
      <c r="K10" s="238">
        <f t="shared" si="3"/>
        <v>4.2090641143279157E-2</v>
      </c>
      <c r="L10" s="238">
        <f t="shared" si="3"/>
        <v>4.1045320571639565E-2</v>
      </c>
      <c r="M10" s="238">
        <f t="shared" si="3"/>
        <v>3.9999999999999973E-2</v>
      </c>
      <c r="O10" s="247"/>
      <c r="P10" s="2"/>
    </row>
    <row r="11" spans="2:18" ht="14.25" customHeight="1" x14ac:dyDescent="0.35">
      <c r="B11" s="231" t="s">
        <v>643</v>
      </c>
      <c r="C11" s="16"/>
      <c r="O11" s="234" t="s">
        <v>644</v>
      </c>
      <c r="P11" s="248">
        <f>Assumptions!C10</f>
        <v>4.9407885144756303E-2</v>
      </c>
    </row>
    <row r="12" spans="2:18" ht="14.25" customHeight="1" x14ac:dyDescent="0.35">
      <c r="B12" s="189" t="s">
        <v>301</v>
      </c>
      <c r="C12" s="232">
        <f>IFERROR(HistoricalFS!G5,0)</f>
        <v>13192.57</v>
      </c>
      <c r="D12" s="233">
        <f t="shared" ref="D12:M12" si="4">C12*(1+D13)</f>
        <v>13547.582525368238</v>
      </c>
      <c r="E12" s="233">
        <f t="shared" si="4"/>
        <v>13892.444297459886</v>
      </c>
      <c r="F12" s="233">
        <f t="shared" si="4"/>
        <v>14225.878997279049</v>
      </c>
      <c r="G12" s="233">
        <f t="shared" si="4"/>
        <v>14546.625820031117</v>
      </c>
      <c r="H12" s="233">
        <f t="shared" si="4"/>
        <v>14853.447227672759</v>
      </c>
      <c r="I12" s="233">
        <f t="shared" si="4"/>
        <v>15145.136740882794</v>
      </c>
      <c r="J12" s="233">
        <f t="shared" si="4"/>
        <v>15420.526703516989</v>
      </c>
      <c r="K12" s="233">
        <f t="shared" si="4"/>
        <v>15678.495951088731</v>
      </c>
      <c r="L12" s="233">
        <f t="shared" si="4"/>
        <v>15917.977314051988</v>
      </c>
      <c r="M12" s="233">
        <f t="shared" si="4"/>
        <v>16137.964886683412</v>
      </c>
      <c r="O12" s="239" t="s">
        <v>526</v>
      </c>
      <c r="P12" s="249">
        <f>P7</f>
        <v>0.04</v>
      </c>
      <c r="R12" s="246"/>
    </row>
    <row r="13" spans="2:18" ht="15" customHeight="1" x14ac:dyDescent="0.35">
      <c r="B13" s="236" t="s">
        <v>640</v>
      </c>
      <c r="C13" s="37"/>
      <c r="D13" s="238">
        <f>P16</f>
        <v>2.6910035373565448E-2</v>
      </c>
      <c r="E13" s="238">
        <f t="shared" ref="E13:M13" si="5">D13-(-$P$19)</f>
        <v>2.5455594859517164E-2</v>
      </c>
      <c r="F13" s="238">
        <f t="shared" si="5"/>
        <v>2.4001154345468879E-2</v>
      </c>
      <c r="G13" s="238">
        <f t="shared" si="5"/>
        <v>2.2546713831420595E-2</v>
      </c>
      <c r="H13" s="238">
        <f t="shared" si="5"/>
        <v>2.1092273317372311E-2</v>
      </c>
      <c r="I13" s="238">
        <f t="shared" si="5"/>
        <v>1.9637832803324026E-2</v>
      </c>
      <c r="J13" s="238">
        <f t="shared" si="5"/>
        <v>1.8183392289275742E-2</v>
      </c>
      <c r="K13" s="238">
        <f t="shared" si="5"/>
        <v>1.6728951775227457E-2</v>
      </c>
      <c r="L13" s="238">
        <f t="shared" si="5"/>
        <v>1.5274511261179173E-2</v>
      </c>
      <c r="M13" s="238">
        <f t="shared" si="5"/>
        <v>1.3820070747130889E-2</v>
      </c>
      <c r="O13" s="242"/>
      <c r="P13" s="250">
        <f>P11-P12</f>
        <v>9.4078851447563019E-3</v>
      </c>
    </row>
    <row r="14" spans="2:18" ht="15" customHeight="1" x14ac:dyDescent="0.35">
      <c r="O14" s="251" t="s">
        <v>642</v>
      </c>
      <c r="P14" s="252">
        <f>P13/9</f>
        <v>1.0453205716395892E-3</v>
      </c>
    </row>
    <row r="15" spans="2:18" ht="14.25" customHeight="1" x14ac:dyDescent="0.35">
      <c r="B15" s="253" t="s">
        <v>645</v>
      </c>
      <c r="C15" s="254">
        <v>1</v>
      </c>
      <c r="D15" s="255"/>
      <c r="E15" s="255"/>
      <c r="F15" s="255"/>
      <c r="G15" s="255"/>
      <c r="H15" s="255"/>
      <c r="I15" s="255"/>
      <c r="J15" s="255"/>
      <c r="K15" s="255"/>
      <c r="L15" s="255"/>
      <c r="M15" s="256"/>
      <c r="O15" s="247"/>
      <c r="P15" s="2"/>
      <c r="R15" s="246"/>
    </row>
    <row r="16" spans="2:18" ht="14.25" customHeight="1" x14ac:dyDescent="0.35">
      <c r="B16" s="257" t="s">
        <v>626</v>
      </c>
      <c r="C16" s="81" t="s">
        <v>646</v>
      </c>
      <c r="D16" s="81" t="s">
        <v>628</v>
      </c>
      <c r="E16" s="81" t="s">
        <v>629</v>
      </c>
      <c r="F16" s="81" t="s">
        <v>630</v>
      </c>
      <c r="G16" s="81" t="s">
        <v>647</v>
      </c>
      <c r="H16" s="81" t="s">
        <v>632</v>
      </c>
      <c r="I16" s="81" t="s">
        <v>633</v>
      </c>
      <c r="J16" s="81" t="s">
        <v>634</v>
      </c>
      <c r="K16" s="81" t="s">
        <v>635</v>
      </c>
      <c r="L16" s="81" t="s">
        <v>636</v>
      </c>
      <c r="M16" s="81" t="s">
        <v>637</v>
      </c>
      <c r="O16" s="234" t="s">
        <v>648</v>
      </c>
      <c r="P16" s="258">
        <f>Assumptions!C28</f>
        <v>2.6910035373565448E-2</v>
      </c>
    </row>
    <row r="17" spans="2:16" ht="14.25" customHeight="1" x14ac:dyDescent="0.35">
      <c r="B17" s="50" t="s">
        <v>301</v>
      </c>
      <c r="C17" s="259">
        <f>C6</f>
        <v>13192.57</v>
      </c>
      <c r="D17" s="259">
        <f t="shared" ref="D17:M17" si="6">C17*(1+D18)</f>
        <v>13911.520670809992</v>
      </c>
      <c r="E17" s="259">
        <f t="shared" si="6"/>
        <v>14647.243929822636</v>
      </c>
      <c r="F17" s="259">
        <f t="shared" si="6"/>
        <v>15398.283712991377</v>
      </c>
      <c r="G17" s="259">
        <f t="shared" si="6"/>
        <v>16163.030592992656</v>
      </c>
      <c r="H17" s="259">
        <f t="shared" si="6"/>
        <v>16939.723790901313</v>
      </c>
      <c r="I17" s="259">
        <f t="shared" si="6"/>
        <v>17726.454516433809</v>
      </c>
      <c r="J17" s="259">
        <f t="shared" si="6"/>
        <v>18521.170676880243</v>
      </c>
      <c r="K17" s="259">
        <f t="shared" si="6"/>
        <v>19321.682981600352</v>
      </c>
      <c r="L17" s="259">
        <f t="shared" si="6"/>
        <v>20125.672454644839</v>
      </c>
      <c r="M17" s="259">
        <f t="shared" si="6"/>
        <v>20930.699352830634</v>
      </c>
      <c r="O17" s="239" t="s">
        <v>526</v>
      </c>
      <c r="P17" s="258">
        <f>P12</f>
        <v>0.04</v>
      </c>
    </row>
    <row r="18" spans="2:16" ht="15" customHeight="1" x14ac:dyDescent="0.35">
      <c r="B18" s="50" t="s">
        <v>640</v>
      </c>
      <c r="C18" s="260"/>
      <c r="D18" s="261">
        <f t="shared" ref="D18:M18" si="7">CHOOSE($C$15,D7,D10,D13)</f>
        <v>5.44966349096494E-2</v>
      </c>
      <c r="E18" s="261">
        <f t="shared" si="7"/>
        <v>5.2885897697466135E-2</v>
      </c>
      <c r="F18" s="261">
        <f t="shared" si="7"/>
        <v>5.127516048528287E-2</v>
      </c>
      <c r="G18" s="261">
        <f t="shared" si="7"/>
        <v>4.9664423273099605E-2</v>
      </c>
      <c r="H18" s="261">
        <f t="shared" si="7"/>
        <v>4.805368606091634E-2</v>
      </c>
      <c r="I18" s="261">
        <f t="shared" si="7"/>
        <v>4.6442948848733075E-2</v>
      </c>
      <c r="J18" s="261">
        <f t="shared" si="7"/>
        <v>4.483221163654981E-2</v>
      </c>
      <c r="K18" s="261">
        <f t="shared" si="7"/>
        <v>4.3221474424366545E-2</v>
      </c>
      <c r="L18" s="261">
        <f t="shared" si="7"/>
        <v>4.161073721218328E-2</v>
      </c>
      <c r="M18" s="261">
        <f t="shared" si="7"/>
        <v>4.0000000000000015E-2</v>
      </c>
      <c r="O18" s="242"/>
      <c r="P18" s="262">
        <f>P16-P17</f>
        <v>-1.3089964626434553E-2</v>
      </c>
    </row>
    <row r="19" spans="2:16" ht="15" customHeight="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 s="251" t="s">
        <v>642</v>
      </c>
      <c r="P19" s="252">
        <f>P18/9</f>
        <v>-1.4544405140482835E-3</v>
      </c>
    </row>
  </sheetData>
  <mergeCells count="1">
    <mergeCell ref="B3:M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G33"/>
  <sheetViews>
    <sheetView showGridLines="0" zoomScale="95" zoomScaleNormal="107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J8" sqref="J8"/>
    </sheetView>
  </sheetViews>
  <sheetFormatPr defaultColWidth="8.6328125" defaultRowHeight="14.5" x14ac:dyDescent="0.35"/>
  <cols>
    <col min="1" max="1" width="3" customWidth="1"/>
    <col min="2" max="2" width="44" customWidth="1"/>
    <col min="3" max="3" width="11.81640625" customWidth="1"/>
    <col min="4" max="4" width="12.36328125" customWidth="1"/>
    <col min="5" max="5" width="9.81640625" customWidth="1"/>
    <col min="6" max="6" width="10.08984375" customWidth="1"/>
    <col min="7" max="7" width="11.36328125" customWidth="1"/>
  </cols>
  <sheetData>
    <row r="1" spans="2:7" ht="23.5" customHeight="1" x14ac:dyDescent="0.35">
      <c r="B1" s="487" t="s">
        <v>661</v>
      </c>
      <c r="C1" s="487"/>
      <c r="D1" s="487"/>
      <c r="E1" s="487"/>
      <c r="F1" s="487"/>
      <c r="G1" s="487"/>
    </row>
    <row r="2" spans="2:7" ht="15.75" customHeight="1" x14ac:dyDescent="0.35">
      <c r="B2" s="399"/>
      <c r="C2" s="399"/>
      <c r="D2" s="399"/>
      <c r="E2" s="399"/>
      <c r="F2" s="399"/>
      <c r="G2" s="399"/>
    </row>
    <row r="3" spans="2:7" ht="15.75" customHeight="1" x14ac:dyDescent="0.35">
      <c r="B3" s="396" t="s">
        <v>662</v>
      </c>
      <c r="C3" s="397"/>
      <c r="D3" s="397"/>
      <c r="E3" s="397"/>
      <c r="F3" s="397"/>
      <c r="G3" s="398"/>
    </row>
    <row r="4" spans="2:7" ht="15.75" customHeight="1" x14ac:dyDescent="0.35">
      <c r="B4" s="347" t="s">
        <v>441</v>
      </c>
      <c r="C4" s="348" t="s">
        <v>649</v>
      </c>
      <c r="D4" s="348" t="s">
        <v>650</v>
      </c>
      <c r="E4" s="348" t="s">
        <v>651</v>
      </c>
      <c r="F4" s="348" t="s">
        <v>652</v>
      </c>
      <c r="G4" s="348" t="s">
        <v>653</v>
      </c>
    </row>
    <row r="5" spans="2:7" ht="15.75" customHeight="1" x14ac:dyDescent="0.35">
      <c r="B5" s="344" t="s">
        <v>659</v>
      </c>
      <c r="C5" s="349">
        <f>HistoricalFS!C40</f>
        <v>176.79</v>
      </c>
      <c r="D5" s="349">
        <f>HistoricalFS!D40</f>
        <v>177.18</v>
      </c>
      <c r="E5" s="349">
        <f>HistoricalFS!E40</f>
        <v>177.2</v>
      </c>
      <c r="F5" s="349">
        <f>HistoricalFS!F40</f>
        <v>177.23</v>
      </c>
      <c r="G5" s="349">
        <f>HistoricalFS!G40</f>
        <v>177.37</v>
      </c>
    </row>
    <row r="6" spans="2:7" ht="15.75" customHeight="1" x14ac:dyDescent="0.35">
      <c r="B6" s="344" t="s">
        <v>737</v>
      </c>
      <c r="C6" s="350">
        <f>HistoricalFS!C45</f>
        <v>5.200011312857062</v>
      </c>
      <c r="D6" s="350">
        <f>HistoricalFS!D45</f>
        <v>5.2000225759115022</v>
      </c>
      <c r="E6" s="350">
        <f>HistoricalFS!E45</f>
        <v>5.5000000000000009</v>
      </c>
      <c r="F6" s="350">
        <f>HistoricalFS!F45</f>
        <v>8</v>
      </c>
      <c r="G6" s="350">
        <f>HistoricalFS!G45</f>
        <v>8.249985905169984</v>
      </c>
    </row>
    <row r="7" spans="2:7" ht="15.75" customHeight="1" x14ac:dyDescent="0.35">
      <c r="B7" s="344" t="s">
        <v>598</v>
      </c>
      <c r="C7" s="350">
        <f>HistoricalFS!C42</f>
        <v>9.7584705017252134</v>
      </c>
      <c r="D7" s="350">
        <f>HistoricalFS!D42</f>
        <v>8.5774353764533213</v>
      </c>
      <c r="E7" s="350">
        <f>HistoricalFS!E42</f>
        <v>10.774322799097069</v>
      </c>
      <c r="F7" s="350">
        <f>HistoricalFS!F42</f>
        <v>9.1757603114596904</v>
      </c>
      <c r="G7" s="350">
        <f>HistoricalFS!G42</f>
        <v>9.6077690703050109</v>
      </c>
    </row>
    <row r="8" spans="2:7" ht="15.75" customHeight="1" x14ac:dyDescent="0.35">
      <c r="B8" s="344" t="s">
        <v>601</v>
      </c>
      <c r="C8" s="346">
        <f>HistoricalFS!C46</f>
        <v>0.53287155112450713</v>
      </c>
      <c r="D8" s="346">
        <f>HistoricalFS!D46</f>
        <v>0.60624444810001665</v>
      </c>
      <c r="E8" s="346">
        <f>HistoricalFS!E46</f>
        <v>0.51047291811796491</v>
      </c>
      <c r="F8" s="346">
        <f>HistoricalFS!F46</f>
        <v>0.87186235564683701</v>
      </c>
      <c r="G8" s="346">
        <f>HistoricalFS!G46</f>
        <v>0.85867862193611999</v>
      </c>
    </row>
    <row r="9" spans="2:7" ht="15.75" customHeight="1" x14ac:dyDescent="0.35"/>
    <row r="10" spans="2:7" ht="15.75" customHeight="1" x14ac:dyDescent="0.35">
      <c r="B10" s="340" t="s">
        <v>736</v>
      </c>
      <c r="C10" s="340">
        <v>2022</v>
      </c>
      <c r="D10" s="340">
        <v>2023</v>
      </c>
      <c r="E10" s="351">
        <v>2024</v>
      </c>
      <c r="F10" s="351">
        <v>2025</v>
      </c>
      <c r="G10" s="340">
        <v>2026</v>
      </c>
    </row>
    <row r="11" spans="2:7" ht="15.75" customHeight="1" x14ac:dyDescent="0.35">
      <c r="B11" s="344" t="s">
        <v>654</v>
      </c>
      <c r="C11" s="345"/>
      <c r="D11" s="346">
        <f>(D6-C6)/C6</f>
        <v>2.1659672955644765E-6</v>
      </c>
      <c r="E11" s="346">
        <f>(E6-D6)/D6</f>
        <v>5.768771571841036E-2</v>
      </c>
      <c r="F11" s="346">
        <f>(F6-E6)/E6</f>
        <v>0.45454545454545431</v>
      </c>
      <c r="G11" s="346">
        <f>(G6-F6)/F6</f>
        <v>3.1248238146247997E-2</v>
      </c>
    </row>
    <row r="12" spans="2:7" ht="15.75" customHeight="1" x14ac:dyDescent="0.35">
      <c r="B12" s="344" t="s">
        <v>735</v>
      </c>
      <c r="C12" s="352">
        <f>(G6/C6)^(1/4)-1</f>
        <v>0.12230844157565435</v>
      </c>
      <c r="D12" s="342"/>
      <c r="E12" s="27"/>
      <c r="F12" s="27"/>
      <c r="G12" s="27"/>
    </row>
    <row r="13" spans="2:7" ht="15.75" customHeight="1" x14ac:dyDescent="0.35">
      <c r="B13" s="344" t="s">
        <v>734</v>
      </c>
      <c r="C13" s="352">
        <f>AVERAGE(D11:G11)</f>
        <v>0.13587089359435206</v>
      </c>
      <c r="D13" s="27"/>
      <c r="E13" s="27"/>
      <c r="F13" s="27"/>
      <c r="G13" s="27"/>
    </row>
    <row r="14" spans="2:7" ht="15.75" customHeight="1" x14ac:dyDescent="0.35">
      <c r="B14" s="344" t="s">
        <v>733</v>
      </c>
      <c r="C14" s="352">
        <f>Assumptions!C11</f>
        <v>4.9152314631399685E-2</v>
      </c>
      <c r="D14" s="343"/>
      <c r="E14" s="27"/>
      <c r="F14" s="27"/>
      <c r="G14" s="27"/>
    </row>
    <row r="15" spans="2:7" ht="15.75" customHeight="1" thickBot="1" x14ac:dyDescent="0.4">
      <c r="B15" s="353" t="s">
        <v>731</v>
      </c>
      <c r="C15" s="354">
        <f>HistoricalFS!G37/(HistoricalFS!G51+HistoricalFS!G52)*AVERAGE(HistoricalFS!C48:G48)</f>
        <v>4.8346502167528928E-2</v>
      </c>
      <c r="D15" s="342"/>
      <c r="E15" s="27"/>
      <c r="F15" s="27"/>
      <c r="G15" s="27"/>
    </row>
    <row r="16" spans="2:7" ht="15.75" customHeight="1" thickBot="1" x14ac:dyDescent="0.4">
      <c r="B16" s="355" t="s">
        <v>732</v>
      </c>
      <c r="C16" s="367">
        <f>C15</f>
        <v>4.8346502167528928E-2</v>
      </c>
      <c r="D16" s="342"/>
      <c r="E16" s="27"/>
      <c r="F16" s="27"/>
      <c r="G16" s="27"/>
    </row>
    <row r="17" spans="2:5" ht="15.75" customHeight="1" x14ac:dyDescent="0.35">
      <c r="B17" s="356" t="s">
        <v>524</v>
      </c>
      <c r="C17" s="368"/>
      <c r="D17" s="377"/>
      <c r="E17" s="264"/>
    </row>
    <row r="18" spans="2:5" ht="15.75" customHeight="1" x14ac:dyDescent="0.35">
      <c r="B18" s="344" t="s">
        <v>730</v>
      </c>
      <c r="C18" s="369">
        <f>WACC!K22</f>
        <v>7.0900000000000005E-2</v>
      </c>
      <c r="D18" s="378"/>
      <c r="E18" s="264"/>
    </row>
    <row r="19" spans="2:5" ht="15.75" customHeight="1" x14ac:dyDescent="0.35">
      <c r="B19" s="344" t="s">
        <v>729</v>
      </c>
      <c r="C19" s="369">
        <f>WACC!K23</f>
        <v>7.0000000000000007E-2</v>
      </c>
      <c r="D19" s="378"/>
      <c r="E19" s="264"/>
    </row>
    <row r="20" spans="2:5" ht="15.75" customHeight="1" x14ac:dyDescent="0.35">
      <c r="B20" s="344" t="s">
        <v>532</v>
      </c>
      <c r="C20" s="370">
        <f>WACC!K24</f>
        <v>0.50230482081637606</v>
      </c>
      <c r="D20" s="378"/>
    </row>
    <row r="21" spans="2:5" ht="15.75" customHeight="1" x14ac:dyDescent="0.35">
      <c r="B21" s="344" t="s">
        <v>524</v>
      </c>
      <c r="C21" s="369">
        <f>WACC!K25</f>
        <v>0.10606133745714633</v>
      </c>
      <c r="D21" s="378"/>
    </row>
    <row r="22" spans="2:5" ht="15.75" customHeight="1" thickBot="1" x14ac:dyDescent="0.4">
      <c r="B22" s="27"/>
      <c r="C22" s="27"/>
      <c r="D22" s="27"/>
    </row>
    <row r="23" spans="2:5" ht="15.75" customHeight="1" x14ac:dyDescent="0.35">
      <c r="B23" s="357" t="s">
        <v>656</v>
      </c>
      <c r="C23" s="371">
        <f>C21</f>
        <v>0.10606133745714633</v>
      </c>
      <c r="D23" s="27"/>
    </row>
    <row r="24" spans="2:5" ht="15.75" customHeight="1" x14ac:dyDescent="0.35">
      <c r="B24" s="358" t="s">
        <v>728</v>
      </c>
      <c r="C24" s="372">
        <v>6.7000000000000004E-2</v>
      </c>
      <c r="D24" s="27"/>
    </row>
    <row r="25" spans="2:5" ht="15.75" customHeight="1" thickBot="1" x14ac:dyDescent="0.4">
      <c r="B25" s="359" t="s">
        <v>727</v>
      </c>
      <c r="C25" s="373">
        <f>C21-C16</f>
        <v>5.7714835289617399E-2</v>
      </c>
      <c r="D25" s="378"/>
    </row>
    <row r="26" spans="2:5" ht="15.75" customHeight="1" x14ac:dyDescent="0.35"/>
    <row r="27" spans="2:5" ht="15.75" customHeight="1" x14ac:dyDescent="0.35">
      <c r="B27" s="340" t="s">
        <v>724</v>
      </c>
      <c r="C27" s="374"/>
      <c r="D27" s="341"/>
    </row>
    <row r="28" spans="2:5" ht="15.75" customHeight="1" x14ac:dyDescent="0.35">
      <c r="B28" s="366" t="s">
        <v>726</v>
      </c>
      <c r="C28" s="375">
        <f>HistoricalFS!G45</f>
        <v>8.249985905169984</v>
      </c>
      <c r="D28" s="379"/>
    </row>
    <row r="29" spans="2:5" ht="15.75" customHeight="1" x14ac:dyDescent="0.35">
      <c r="B29" s="366" t="s">
        <v>725</v>
      </c>
      <c r="C29" s="376">
        <f>C28*(1+C16)</f>
        <v>8.6488438666163674</v>
      </c>
      <c r="D29" s="379"/>
    </row>
    <row r="30" spans="2:5" ht="15.75" customHeight="1" thickBot="1" x14ac:dyDescent="0.4"/>
    <row r="31" spans="2:5" ht="15.75" customHeight="1" x14ac:dyDescent="0.35">
      <c r="B31" s="360" t="s">
        <v>723</v>
      </c>
      <c r="C31" s="361"/>
      <c r="D31" s="338"/>
    </row>
    <row r="32" spans="2:5" ht="15.75" customHeight="1" x14ac:dyDescent="0.35">
      <c r="B32" s="362" t="s">
        <v>721</v>
      </c>
      <c r="C32" s="363">
        <f>C29/(C21-C16)</f>
        <v>149.854778640809</v>
      </c>
    </row>
    <row r="33" spans="2:4" ht="15.75" customHeight="1" thickBot="1" x14ac:dyDescent="0.4">
      <c r="B33" s="364" t="s">
        <v>722</v>
      </c>
      <c r="C33" s="365">
        <v>451.05</v>
      </c>
      <c r="D33" s="339"/>
    </row>
  </sheetData>
  <mergeCells count="4">
    <mergeCell ref="B3:G3"/>
    <mergeCell ref="E2:G2"/>
    <mergeCell ref="B2:D2"/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1506-9D6D-43E5-AFD6-02E48F1FFC49}">
  <dimension ref="A1:U36"/>
  <sheetViews>
    <sheetView showGridLines="0" tabSelected="1" zoomScale="73" workbookViewId="0">
      <selection activeCell="P15" sqref="P15"/>
    </sheetView>
  </sheetViews>
  <sheetFormatPr defaultRowHeight="14.5" x14ac:dyDescent="0.35"/>
  <cols>
    <col min="1" max="1" width="52.36328125" bestFit="1" customWidth="1"/>
    <col min="2" max="12" width="10.08984375" bestFit="1" customWidth="1"/>
    <col min="14" max="14" width="8.81640625" bestFit="1" customWidth="1"/>
    <col min="16" max="16" width="25.7265625" bestFit="1" customWidth="1"/>
  </cols>
  <sheetData>
    <row r="1" spans="1:21" ht="31.5" customHeight="1" x14ac:dyDescent="0.35">
      <c r="A1" s="489" t="s">
        <v>666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8"/>
      <c r="N1" s="488"/>
      <c r="O1" s="488"/>
      <c r="P1" s="488"/>
      <c r="Q1" s="488"/>
      <c r="R1" s="268"/>
      <c r="S1" s="268"/>
      <c r="T1" s="268"/>
      <c r="U1" s="268"/>
    </row>
    <row r="2" spans="1:21" x14ac:dyDescent="0.35">
      <c r="C2" s="492">
        <v>1</v>
      </c>
      <c r="D2" s="492">
        <v>2</v>
      </c>
      <c r="E2" s="492">
        <v>3</v>
      </c>
      <c r="F2" s="492">
        <v>4</v>
      </c>
      <c r="G2" s="492">
        <v>5</v>
      </c>
      <c r="H2" s="492">
        <v>6</v>
      </c>
      <c r="I2" s="492">
        <v>7</v>
      </c>
      <c r="J2" s="492">
        <v>8</v>
      </c>
      <c r="K2" s="492">
        <v>9</v>
      </c>
      <c r="L2" s="492">
        <v>10</v>
      </c>
    </row>
    <row r="3" spans="1:21" x14ac:dyDescent="0.35">
      <c r="A3" s="490" t="s">
        <v>626</v>
      </c>
      <c r="B3" s="491" t="s">
        <v>667</v>
      </c>
      <c r="C3" s="491" t="s">
        <v>668</v>
      </c>
      <c r="D3" s="491" t="s">
        <v>669</v>
      </c>
      <c r="E3" s="491" t="s">
        <v>670</v>
      </c>
      <c r="F3" s="491" t="s">
        <v>671</v>
      </c>
      <c r="G3" s="491" t="s">
        <v>672</v>
      </c>
      <c r="H3" s="491" t="s">
        <v>673</v>
      </c>
      <c r="I3" s="491" t="s">
        <v>674</v>
      </c>
      <c r="J3" s="491" t="s">
        <v>675</v>
      </c>
      <c r="K3" s="491" t="s">
        <v>676</v>
      </c>
      <c r="L3" s="491" t="s">
        <v>677</v>
      </c>
      <c r="N3" s="269" t="s">
        <v>678</v>
      </c>
      <c r="O3" s="270"/>
      <c r="P3" s="271" t="s">
        <v>679</v>
      </c>
      <c r="Q3" s="269" t="s">
        <v>657</v>
      </c>
    </row>
    <row r="4" spans="1:21" x14ac:dyDescent="0.35">
      <c r="A4" s="272" t="s">
        <v>680</v>
      </c>
      <c r="N4" s="273"/>
      <c r="P4" s="274" t="s">
        <v>658</v>
      </c>
      <c r="Q4" s="275">
        <f>WACC!K44</f>
        <v>0.10581786111700342</v>
      </c>
    </row>
    <row r="5" spans="1:21" x14ac:dyDescent="0.35">
      <c r="A5" s="276" t="s">
        <v>621</v>
      </c>
      <c r="B5" s="277">
        <f>'Growth Scenarios'!C17</f>
        <v>13192.57</v>
      </c>
      <c r="C5" s="277">
        <f>'Growth Scenarios'!D17</f>
        <v>13911.520670809992</v>
      </c>
      <c r="D5" s="277">
        <f>'Growth Scenarios'!E17</f>
        <v>14647.243929822636</v>
      </c>
      <c r="E5" s="277">
        <f>'Growth Scenarios'!F17</f>
        <v>15398.283712991377</v>
      </c>
      <c r="F5" s="277">
        <f>'Growth Scenarios'!G17</f>
        <v>16163.030592992656</v>
      </c>
      <c r="G5" s="277">
        <f>'Growth Scenarios'!H17</f>
        <v>16939.723790901313</v>
      </c>
      <c r="H5" s="277">
        <f>'Growth Scenarios'!I17</f>
        <v>17726.454516433809</v>
      </c>
      <c r="I5" s="277">
        <f>'Growth Scenarios'!J17</f>
        <v>18521.170676880243</v>
      </c>
      <c r="J5" s="277">
        <f>'Growth Scenarios'!K17</f>
        <v>19321.682981600352</v>
      </c>
      <c r="K5" s="277">
        <f>'Growth Scenarios'!L17</f>
        <v>20125.672454644839</v>
      </c>
      <c r="L5" s="277">
        <f>'Growth Scenarios'!M17</f>
        <v>20930.699352830634</v>
      </c>
      <c r="N5" s="278">
        <f>L5*(1+Q5)</f>
        <v>22333.056209470284</v>
      </c>
      <c r="P5" s="279" t="s">
        <v>681</v>
      </c>
      <c r="Q5" s="280">
        <v>6.7000000000000004E-2</v>
      </c>
    </row>
    <row r="6" spans="1:21" x14ac:dyDescent="0.35">
      <c r="A6" s="281" t="s">
        <v>640</v>
      </c>
      <c r="B6" s="37"/>
      <c r="C6" s="282">
        <f>'Growth Scenarios'!D18</f>
        <v>5.44966349096494E-2</v>
      </c>
      <c r="D6" s="282">
        <f>'Growth Scenarios'!E18</f>
        <v>5.2885897697466135E-2</v>
      </c>
      <c r="E6" s="282">
        <f>'Growth Scenarios'!F18</f>
        <v>5.127516048528287E-2</v>
      </c>
      <c r="F6" s="282">
        <f>'Growth Scenarios'!G18</f>
        <v>4.9664423273099605E-2</v>
      </c>
      <c r="G6" s="282">
        <f>'Growth Scenarios'!H18</f>
        <v>4.805368606091634E-2</v>
      </c>
      <c r="H6" s="282">
        <f>'Growth Scenarios'!I18</f>
        <v>4.6442948848733075E-2</v>
      </c>
      <c r="I6" s="282">
        <f>'Growth Scenarios'!J18</f>
        <v>4.483221163654981E-2</v>
      </c>
      <c r="J6" s="282">
        <f>'Growth Scenarios'!K18</f>
        <v>4.3221474424366545E-2</v>
      </c>
      <c r="K6" s="282">
        <f>'Growth Scenarios'!L18</f>
        <v>4.161073721218328E-2</v>
      </c>
      <c r="L6" s="282">
        <f>'Growth Scenarios'!M18</f>
        <v>4.0000000000000015E-2</v>
      </c>
      <c r="M6" s="283"/>
      <c r="N6" s="284">
        <f>Q5</f>
        <v>6.7000000000000004E-2</v>
      </c>
      <c r="P6" s="285" t="s">
        <v>655</v>
      </c>
      <c r="Q6" s="286">
        <f>WACC!K22</f>
        <v>7.0900000000000005E-2</v>
      </c>
    </row>
    <row r="7" spans="1:21" x14ac:dyDescent="0.35">
      <c r="A7" s="272" t="s">
        <v>682</v>
      </c>
      <c r="N7" s="287"/>
      <c r="P7" s="288" t="s">
        <v>683</v>
      </c>
      <c r="Q7" s="289">
        <f>Q4*Q5</f>
        <v>7.0897966948392293E-3</v>
      </c>
    </row>
    <row r="8" spans="1:21" x14ac:dyDescent="0.35">
      <c r="A8" s="290" t="s">
        <v>684</v>
      </c>
      <c r="B8" s="291"/>
      <c r="C8" s="291">
        <f>AVERAGE(HistoricalFS!$C$18:$G$18)</f>
        <v>0.18538791067551338</v>
      </c>
      <c r="D8" s="291">
        <f>AVERAGE(HistoricalFS!$C$18:$G$18)</f>
        <v>0.18538791067551338</v>
      </c>
      <c r="E8" s="291">
        <f>AVERAGE(HistoricalFS!$C$18:$G$18)</f>
        <v>0.18538791067551338</v>
      </c>
      <c r="F8" s="291">
        <f>AVERAGE(HistoricalFS!$C$18:$G$18)</f>
        <v>0.18538791067551338</v>
      </c>
      <c r="G8" s="291">
        <f>AVERAGE(HistoricalFS!$C$18:$G$18)</f>
        <v>0.18538791067551338</v>
      </c>
      <c r="H8" s="291">
        <f>AVERAGE(HistoricalFS!$C$18:$G$18)</f>
        <v>0.18538791067551338</v>
      </c>
      <c r="I8" s="291">
        <f>AVERAGE(HistoricalFS!$C$18:$G$18)</f>
        <v>0.18538791067551338</v>
      </c>
      <c r="J8" s="291">
        <f>AVERAGE(HistoricalFS!$C$18:$G$18)</f>
        <v>0.18538791067551338</v>
      </c>
      <c r="K8" s="291">
        <f>AVERAGE(HistoricalFS!$C$18:$G$18)</f>
        <v>0.18538791067551338</v>
      </c>
      <c r="L8" s="291">
        <f>AVERAGE(HistoricalFS!$C$18:$G$18)</f>
        <v>0.18538791067551338</v>
      </c>
      <c r="M8" s="283"/>
      <c r="N8" s="292">
        <f>L8</f>
        <v>0.18538791067551338</v>
      </c>
      <c r="P8" s="293"/>
      <c r="Q8" s="294"/>
    </row>
    <row r="9" spans="1:21" x14ac:dyDescent="0.35">
      <c r="A9" s="276" t="s">
        <v>685</v>
      </c>
      <c r="B9" s="295"/>
      <c r="C9" s="277">
        <f t="shared" ref="C9:L9" si="0">C5*C8</f>
        <v>2579.0277514806808</v>
      </c>
      <c r="D9" s="277">
        <f t="shared" si="0"/>
        <v>2715.4219493044147</v>
      </c>
      <c r="E9" s="277">
        <f t="shared" si="0"/>
        <v>2854.6556455402579</v>
      </c>
      <c r="F9" s="277">
        <f t="shared" si="0"/>
        <v>2996.4304718193125</v>
      </c>
      <c r="G9" s="277">
        <f t="shared" si="0"/>
        <v>3140.4200010154814</v>
      </c>
      <c r="H9" s="277">
        <f t="shared" si="0"/>
        <v>3286.270366486182</v>
      </c>
      <c r="I9" s="277">
        <f t="shared" si="0"/>
        <v>3433.6011350514123</v>
      </c>
      <c r="J9" s="277">
        <f t="shared" si="0"/>
        <v>3582.0064386935132</v>
      </c>
      <c r="K9" s="277">
        <f t="shared" si="0"/>
        <v>3731.0563673063375</v>
      </c>
      <c r="L9" s="277">
        <f t="shared" si="0"/>
        <v>3880.2986219985914</v>
      </c>
      <c r="M9" s="296"/>
      <c r="N9" s="297">
        <f>N5*N8</f>
        <v>4140.2786296724962</v>
      </c>
      <c r="P9" s="293"/>
      <c r="Q9" s="294"/>
    </row>
    <row r="10" spans="1:21" x14ac:dyDescent="0.35">
      <c r="A10" s="290" t="s">
        <v>550</v>
      </c>
      <c r="B10" s="295"/>
      <c r="C10" s="295">
        <f>'DCF Valuation'!C9*Assumptions!$C$15</f>
        <v>644.75693787017019</v>
      </c>
      <c r="D10" s="295">
        <f>'DCF Valuation'!D9*Assumptions!$C$15</f>
        <v>678.85548732610368</v>
      </c>
      <c r="E10" s="295">
        <f>'DCF Valuation'!E9*Assumptions!$C$15</f>
        <v>713.66391138506447</v>
      </c>
      <c r="F10" s="295">
        <f>'DCF Valuation'!F9*Assumptions!$C$15</f>
        <v>749.10761795482813</v>
      </c>
      <c r="G10" s="295">
        <f>'DCF Valuation'!G9*Assumptions!$C$15</f>
        <v>785.10500025387034</v>
      </c>
      <c r="H10" s="295">
        <f>'DCF Valuation'!H9*Assumptions!$C$15</f>
        <v>821.56759162154549</v>
      </c>
      <c r="I10" s="295">
        <f>'DCF Valuation'!I9*Assumptions!$C$15</f>
        <v>858.40028376285306</v>
      </c>
      <c r="J10" s="295">
        <f>'DCF Valuation'!J9*Assumptions!$C$15</f>
        <v>895.50160967337831</v>
      </c>
      <c r="K10" s="295">
        <f>'DCF Valuation'!K9*Assumptions!$C$15</f>
        <v>932.76409182658438</v>
      </c>
      <c r="L10" s="295">
        <f>'DCF Valuation'!L9*Assumptions!$C$15</f>
        <v>970.07465549964786</v>
      </c>
      <c r="M10" s="296"/>
      <c r="N10" s="297">
        <f>25%*N9</f>
        <v>1035.0696574181241</v>
      </c>
    </row>
    <row r="11" spans="1:21" x14ac:dyDescent="0.35">
      <c r="A11" s="276" t="s">
        <v>686</v>
      </c>
      <c r="B11" s="295"/>
      <c r="C11" s="295">
        <f t="shared" ref="C11:L11" si="1">C9-C10</f>
        <v>1934.2708136105107</v>
      </c>
      <c r="D11" s="295">
        <f t="shared" si="1"/>
        <v>2036.5664619783111</v>
      </c>
      <c r="E11" s="295">
        <f t="shared" si="1"/>
        <v>2140.9917341551936</v>
      </c>
      <c r="F11" s="295">
        <f t="shared" si="1"/>
        <v>2247.3228538644844</v>
      </c>
      <c r="G11" s="295">
        <f t="shared" si="1"/>
        <v>2355.3150007616109</v>
      </c>
      <c r="H11" s="295">
        <f t="shared" si="1"/>
        <v>2464.7027748646365</v>
      </c>
      <c r="I11" s="295">
        <f t="shared" si="1"/>
        <v>2575.2008512885591</v>
      </c>
      <c r="J11" s="295">
        <f t="shared" si="1"/>
        <v>2686.5048290201348</v>
      </c>
      <c r="K11" s="295">
        <f t="shared" si="1"/>
        <v>2798.2922754797532</v>
      </c>
      <c r="L11" s="295">
        <f t="shared" si="1"/>
        <v>2910.2239664989438</v>
      </c>
      <c r="M11" s="295"/>
      <c r="N11" s="298">
        <f>N9-N10</f>
        <v>3105.2089722543724</v>
      </c>
    </row>
    <row r="12" spans="1:21" x14ac:dyDescent="0.35">
      <c r="A12" s="272" t="s">
        <v>687</v>
      </c>
      <c r="N12" s="273"/>
    </row>
    <row r="13" spans="1:21" x14ac:dyDescent="0.35">
      <c r="A13" s="281" t="s">
        <v>553</v>
      </c>
      <c r="B13" s="299"/>
      <c r="C13" s="297">
        <f>C5*FCFF!$C$21</f>
        <v>490.61430704002066</v>
      </c>
      <c r="D13" s="297">
        <f>D5*FCFF!$C$21</f>
        <v>516.56088509105246</v>
      </c>
      <c r="E13" s="297">
        <f>E5*FCFF!$C$21</f>
        <v>543.04762737451597</v>
      </c>
      <c r="F13" s="297">
        <f>F5*FCFF!$C$21</f>
        <v>570.01777459789639</v>
      </c>
      <c r="G13" s="297">
        <f>G5*FCFF!$C$21</f>
        <v>597.40922978756589</v>
      </c>
      <c r="H13" s="297">
        <f>H5*FCFF!$C$21</f>
        <v>625.15467608835081</v>
      </c>
      <c r="I13" s="297">
        <f>I5*FCFF!$C$21</f>
        <v>653.18174283232247</v>
      </c>
      <c r="J13" s="297">
        <f>J5*FCFF!$C$21</f>
        <v>681.41322082461295</v>
      </c>
      <c r="K13" s="297">
        <f>K5*FCFF!$C$21</f>
        <v>709.76732728925333</v>
      </c>
      <c r="L13" s="297">
        <f>L5*FCFF!$C$21</f>
        <v>738.15802038082359</v>
      </c>
      <c r="M13" s="296"/>
      <c r="N13" s="300"/>
      <c r="P13" s="293"/>
      <c r="Q13" s="294"/>
    </row>
    <row r="14" spans="1:21" x14ac:dyDescent="0.35">
      <c r="A14" s="301" t="s">
        <v>719</v>
      </c>
      <c r="B14" s="299">
        <f>'[1]Changes in Working Capital'!G7</f>
        <v>83.039999999999964</v>
      </c>
      <c r="C14" s="297">
        <f>C5*'Changes in Working Capital'!$C$12</f>
        <v>-180.33104662469006</v>
      </c>
      <c r="D14" s="297">
        <f>D5*'Changes in Working Capital'!$C$12</f>
        <v>-189.86801590816043</v>
      </c>
      <c r="E14" s="297">
        <f>E5*'Changes in Working Capital'!$C$12</f>
        <v>-199.60352889487359</v>
      </c>
      <c r="F14" s="297">
        <f>F5*'Changes in Working Capital'!$C$12</f>
        <v>-209.51672304071295</v>
      </c>
      <c r="G14" s="297">
        <f>G5*'Changes in Working Capital'!$C$12</f>
        <v>-219.58477387422334</v>
      </c>
      <c r="H14" s="297">
        <f>H5*'Changes in Working Capital'!$C$12</f>
        <v>-229.78293829522451</v>
      </c>
      <c r="I14" s="297">
        <f>I5*'Changes in Working Capital'!$C$12</f>
        <v>-240.08461561534429</v>
      </c>
      <c r="J14" s="297">
        <f>J5*'Changes in Working Capital'!$C$12</f>
        <v>-250.46142668884679</v>
      </c>
      <c r="K14" s="297">
        <f>K5*'Changes in Working Capital'!$C$12</f>
        <v>-260.88331129658491</v>
      </c>
      <c r="L14" s="297">
        <f>L5*'Changes in Working Capital'!$C$12</f>
        <v>-271.31864374844832</v>
      </c>
      <c r="M14" s="296"/>
      <c r="N14" s="297"/>
      <c r="P14" s="293"/>
      <c r="Q14" s="294"/>
    </row>
    <row r="15" spans="1:21" x14ac:dyDescent="0.35">
      <c r="A15" s="281" t="s">
        <v>554</v>
      </c>
      <c r="B15" s="299"/>
      <c r="C15" s="297">
        <f t="shared" ref="C15:L15" si="2">C14-B14</f>
        <v>-263.37104662469005</v>
      </c>
      <c r="D15" s="297">
        <f t="shared" si="2"/>
        <v>-9.5369692834703699</v>
      </c>
      <c r="E15" s="297">
        <f t="shared" si="2"/>
        <v>-9.7355129867131609</v>
      </c>
      <c r="F15" s="297">
        <f t="shared" si="2"/>
        <v>-9.9131941458393555</v>
      </c>
      <c r="G15" s="297">
        <f t="shared" si="2"/>
        <v>-10.068050833510398</v>
      </c>
      <c r="H15" s="297">
        <f t="shared" si="2"/>
        <v>-10.198164421001167</v>
      </c>
      <c r="I15" s="297">
        <f t="shared" si="2"/>
        <v>-10.301677320119779</v>
      </c>
      <c r="J15" s="297">
        <f t="shared" si="2"/>
        <v>-10.376811073502495</v>
      </c>
      <c r="K15" s="297">
        <f t="shared" si="2"/>
        <v>-10.421884607738122</v>
      </c>
      <c r="L15" s="297">
        <f t="shared" si="2"/>
        <v>-10.435332451863417</v>
      </c>
      <c r="M15" s="296"/>
      <c r="N15" s="297"/>
    </row>
    <row r="16" spans="1:21" x14ac:dyDescent="0.35">
      <c r="A16" s="302" t="s">
        <v>555</v>
      </c>
      <c r="B16" s="303"/>
      <c r="C16" s="304">
        <f t="shared" ref="C16:L16" si="3">IFERROR(C13+C15,0)</f>
        <v>227.24326041533061</v>
      </c>
      <c r="D16" s="304">
        <f t="shared" si="3"/>
        <v>507.02391580758206</v>
      </c>
      <c r="E16" s="304">
        <f t="shared" si="3"/>
        <v>533.31211438780281</v>
      </c>
      <c r="F16" s="304">
        <f t="shared" si="3"/>
        <v>560.10458045205701</v>
      </c>
      <c r="G16" s="304">
        <f t="shared" si="3"/>
        <v>587.34117895405552</v>
      </c>
      <c r="H16" s="304">
        <f t="shared" si="3"/>
        <v>614.95651166734967</v>
      </c>
      <c r="I16" s="304">
        <f t="shared" si="3"/>
        <v>642.88006551220269</v>
      </c>
      <c r="J16" s="304">
        <f t="shared" si="3"/>
        <v>671.03640975111045</v>
      </c>
      <c r="K16" s="304">
        <f t="shared" si="3"/>
        <v>699.34544268151524</v>
      </c>
      <c r="L16" s="304">
        <f t="shared" si="3"/>
        <v>727.72268792896011</v>
      </c>
      <c r="M16" s="296"/>
      <c r="N16" s="298">
        <f>N11*N19</f>
        <v>22.015300308274171</v>
      </c>
    </row>
    <row r="17" spans="1:17" x14ac:dyDescent="0.35">
      <c r="A17" s="272" t="s">
        <v>688</v>
      </c>
      <c r="N17" s="273"/>
    </row>
    <row r="18" spans="1:17" x14ac:dyDescent="0.35">
      <c r="A18" s="305" t="s">
        <v>557</v>
      </c>
      <c r="B18" s="306"/>
      <c r="C18" s="306">
        <f t="shared" ref="C18:L18" si="4">C11-C16</f>
        <v>1707.0275531951802</v>
      </c>
      <c r="D18" s="306">
        <f t="shared" si="4"/>
        <v>1529.5425461707291</v>
      </c>
      <c r="E18" s="306">
        <f t="shared" si="4"/>
        <v>1607.6796197673907</v>
      </c>
      <c r="F18" s="306">
        <f t="shared" si="4"/>
        <v>1687.2182734124274</v>
      </c>
      <c r="G18" s="306">
        <f t="shared" si="4"/>
        <v>1767.9738218075554</v>
      </c>
      <c r="H18" s="306">
        <f t="shared" si="4"/>
        <v>1849.7462631972867</v>
      </c>
      <c r="I18" s="306">
        <f t="shared" si="4"/>
        <v>1932.3207857763564</v>
      </c>
      <c r="J18" s="306">
        <f t="shared" si="4"/>
        <v>2015.4684192690243</v>
      </c>
      <c r="K18" s="306">
        <f t="shared" si="4"/>
        <v>2098.9468327982381</v>
      </c>
      <c r="L18" s="306">
        <f t="shared" si="4"/>
        <v>2182.5012785699837</v>
      </c>
      <c r="M18" s="307"/>
      <c r="N18" s="308">
        <f>N11-N16</f>
        <v>3083.1936719460982</v>
      </c>
    </row>
    <row r="19" spans="1:17" x14ac:dyDescent="0.35">
      <c r="A19" s="301" t="s">
        <v>559</v>
      </c>
      <c r="B19" s="37"/>
      <c r="C19" s="282">
        <f t="shared" ref="C19:L19" si="5">C16/C11</f>
        <v>0.11748264969741143</v>
      </c>
      <c r="D19" s="282">
        <f t="shared" si="5"/>
        <v>0.24896016175924915</v>
      </c>
      <c r="E19" s="282">
        <f t="shared" si="5"/>
        <v>0.24909583062834223</v>
      </c>
      <c r="F19" s="282">
        <f t="shared" si="5"/>
        <v>0.24923191587221399</v>
      </c>
      <c r="G19" s="282">
        <f t="shared" si="5"/>
        <v>0.24936841941062399</v>
      </c>
      <c r="H19" s="282">
        <f t="shared" si="5"/>
        <v>0.24950534317515166</v>
      </c>
      <c r="I19" s="282">
        <f t="shared" si="5"/>
        <v>0.24964268910928766</v>
      </c>
      <c r="J19" s="282">
        <f t="shared" si="5"/>
        <v>0.24978045916852554</v>
      </c>
      <c r="K19" s="282">
        <f t="shared" si="5"/>
        <v>0.24991865532045468</v>
      </c>
      <c r="L19" s="282">
        <f t="shared" si="5"/>
        <v>0.25005727954485396</v>
      </c>
      <c r="M19" s="283"/>
      <c r="N19" s="26">
        <f>Q7</f>
        <v>7.0897966948392293E-3</v>
      </c>
    </row>
    <row r="21" spans="1:17" x14ac:dyDescent="0.35">
      <c r="A21" s="272" t="s">
        <v>689</v>
      </c>
    </row>
    <row r="22" spans="1:17" x14ac:dyDescent="0.35">
      <c r="A22" s="302" t="s">
        <v>690</v>
      </c>
      <c r="L22" s="309">
        <f>N18/(Q4-Q5)</f>
        <v>79427.191071987341</v>
      </c>
      <c r="P22" s="293"/>
      <c r="Q22" s="310"/>
    </row>
    <row r="23" spans="1:17" x14ac:dyDescent="0.35">
      <c r="A23" s="281" t="s">
        <v>691</v>
      </c>
      <c r="C23" s="311">
        <f t="shared" ref="C23:L23" si="6">1/(1+$Q$4)^C2</f>
        <v>0.90430805574969164</v>
      </c>
      <c r="D23" s="311">
        <f t="shared" si="6"/>
        <v>0.81777305969378733</v>
      </c>
      <c r="E23" s="311">
        <f t="shared" si="6"/>
        <v>0.73951876565616537</v>
      </c>
      <c r="F23" s="311">
        <f t="shared" si="6"/>
        <v>0.66875277716093862</v>
      </c>
      <c r="G23" s="311">
        <f t="shared" si="6"/>
        <v>0.6047585236916152</v>
      </c>
      <c r="H23" s="311">
        <f t="shared" si="6"/>
        <v>0.54688800475761834</v>
      </c>
      <c r="I23" s="311">
        <f t="shared" si="6"/>
        <v>0.49455522829519005</v>
      </c>
      <c r="J23" s="311">
        <f t="shared" si="6"/>
        <v>0.44723027696046802</v>
      </c>
      <c r="K23" s="311">
        <f t="shared" si="6"/>
        <v>0.40443394223051693</v>
      </c>
      <c r="L23" s="311">
        <f t="shared" si="6"/>
        <v>0.36573287197766186</v>
      </c>
      <c r="M23" s="311"/>
    </row>
    <row r="24" spans="1:17" x14ac:dyDescent="0.35">
      <c r="A24" s="305" t="s">
        <v>692</v>
      </c>
      <c r="B24" s="308">
        <f>IFERROR(SUMPRODUCT(C18:L18,C23:L23),0)</f>
        <v>10696.655540777831</v>
      </c>
    </row>
    <row r="25" spans="1:17" x14ac:dyDescent="0.35">
      <c r="A25" s="305" t="s">
        <v>660</v>
      </c>
      <c r="B25" s="306">
        <f>IFERROR(L22*L23,0)</f>
        <v>29049.134703876432</v>
      </c>
    </row>
    <row r="27" spans="1:17" x14ac:dyDescent="0.35">
      <c r="A27" s="272" t="s">
        <v>693</v>
      </c>
    </row>
    <row r="28" spans="1:17" x14ac:dyDescent="0.35">
      <c r="A28" s="312" t="s">
        <v>694</v>
      </c>
      <c r="B28" s="313">
        <f>IFERROR(B24+B25,0)</f>
        <v>39745.790244654265</v>
      </c>
      <c r="P28" s="293"/>
      <c r="Q28" s="314"/>
    </row>
    <row r="29" spans="1:17" x14ac:dyDescent="0.35">
      <c r="A29" s="315" t="s">
        <v>695</v>
      </c>
      <c r="B29" s="299">
        <f>HistoricalFS!G65</f>
        <v>562.07000000000005</v>
      </c>
      <c r="P29" s="293"/>
      <c r="Q29" s="314"/>
    </row>
    <row r="30" spans="1:17" x14ac:dyDescent="0.35">
      <c r="A30" s="315" t="s">
        <v>696</v>
      </c>
      <c r="B30" s="299">
        <f>'Balance Sheet'!K6</f>
        <v>1287.32</v>
      </c>
      <c r="P30" s="293"/>
      <c r="Q30" s="314"/>
    </row>
    <row r="31" spans="1:17" x14ac:dyDescent="0.35">
      <c r="A31" s="315" t="s">
        <v>697</v>
      </c>
      <c r="B31" s="316">
        <v>26</v>
      </c>
    </row>
    <row r="32" spans="1:17" x14ac:dyDescent="0.35">
      <c r="A32" s="312" t="s">
        <v>698</v>
      </c>
      <c r="B32" s="313">
        <f>B28+B29-B30-B31</f>
        <v>38994.540244654265</v>
      </c>
      <c r="P32" s="293"/>
      <c r="Q32" s="314"/>
    </row>
    <row r="33" spans="1:21" x14ac:dyDescent="0.35">
      <c r="A33" s="315" t="s">
        <v>659</v>
      </c>
      <c r="B33" s="317">
        <f>'Data Sheet'!B6</f>
        <v>177.3690124985925</v>
      </c>
      <c r="P33" s="293"/>
      <c r="Q33" s="318"/>
    </row>
    <row r="34" spans="1:21" x14ac:dyDescent="0.35">
      <c r="A34" s="319" t="s">
        <v>699</v>
      </c>
      <c r="B34" s="320">
        <f>B32/B33</f>
        <v>219.84979053183659</v>
      </c>
      <c r="P34" s="293"/>
      <c r="Q34" s="318"/>
    </row>
    <row r="36" spans="1:21" x14ac:dyDescent="0.35">
      <c r="P36" s="400" t="s">
        <v>700</v>
      </c>
      <c r="Q36" s="400"/>
      <c r="R36" s="400"/>
      <c r="S36" s="400"/>
      <c r="T36" s="400"/>
      <c r="U36" s="400"/>
    </row>
  </sheetData>
  <mergeCells count="3">
    <mergeCell ref="P36:U36"/>
    <mergeCell ref="M1:Q1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Company Overview</vt:lpstr>
      <vt:lpstr>Promoters</vt:lpstr>
      <vt:lpstr>Public</vt:lpstr>
      <vt:lpstr>Balance Sheet</vt:lpstr>
      <vt:lpstr>Profit &amp; Loss</vt:lpstr>
      <vt:lpstr>Quarters</vt:lpstr>
      <vt:lpstr>Cash Flow</vt:lpstr>
      <vt:lpstr>Stock Analysis</vt:lpstr>
      <vt:lpstr>Ratio Analysis</vt:lpstr>
      <vt:lpstr>Data Sheet</vt:lpstr>
      <vt:lpstr>Peer Comps</vt:lpstr>
      <vt:lpstr>Fixed Asset Schedule</vt:lpstr>
      <vt:lpstr>Changes in Working Capital</vt:lpstr>
      <vt:lpstr>Beta Calculation</vt:lpstr>
      <vt:lpstr>Rm</vt:lpstr>
      <vt:lpstr>WACC</vt:lpstr>
      <vt:lpstr>FCFF</vt:lpstr>
      <vt:lpstr>Assumptions</vt:lpstr>
      <vt:lpstr>HistoricalFS</vt:lpstr>
      <vt:lpstr>Forecasting</vt:lpstr>
      <vt:lpstr>Growth Scenarios</vt:lpstr>
      <vt:lpstr>DDM Valuation</vt:lpstr>
      <vt:lpstr>DCF Valuation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dc:description/>
  <cp:lastModifiedBy>Naina Sinsinwar</cp:lastModifiedBy>
  <cp:revision>14</cp:revision>
  <cp:lastPrinted>2012-12-06T18:14:13Z</cp:lastPrinted>
  <dcterms:created xsi:type="dcterms:W3CDTF">2012-08-17T09:55:37Z</dcterms:created>
  <dcterms:modified xsi:type="dcterms:W3CDTF">2026-06-29T10:29:36Z</dcterms:modified>
  <dc:language>en-US</dc:language>
</cp:coreProperties>
</file>