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iaucdk-my.sharepoint.com/personal/281017_viauc_dk/Documents/skole/hus/Værktøjer/"/>
    </mc:Choice>
  </mc:AlternateContent>
  <xr:revisionPtr revIDLastSave="0" documentId="8_{023A8EE5-04A0-4293-898B-725681102A17}" xr6:coauthVersionLast="36" xr6:coauthVersionMax="36" xr10:uidLastSave="{00000000-0000-0000-0000-000000000000}"/>
  <bookViews>
    <workbookView xWindow="0" yWindow="0" windowWidth="6405" windowHeight="9600" xr2:uid="{00000000-000D-0000-FFFF-FFFF00000000}"/>
  </bookViews>
  <sheets>
    <sheet name="Formelsamling" sheetId="1" r:id="rId1"/>
    <sheet name="Ark1" sheetId="3" r:id="rId2"/>
    <sheet name="Forside" sheetId="2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M393" i="1" l="1"/>
  <c r="DQ393" i="1" s="1"/>
  <c r="DO393" i="1"/>
  <c r="DN393" i="1"/>
  <c r="EB395" i="1"/>
  <c r="DE395" i="1"/>
  <c r="DF395" i="1"/>
  <c r="DG395" i="1"/>
  <c r="DH395" i="1"/>
  <c r="DP393" i="1"/>
  <c r="DQ385" i="1"/>
  <c r="DH405" i="1" s="1"/>
  <c r="DF385" i="1"/>
  <c r="EF406" i="1"/>
  <c r="EE406" i="1"/>
  <c r="ED406" i="1" s="1"/>
  <c r="EB402" i="1"/>
  <c r="DF394" i="1"/>
  <c r="DE394" i="1"/>
  <c r="DG394" i="1"/>
  <c r="DH394" i="1"/>
  <c r="EB404" i="1"/>
  <c r="EB397" i="1"/>
  <c r="EB398" i="1" s="1"/>
  <c r="DG393" i="1"/>
  <c r="DF393" i="1"/>
  <c r="DE393" i="1"/>
  <c r="DH393" i="1"/>
  <c r="EB393" i="1"/>
  <c r="DR399" i="1"/>
  <c r="DR398" i="1"/>
  <c r="DR393" i="1"/>
  <c r="DR394" i="1"/>
  <c r="DR395" i="1"/>
  <c r="DR396" i="1"/>
  <c r="EB399" i="1"/>
  <c r="DE396" i="1"/>
  <c r="DF396" i="1"/>
  <c r="DG396" i="1"/>
  <c r="DH396" i="1"/>
  <c r="B394" i="1"/>
  <c r="BF1287" i="1"/>
  <c r="BX1285" i="1"/>
  <c r="BX1283" i="1"/>
  <c r="BX1281" i="1"/>
  <c r="BX1279" i="1"/>
  <c r="AD1287" i="1"/>
  <c r="AV1285" i="1"/>
  <c r="AV1283" i="1"/>
  <c r="AV1281" i="1"/>
  <c r="AV1279" i="1"/>
  <c r="D1814" i="1"/>
  <c r="F1807" i="1"/>
  <c r="D1849" i="1"/>
  <c r="F1842" i="1"/>
  <c r="D1808" i="1"/>
  <c r="D1804" i="1"/>
  <c r="D1839" i="1"/>
  <c r="I723" i="1"/>
  <c r="I93" i="1"/>
  <c r="R93" i="1"/>
  <c r="D1002" i="1"/>
  <c r="I1005" i="1" s="1"/>
  <c r="X59" i="1"/>
  <c r="L10" i="1" s="1"/>
  <c r="P22" i="1"/>
  <c r="X1713" i="1"/>
  <c r="X1714" i="1"/>
  <c r="X1715" i="1"/>
  <c r="X1716" i="1"/>
  <c r="W1726" i="1" s="1"/>
  <c r="X1717" i="1"/>
  <c r="X1718" i="1"/>
  <c r="X1719" i="1"/>
  <c r="X1720" i="1"/>
  <c r="X1721" i="1"/>
  <c r="X1722" i="1"/>
  <c r="X1723" i="1"/>
  <c r="X1724" i="1"/>
  <c r="X1487" i="1"/>
  <c r="X1488" i="1"/>
  <c r="X1489" i="1"/>
  <c r="X1490" i="1"/>
  <c r="X1491" i="1"/>
  <c r="X1492" i="1"/>
  <c r="X1493" i="1"/>
  <c r="W1500" i="1" s="1"/>
  <c r="X1494" i="1"/>
  <c r="X1495" i="1"/>
  <c r="X1496" i="1"/>
  <c r="X1497" i="1"/>
  <c r="X1498" i="1"/>
  <c r="I1561" i="1"/>
  <c r="I1562" i="1"/>
  <c r="X1543" i="1" s="1"/>
  <c r="W1556" i="1" s="1"/>
  <c r="I1563" i="1"/>
  <c r="I1564" i="1"/>
  <c r="I1565" i="1"/>
  <c r="I1566" i="1"/>
  <c r="X1544" i="1"/>
  <c r="X1545" i="1"/>
  <c r="X1546" i="1"/>
  <c r="X1547" i="1"/>
  <c r="X1548" i="1"/>
  <c r="X1549" i="1"/>
  <c r="X1550" i="1"/>
  <c r="X1551" i="1"/>
  <c r="X1552" i="1"/>
  <c r="X1553" i="1"/>
  <c r="X1554" i="1"/>
  <c r="Z1719" i="1"/>
  <c r="Z1718" i="1"/>
  <c r="Z1717" i="1"/>
  <c r="Z1716" i="1"/>
  <c r="X1432" i="1"/>
  <c r="W1445" i="1" s="1"/>
  <c r="X1433" i="1"/>
  <c r="X1434" i="1"/>
  <c r="X1435" i="1"/>
  <c r="X1436" i="1"/>
  <c r="X1437" i="1"/>
  <c r="X1438" i="1"/>
  <c r="X1439" i="1"/>
  <c r="X1440" i="1"/>
  <c r="X1441" i="1"/>
  <c r="X1442" i="1"/>
  <c r="X1443" i="1"/>
  <c r="Z1437" i="1"/>
  <c r="I1617" i="1"/>
  <c r="I1618" i="1"/>
  <c r="X1599" i="1" s="1"/>
  <c r="W1612" i="1" s="1"/>
  <c r="I1619" i="1"/>
  <c r="I1620" i="1"/>
  <c r="I1621" i="1"/>
  <c r="I1622" i="1"/>
  <c r="X1600" i="1"/>
  <c r="X1601" i="1"/>
  <c r="X1602" i="1"/>
  <c r="X1603" i="1"/>
  <c r="X1604" i="1"/>
  <c r="X1605" i="1"/>
  <c r="X1606" i="1"/>
  <c r="X1607" i="1"/>
  <c r="X1608" i="1"/>
  <c r="X1609" i="1"/>
  <c r="X1610" i="1"/>
  <c r="P21" i="1"/>
  <c r="M1635" i="1"/>
  <c r="K1635" i="1"/>
  <c r="Z1602" i="1"/>
  <c r="E1622" i="1"/>
  <c r="B1622" i="1"/>
  <c r="E1621" i="1"/>
  <c r="B1621" i="1"/>
  <c r="E1620" i="1"/>
  <c r="B1620" i="1"/>
  <c r="E1619" i="1"/>
  <c r="B1619" i="1"/>
  <c r="E1618" i="1"/>
  <c r="B1618" i="1"/>
  <c r="E1617" i="1"/>
  <c r="B1617" i="1"/>
  <c r="Z1605" i="1"/>
  <c r="Z1604" i="1"/>
  <c r="Z1603" i="1"/>
  <c r="T1283" i="1"/>
  <c r="T1281" i="1"/>
  <c r="T1279" i="1"/>
  <c r="P19" i="1"/>
  <c r="P20" i="1"/>
  <c r="Z1546" i="1"/>
  <c r="E1566" i="1"/>
  <c r="B1566" i="1"/>
  <c r="E1565" i="1"/>
  <c r="B1565" i="1"/>
  <c r="E1564" i="1"/>
  <c r="B1564" i="1"/>
  <c r="E1563" i="1"/>
  <c r="B1563" i="1"/>
  <c r="E1562" i="1"/>
  <c r="B1562" i="1"/>
  <c r="E1561" i="1"/>
  <c r="B1561" i="1"/>
  <c r="Z1549" i="1"/>
  <c r="Z1548" i="1"/>
  <c r="Z1547" i="1"/>
  <c r="P18" i="1"/>
  <c r="I1505" i="1"/>
  <c r="I1506" i="1"/>
  <c r="I1507" i="1"/>
  <c r="I1508" i="1"/>
  <c r="I1509" i="1"/>
  <c r="I1510" i="1"/>
  <c r="Z1490" i="1"/>
  <c r="E1510" i="1"/>
  <c r="B1510" i="1"/>
  <c r="E1509" i="1"/>
  <c r="B1509" i="1"/>
  <c r="E1508" i="1"/>
  <c r="B1508" i="1"/>
  <c r="E1507" i="1"/>
  <c r="B1507" i="1"/>
  <c r="E1506" i="1"/>
  <c r="B1506" i="1"/>
  <c r="E1505" i="1"/>
  <c r="B1505" i="1"/>
  <c r="Z1493" i="1"/>
  <c r="Z1492" i="1"/>
  <c r="Z1491" i="1"/>
  <c r="P27" i="1"/>
  <c r="D1850" i="1"/>
  <c r="G1849" i="1"/>
  <c r="B1846" i="1"/>
  <c r="D1843" i="1"/>
  <c r="P26" i="1"/>
  <c r="P25" i="1"/>
  <c r="D1815" i="1"/>
  <c r="G1814" i="1"/>
  <c r="B1811" i="1"/>
  <c r="N1781" i="1"/>
  <c r="N1780" i="1"/>
  <c r="N1782" i="1" s="1"/>
  <c r="N1785" i="1" s="1"/>
  <c r="R1785" i="1" s="1"/>
  <c r="N1779" i="1"/>
  <c r="N1778" i="1"/>
  <c r="N1777" i="1"/>
  <c r="N1776" i="1"/>
  <c r="N1775" i="1"/>
  <c r="S1775" i="1"/>
  <c r="U1775" i="1"/>
  <c r="X1775" i="1" s="1"/>
  <c r="N1774" i="1"/>
  <c r="S1774" i="1" s="1"/>
  <c r="U1774" i="1" s="1"/>
  <c r="X1774" i="1" s="1"/>
  <c r="N1773" i="1"/>
  <c r="S1773" i="1"/>
  <c r="U1773" i="1"/>
  <c r="X1773" i="1" s="1"/>
  <c r="N1772" i="1"/>
  <c r="S1772" i="1" s="1"/>
  <c r="U1772" i="1" s="1"/>
  <c r="X1772" i="1" s="1"/>
  <c r="H1782" i="1"/>
  <c r="N1786" i="1"/>
  <c r="Z1436" i="1"/>
  <c r="Z1438" i="1"/>
  <c r="Z1435" i="1"/>
  <c r="X1377" i="1"/>
  <c r="X1378" i="1"/>
  <c r="X1379" i="1"/>
  <c r="X1380" i="1"/>
  <c r="W1397" i="1" s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5" i="1"/>
  <c r="X1396" i="1"/>
  <c r="H1388" i="1"/>
  <c r="H1382" i="1"/>
  <c r="H1378" i="1"/>
  <c r="H1386" i="1"/>
  <c r="H1379" i="1"/>
  <c r="H1380" i="1"/>
  <c r="H1381" i="1"/>
  <c r="H1383" i="1"/>
  <c r="H1384" i="1"/>
  <c r="H1385" i="1"/>
  <c r="H1387" i="1"/>
  <c r="H1377" i="1"/>
  <c r="G1389" i="1" s="1"/>
  <c r="P14" i="1"/>
  <c r="P12" i="1"/>
  <c r="B48" i="1"/>
  <c r="B39" i="1"/>
  <c r="B28" i="1"/>
  <c r="B13" i="1"/>
  <c r="P11" i="1"/>
  <c r="P10" i="1"/>
  <c r="P9" i="1"/>
  <c r="S1327" i="1"/>
  <c r="I1327" i="1"/>
  <c r="P1327" i="1"/>
  <c r="M1327" i="1"/>
  <c r="G1327" i="1"/>
  <c r="C1327" i="1"/>
  <c r="L1304" i="1"/>
  <c r="K1303" i="1"/>
  <c r="K1302" i="1"/>
  <c r="T1285" i="1"/>
  <c r="Y1257" i="1"/>
  <c r="C1260" i="1" s="1"/>
  <c r="Y1258" i="1"/>
  <c r="V1275" i="1" s="1"/>
  <c r="B1287" i="1"/>
  <c r="Y1260" i="1"/>
  <c r="M1267" i="1" s="1"/>
  <c r="Y1259" i="1"/>
  <c r="N1261" i="1" s="1"/>
  <c r="B53" i="1"/>
  <c r="I114" i="1"/>
  <c r="K114" i="1"/>
  <c r="I113" i="1"/>
  <c r="K113" i="1"/>
  <c r="I112" i="1"/>
  <c r="K112" i="1"/>
  <c r="I111" i="1"/>
  <c r="K111" i="1" s="1"/>
  <c r="K115" i="1" s="1"/>
  <c r="I110" i="1"/>
  <c r="K110" i="1"/>
  <c r="I109" i="1"/>
  <c r="K109" i="1"/>
  <c r="I108" i="1"/>
  <c r="K108" i="1"/>
  <c r="U1198" i="1"/>
  <c r="X1199" i="1" s="1"/>
  <c r="C1202" i="1"/>
  <c r="C1201" i="1"/>
  <c r="X1116" i="1"/>
  <c r="P1128" i="1" s="1"/>
  <c r="X1117" i="1"/>
  <c r="U1128" i="1"/>
  <c r="D1133" i="1" s="1"/>
  <c r="S1122" i="1"/>
  <c r="O1119" i="1"/>
  <c r="J1122" i="1"/>
  <c r="I1124" i="1"/>
  <c r="H1007" i="1"/>
  <c r="G1138" i="1"/>
  <c r="F1135" i="1"/>
  <c r="G904" i="1"/>
  <c r="N1119" i="1"/>
  <c r="L1119" i="1"/>
  <c r="L1120" i="1"/>
  <c r="J1022" i="1"/>
  <c r="M1024" i="1"/>
  <c r="B47" i="1"/>
  <c r="J1025" i="1"/>
  <c r="J1024" i="1"/>
  <c r="L1024" i="1"/>
  <c r="B1001" i="1"/>
  <c r="B1018" i="1"/>
  <c r="B46" i="1"/>
  <c r="B26" i="1"/>
  <c r="B25" i="1"/>
  <c r="B45" i="1"/>
  <c r="B40" i="1"/>
  <c r="B33" i="1"/>
  <c r="B44" i="1"/>
  <c r="B898" i="1"/>
  <c r="B878" i="1"/>
  <c r="B833" i="1"/>
  <c r="B818" i="1"/>
  <c r="B750" i="1"/>
  <c r="B721" i="1"/>
  <c r="B696" i="1"/>
  <c r="B667" i="1"/>
  <c r="B646" i="1"/>
  <c r="B624" i="1"/>
  <c r="B602" i="1"/>
  <c r="B582" i="1"/>
  <c r="B564" i="1"/>
  <c r="B543" i="1"/>
  <c r="B529" i="1"/>
  <c r="B505" i="1"/>
  <c r="B481" i="1"/>
  <c r="B464" i="1"/>
  <c r="B446" i="1"/>
  <c r="B424" i="1"/>
  <c r="B378" i="1"/>
  <c r="B340" i="1"/>
  <c r="B320" i="1"/>
  <c r="B293" i="1"/>
  <c r="B228" i="1"/>
  <c r="B197" i="1"/>
  <c r="B140" i="1"/>
  <c r="J90" i="1"/>
  <c r="B84" i="1"/>
  <c r="J380" i="1"/>
  <c r="S630" i="1"/>
  <c r="P651" i="1"/>
  <c r="J654" i="1" s="1"/>
  <c r="I724" i="1"/>
  <c r="G884" i="1"/>
  <c r="E904" i="1"/>
  <c r="B42" i="1"/>
  <c r="E884" i="1"/>
  <c r="B41" i="1"/>
  <c r="G840" i="1"/>
  <c r="E840" i="1"/>
  <c r="T825" i="1"/>
  <c r="T826" i="1"/>
  <c r="G828" i="1"/>
  <c r="E828" i="1"/>
  <c r="G826" i="1"/>
  <c r="G825" i="1"/>
  <c r="H761" i="1"/>
  <c r="H760" i="1"/>
  <c r="T760" i="1"/>
  <c r="T761" i="1"/>
  <c r="T757" i="1"/>
  <c r="H762" i="1" s="1"/>
  <c r="L765" i="1"/>
  <c r="H757" i="1"/>
  <c r="O669" i="1"/>
  <c r="G698" i="1"/>
  <c r="Y274" i="1"/>
  <c r="Y276" i="1"/>
  <c r="B38" i="1"/>
  <c r="B37" i="1"/>
  <c r="B36" i="1"/>
  <c r="Y234" i="1"/>
  <c r="Y232" i="1"/>
  <c r="Y233" i="1"/>
  <c r="Y271" i="1"/>
  <c r="Y273" i="1"/>
  <c r="H214" i="1"/>
  <c r="Y231" i="1"/>
  <c r="Y230" i="1"/>
  <c r="Y275" i="1"/>
  <c r="Y272" i="1"/>
  <c r="L270" i="1"/>
  <c r="H273" i="1"/>
  <c r="H271" i="1"/>
  <c r="H229" i="1"/>
  <c r="H231" i="1"/>
  <c r="H233" i="1"/>
  <c r="H275" i="1"/>
  <c r="B34" i="1"/>
  <c r="B32" i="1"/>
  <c r="L669" i="1"/>
  <c r="W669" i="1"/>
  <c r="K652" i="1"/>
  <c r="K651" i="1"/>
  <c r="I630" i="1"/>
  <c r="J648" i="1"/>
  <c r="O603" i="1"/>
  <c r="L630" i="1"/>
  <c r="S626" i="1"/>
  <c r="L626" i="1"/>
  <c r="I626" i="1"/>
  <c r="B31" i="1"/>
  <c r="L603" i="1"/>
  <c r="I586" i="1"/>
  <c r="K584" i="1"/>
  <c r="I584" i="1"/>
  <c r="I567" i="1"/>
  <c r="B30" i="1"/>
  <c r="B29" i="1"/>
  <c r="R567" i="1"/>
  <c r="L567" i="1"/>
  <c r="B27" i="1"/>
  <c r="K546" i="1"/>
  <c r="R546" i="1"/>
  <c r="I546" i="1"/>
  <c r="O530" i="1"/>
  <c r="K530" i="1"/>
  <c r="B24" i="1"/>
  <c r="B23" i="1"/>
  <c r="B22" i="1"/>
  <c r="R507" i="1"/>
  <c r="K507" i="1"/>
  <c r="I507" i="1"/>
  <c r="P482" i="1"/>
  <c r="M482" i="1"/>
  <c r="R466" i="1"/>
  <c r="K466" i="1"/>
  <c r="M447" i="1"/>
  <c r="I466" i="1"/>
  <c r="P447" i="1"/>
  <c r="K447" i="1"/>
  <c r="B21" i="1"/>
  <c r="J426" i="1"/>
  <c r="K323" i="1"/>
  <c r="B20" i="1"/>
  <c r="B19" i="1"/>
  <c r="B17" i="1"/>
  <c r="J342" i="1"/>
  <c r="B16" i="1"/>
  <c r="O321" i="1"/>
  <c r="K321" i="1"/>
  <c r="Q321" i="1"/>
  <c r="N323" i="1" s="1"/>
  <c r="T323" i="1"/>
  <c r="P323" i="1"/>
  <c r="N324" i="1"/>
  <c r="D323" i="1"/>
  <c r="D324" i="1" s="1"/>
  <c r="B15" i="1"/>
  <c r="B14" i="1"/>
  <c r="H294" i="1"/>
  <c r="O206" i="1"/>
  <c r="O207" i="1"/>
  <c r="B12" i="1"/>
  <c r="O199" i="1"/>
  <c r="O202" i="1"/>
  <c r="B11" i="1"/>
  <c r="Q147" i="1"/>
  <c r="H147" i="1"/>
  <c r="Q148" i="1"/>
  <c r="H148" i="1"/>
  <c r="Q149" i="1"/>
  <c r="H149" i="1"/>
  <c r="J142" i="1"/>
  <c r="B10" i="1"/>
  <c r="J93" i="1"/>
  <c r="J86" i="1"/>
  <c r="B9" i="1"/>
  <c r="Y229" i="1"/>
  <c r="M1126" i="1"/>
  <c r="F1132" i="1"/>
  <c r="J94" i="1"/>
  <c r="P1130" i="1"/>
  <c r="L9" i="1"/>
  <c r="X120" i="1"/>
  <c r="L11" i="1" s="1"/>
  <c r="X179" i="1"/>
  <c r="L13" i="1" s="1"/>
  <c r="G1518" i="1" l="1"/>
  <c r="O1532" i="1"/>
  <c r="O1517" i="1"/>
  <c r="O1529" i="1"/>
  <c r="G1522" i="1"/>
  <c r="O1531" i="1"/>
  <c r="O1521" i="1"/>
  <c r="G1521" i="1"/>
  <c r="O1528" i="1"/>
  <c r="O1519" i="1"/>
  <c r="O1522" i="1"/>
  <c r="G1519" i="1"/>
  <c r="Q1528" i="1"/>
  <c r="O1533" i="1"/>
  <c r="O1530" i="1"/>
  <c r="O1520" i="1"/>
  <c r="O1518" i="1"/>
  <c r="G1520" i="1"/>
  <c r="G1517" i="1"/>
  <c r="G1735" i="1"/>
  <c r="G1737" i="1"/>
  <c r="O1736" i="1"/>
  <c r="U1749" i="1"/>
  <c r="O1738" i="1"/>
  <c r="O1739" i="1"/>
  <c r="G1739" i="1"/>
  <c r="O1734" i="1"/>
  <c r="G1734" i="1"/>
  <c r="G1738" i="1"/>
  <c r="U1747" i="1"/>
  <c r="O1735" i="1"/>
  <c r="O1737" i="1"/>
  <c r="U1751" i="1"/>
  <c r="U1752" i="1"/>
  <c r="U1750" i="1"/>
  <c r="G1736" i="1"/>
  <c r="U1748" i="1"/>
  <c r="V1783" i="1"/>
  <c r="O1573" i="1"/>
  <c r="S1586" i="1"/>
  <c r="O1577" i="1"/>
  <c r="S1588" i="1"/>
  <c r="G1574" i="1"/>
  <c r="O1574" i="1"/>
  <c r="G1573" i="1"/>
  <c r="S1589" i="1"/>
  <c r="G1578" i="1"/>
  <c r="O1576" i="1"/>
  <c r="G1576" i="1"/>
  <c r="G1577" i="1"/>
  <c r="S1587" i="1"/>
  <c r="O1578" i="1"/>
  <c r="G1575" i="1"/>
  <c r="O1575" i="1"/>
  <c r="S1590" i="1"/>
  <c r="S1585" i="1"/>
  <c r="EB396" i="1"/>
  <c r="Y1622" i="1"/>
  <c r="Q1620" i="1"/>
  <c r="Y1620" i="1"/>
  <c r="Y1623" i="1"/>
  <c r="M1630" i="1"/>
  <c r="Y1625" i="1"/>
  <c r="Q1623" i="1"/>
  <c r="Q1621" i="1"/>
  <c r="Q1622" i="1"/>
  <c r="Y1621" i="1"/>
  <c r="Q1624" i="1"/>
  <c r="Y1624" i="1"/>
  <c r="Q1625" i="1"/>
  <c r="O1456" i="1"/>
  <c r="G1457" i="1"/>
  <c r="G1455" i="1"/>
  <c r="O1454" i="1"/>
  <c r="I1464" i="1"/>
  <c r="I1463" i="1"/>
  <c r="G1454" i="1"/>
  <c r="O1458" i="1"/>
  <c r="G1458" i="1"/>
  <c r="G1453" i="1"/>
  <c r="O1457" i="1"/>
  <c r="O1455" i="1"/>
  <c r="G1456" i="1"/>
  <c r="O1453" i="1"/>
  <c r="DI396" i="1"/>
  <c r="EB394" i="1"/>
  <c r="DI395" i="1"/>
  <c r="DI394" i="1"/>
  <c r="DI393" i="1"/>
  <c r="Q400" i="1" s="1"/>
  <c r="EB400" i="1"/>
  <c r="X239" i="1"/>
  <c r="L12" i="1"/>
  <c r="T762" i="1"/>
  <c r="N765" i="1" s="1"/>
  <c r="DG405" i="1"/>
  <c r="DT404" i="1"/>
  <c r="DI404" i="1"/>
  <c r="U1199" i="1"/>
  <c r="X1198" i="1" s="1"/>
  <c r="C1204" i="1" s="1"/>
  <c r="DT405" i="1"/>
  <c r="DH404" i="1"/>
  <c r="D1136" i="1"/>
  <c r="DU405" i="1"/>
  <c r="DG404" i="1"/>
  <c r="DV404" i="1"/>
  <c r="DU404" i="1"/>
  <c r="G1469" i="1" l="1"/>
  <c r="J1469" i="1" s="1"/>
  <c r="G1474" i="1"/>
  <c r="J1474" i="1" s="1"/>
  <c r="X299" i="1"/>
  <c r="B485" i="1"/>
  <c r="L14" i="1"/>
  <c r="L15" i="1"/>
  <c r="U1474" i="1"/>
  <c r="U1469" i="1"/>
  <c r="X1469" i="1" s="1"/>
  <c r="X1474" i="1"/>
  <c r="Q402" i="1"/>
  <c r="AA398" i="1"/>
  <c r="AE398" i="1"/>
  <c r="Y398" i="1"/>
  <c r="Q398" i="1"/>
  <c r="AA399" i="1"/>
  <c r="DJ405" i="1"/>
  <c r="DG407" i="1" s="1"/>
  <c r="DI401" i="1"/>
  <c r="DU402" i="1"/>
  <c r="DU401" i="1" s="1"/>
  <c r="DI402" i="1"/>
  <c r="DI405" i="1" s="1"/>
  <c r="DS398" i="1"/>
  <c r="DG402" i="1"/>
  <c r="DV402" i="1"/>
  <c r="DT402" i="1"/>
  <c r="DT401" i="1" s="1"/>
  <c r="DG401" i="1"/>
  <c r="DH401" i="1"/>
  <c r="DS399" i="1"/>
  <c r="DH402" i="1"/>
  <c r="EB403" i="1"/>
  <c r="AB397" i="1"/>
  <c r="R396" i="1"/>
  <c r="Q396" i="1"/>
  <c r="AE396" i="1"/>
  <c r="AB396" i="1"/>
  <c r="DK387" i="1"/>
  <c r="U396" i="1"/>
  <c r="AA396" i="1"/>
  <c r="R397" i="1"/>
  <c r="Y396" i="1"/>
  <c r="H1635" i="1"/>
  <c r="Q1635" i="1"/>
  <c r="M1638" i="1" s="1"/>
  <c r="EB405" i="1"/>
  <c r="DV401" i="1" l="1"/>
  <c r="DV405" i="1"/>
  <c r="DW405" i="1" s="1"/>
  <c r="R405" i="1"/>
  <c r="R406" i="1"/>
  <c r="Q405" i="1"/>
  <c r="X405" i="1"/>
  <c r="Q407" i="1"/>
  <c r="L17" i="1"/>
  <c r="X358" i="1"/>
  <c r="L16" i="1"/>
  <c r="X430" i="1" l="1"/>
  <c r="L20" i="1"/>
  <c r="L21" i="1"/>
  <c r="L19" i="1"/>
  <c r="L22" i="1"/>
  <c r="L23" i="1" l="1"/>
  <c r="L24" i="1"/>
  <c r="X489" i="1"/>
  <c r="L25" i="1"/>
  <c r="L747" i="1" l="1"/>
  <c r="L28" i="1"/>
  <c r="X550" i="1"/>
  <c r="L27" i="1"/>
  <c r="L26" i="1"/>
  <c r="L31" i="1" l="1"/>
  <c r="L29" i="1"/>
  <c r="L30" i="1"/>
  <c r="X609" i="1"/>
  <c r="L33" i="1" l="1"/>
  <c r="L32" i="1"/>
  <c r="X673" i="1"/>
  <c r="L34" i="1"/>
  <c r="L38" i="1" l="1"/>
  <c r="X733" i="1"/>
  <c r="K36" i="1"/>
  <c r="L37" i="1"/>
  <c r="L40" i="1" l="1"/>
  <c r="X790" i="1"/>
  <c r="L39" i="1"/>
  <c r="L41" i="1" l="1"/>
  <c r="X849" i="1"/>
  <c r="L42" i="1" l="1"/>
  <c r="X909" i="1"/>
  <c r="X969" i="1" l="1"/>
  <c r="L46" i="1"/>
  <c r="L45" i="1"/>
  <c r="K44" i="1"/>
  <c r="X1029" i="1" l="1"/>
  <c r="L47" i="1"/>
  <c r="L48" i="1" l="1"/>
  <c r="X1088" i="1"/>
  <c r="X1149" i="1" s="1"/>
  <c r="X1208" i="1" s="1"/>
  <c r="L53" i="1" l="1"/>
  <c r="K52" i="1" s="1"/>
  <c r="X1251" i="1"/>
  <c r="Z10" i="1" l="1"/>
  <c r="Y9" i="1"/>
  <c r="Z11" i="1"/>
  <c r="X1309" i="1"/>
  <c r="Z12" i="1" l="1"/>
  <c r="X1367" i="1"/>
  <c r="X1425" i="1" l="1"/>
  <c r="Z15" i="1"/>
  <c r="Y14" i="1"/>
  <c r="X12" i="3"/>
  <c r="X1480" i="1" l="1"/>
  <c r="Z18" i="1"/>
  <c r="Y17" i="1"/>
  <c r="X1536" i="1" l="1"/>
  <c r="Z19" i="1"/>
  <c r="X1592" i="1" l="1"/>
  <c r="Z20" i="1"/>
  <c r="Z21" i="1" l="1"/>
  <c r="X1647" i="1"/>
  <c r="X1706" i="1" s="1"/>
  <c r="Z22" i="1" l="1"/>
  <c r="X1764" i="1"/>
  <c r="Y24" i="1" l="1"/>
  <c r="Z26" i="1"/>
  <c r="Z25" i="1"/>
  <c r="X1821" i="1"/>
  <c r="Z27" i="1" s="1"/>
</calcChain>
</file>

<file path=xl/sharedStrings.xml><?xml version="1.0" encoding="utf-8"?>
<sst xmlns="http://schemas.openxmlformats.org/spreadsheetml/2006/main" count="1861" uniqueCount="720">
  <si>
    <t>Installatør</t>
  </si>
  <si>
    <t>Kloakmester</t>
  </si>
  <si>
    <t>DJH</t>
  </si>
  <si>
    <t>VVS</t>
  </si>
  <si>
    <t>Teknisk Akademi</t>
  </si>
  <si>
    <t>Formler</t>
  </si>
  <si>
    <t>Arealer</t>
  </si>
  <si>
    <t>Formelsamling</t>
  </si>
  <si>
    <t>Indholdsfortegnelse</t>
  </si>
  <si>
    <t>h</t>
  </si>
  <si>
    <t>A</t>
  </si>
  <si>
    <t>B</t>
  </si>
  <si>
    <t>C</t>
  </si>
  <si>
    <t>c</t>
  </si>
  <si>
    <t>b</t>
  </si>
  <si>
    <t>a</t>
  </si>
  <si>
    <r>
      <t>A = ½</t>
    </r>
    <r>
      <rPr>
        <sz val="10"/>
        <rFont val="Arial"/>
        <family val="2"/>
      </rPr>
      <t>∙</t>
    </r>
    <r>
      <rPr>
        <sz val="10"/>
        <rFont val="Arial"/>
        <family val="2"/>
      </rPr>
      <t>c∙h</t>
    </r>
  </si>
  <si>
    <r>
      <t xml:space="preserve">A = </t>
    </r>
    <r>
      <rPr>
        <sz val="10"/>
        <rFont val="Arial"/>
        <family val="2"/>
      </rPr>
      <t>√ s(s-a)(s-b)(s-c)</t>
    </r>
  </si>
  <si>
    <t>s = ½(a + b + c)</t>
  </si>
  <si>
    <t>Retvinklet trekant</t>
  </si>
  <si>
    <r>
      <t>A = ½</t>
    </r>
    <r>
      <rPr>
        <sz val="10"/>
        <rFont val="Arial"/>
        <family val="2"/>
      </rPr>
      <t>∙</t>
    </r>
    <r>
      <rPr>
        <sz val="10"/>
        <rFont val="Arial"/>
        <family val="2"/>
      </rPr>
      <t>a∙b</t>
    </r>
  </si>
  <si>
    <t>A = ½∙a∙b∙sinC</t>
  </si>
  <si>
    <r>
      <t>Pythagoras: c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 a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b</t>
    </r>
    <r>
      <rPr>
        <vertAlign val="superscript"/>
        <sz val="10"/>
        <rFont val="Arial"/>
        <family val="2"/>
      </rPr>
      <t>2</t>
    </r>
  </si>
  <si>
    <t>Trigonemetri</t>
  </si>
  <si>
    <t>3 - 4 - 5 Trekant</t>
  </si>
  <si>
    <t>Ved afsætning af en ret vinkel (900) kan man udnytte en geometrisk regel, der siger, at siderne i en</t>
  </si>
  <si>
    <t xml:space="preserve">retvinklet trekant forholder sig som 3:4:5.  </t>
  </si>
  <si>
    <t>Arbejdstrekanten fremstilles af brædder, hvor sidernes indbyrdes forhold er korrekt f.eks. 3 m, 4 m og 5 m</t>
  </si>
  <si>
    <t xml:space="preserve">eller 1,5 m 2 m og 2,5 m. </t>
  </si>
  <si>
    <t>Firkant</t>
  </si>
  <si>
    <t>l</t>
  </si>
  <si>
    <t>Rektangel</t>
  </si>
  <si>
    <t>Parallelogram</t>
  </si>
  <si>
    <t>Trapez</t>
  </si>
  <si>
    <t>A = ½(a + b) h</t>
  </si>
  <si>
    <t xml:space="preserve">    θ</t>
  </si>
  <si>
    <t>A = b∙h</t>
  </si>
  <si>
    <t xml:space="preserve">  a</t>
  </si>
  <si>
    <r>
      <t>A = a∙b∙sin</t>
    </r>
    <r>
      <rPr>
        <sz val="10"/>
        <rFont val="Arial"/>
        <family val="2"/>
      </rPr>
      <t>θ</t>
    </r>
  </si>
  <si>
    <t>V</t>
  </si>
  <si>
    <t>Femkant</t>
  </si>
  <si>
    <t>Vinklen v =</t>
  </si>
  <si>
    <t>=</t>
  </si>
  <si>
    <t>Siden s =</t>
  </si>
  <si>
    <t>v</t>
  </si>
  <si>
    <t>2 R∙sin</t>
  </si>
  <si>
    <t>r - radius i indskreven cirkel</t>
  </si>
  <si>
    <t>R - radius i omskreven cirkel</t>
  </si>
  <si>
    <t>2 r∙tan</t>
  </si>
  <si>
    <t>Trekanter</t>
  </si>
  <si>
    <t>º</t>
  </si>
  <si>
    <t>I</t>
  </si>
  <si>
    <t>II</t>
  </si>
  <si>
    <t>III</t>
  </si>
  <si>
    <t>Antal decimaler</t>
  </si>
  <si>
    <t>Opdeling af en figur i trekanter</t>
  </si>
  <si>
    <t>s</t>
  </si>
  <si>
    <t>IV</t>
  </si>
  <si>
    <t>VI</t>
  </si>
  <si>
    <t>VII</t>
  </si>
  <si>
    <t>I alt</t>
  </si>
  <si>
    <t>A = a∙b</t>
  </si>
  <si>
    <t>π</t>
  </si>
  <si>
    <t>)</t>
  </si>
  <si>
    <t>Paralellogram</t>
  </si>
  <si>
    <t>θ</t>
  </si>
  <si>
    <t>R</t>
  </si>
  <si>
    <t>r</t>
  </si>
  <si>
    <t>Polygoner</t>
  </si>
  <si>
    <t>Hexagon</t>
  </si>
  <si>
    <t xml:space="preserve">Sekskant </t>
  </si>
  <si>
    <t xml:space="preserve">Ottekant </t>
  </si>
  <si>
    <t>Octagon</t>
  </si>
  <si>
    <t>Tikant</t>
  </si>
  <si>
    <t>Decagon</t>
  </si>
  <si>
    <t>n</t>
  </si>
  <si>
    <t>n - antal sider</t>
  </si>
  <si>
    <t>Antal sider</t>
  </si>
  <si>
    <t>Cirkel</t>
  </si>
  <si>
    <t>d</t>
  </si>
  <si>
    <t>Cirkeludsnit</t>
  </si>
  <si>
    <t>Kordelængden k =</t>
  </si>
  <si>
    <t>2 r∙sin</t>
  </si>
  <si>
    <t>Buelængden   s =</t>
  </si>
  <si>
    <t>Højden    h =</t>
  </si>
  <si>
    <t>1-</t>
  </si>
  <si>
    <t>k</t>
  </si>
  <si>
    <t>2r</t>
  </si>
  <si>
    <t xml:space="preserve"> ²</t>
  </si>
  <si>
    <t>r²</t>
  </si>
  <si>
    <t>Arealet   A = ½</t>
  </si>
  <si>
    <t>- sinv</t>
  </si>
  <si>
    <t>s =</t>
  </si>
  <si>
    <t>Ellipse</t>
  </si>
  <si>
    <r>
      <t xml:space="preserve"> A = </t>
    </r>
    <r>
      <rPr>
        <sz val="10"/>
        <rFont val="Arial"/>
        <family val="2"/>
      </rPr>
      <t>π∙a∙b</t>
    </r>
  </si>
  <si>
    <t>Volumen</t>
  </si>
  <si>
    <t>Kasse</t>
  </si>
  <si>
    <r>
      <t>V = a</t>
    </r>
    <r>
      <rPr>
        <sz val="10"/>
        <rFont val="Arial"/>
        <family val="2"/>
      </rPr>
      <t>∙</t>
    </r>
    <r>
      <rPr>
        <sz val="10"/>
        <rFont val="Arial"/>
        <family val="2"/>
      </rPr>
      <t>b</t>
    </r>
    <r>
      <rPr>
        <sz val="10"/>
        <rFont val="Arial"/>
        <family val="2"/>
      </rPr>
      <t>∙</t>
    </r>
    <r>
      <rPr>
        <sz val="10"/>
        <rFont val="Arial"/>
        <family val="2"/>
      </rPr>
      <t>h</t>
    </r>
  </si>
  <si>
    <t>Cylinder</t>
  </si>
  <si>
    <t>Rør</t>
  </si>
  <si>
    <r>
      <t>V = ¼ π(D² - 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²)∙h</t>
    </r>
  </si>
  <si>
    <t>D</t>
  </si>
  <si>
    <r>
      <t>d</t>
    </r>
    <r>
      <rPr>
        <b/>
        <vertAlign val="subscript"/>
        <sz val="10"/>
        <rFont val="Arial"/>
        <family val="2"/>
      </rPr>
      <t>i</t>
    </r>
  </si>
  <si>
    <t>Volumen af rørmaterialet.</t>
  </si>
  <si>
    <t>Kegle</t>
  </si>
  <si>
    <t>V =</t>
  </si>
  <si>
    <r>
      <t>π∙d</t>
    </r>
    <r>
      <rPr>
        <sz val="10"/>
        <rFont val="Arial"/>
        <family val="2"/>
      </rPr>
      <t>²</t>
    </r>
  </si>
  <si>
    <t>Keglestub</t>
  </si>
  <si>
    <r>
      <t>π (D</t>
    </r>
    <r>
      <rPr>
        <sz val="10"/>
        <rFont val="Arial"/>
        <family val="2"/>
      </rPr>
      <t>² +D∙d +d²)</t>
    </r>
  </si>
  <si>
    <t>Pyramide</t>
  </si>
  <si>
    <t>Volumen af en pyramide beregnes ens uanset antal sider ved grundplanet</t>
  </si>
  <si>
    <t>h - højde vinkelret på grundplanet</t>
  </si>
  <si>
    <t>Pyramidestub</t>
  </si>
  <si>
    <t>G</t>
  </si>
  <si>
    <t>G - Areal af grundplan</t>
  </si>
  <si>
    <t>g - Areal af topplan</t>
  </si>
  <si>
    <t>G∙h</t>
  </si>
  <si>
    <r>
      <t xml:space="preserve">(G + g + </t>
    </r>
    <r>
      <rPr>
        <sz val="10"/>
        <rFont val="Arial"/>
        <family val="2"/>
      </rPr>
      <t>√</t>
    </r>
    <r>
      <rPr>
        <sz val="10"/>
        <rFont val="Arial"/>
        <family val="2"/>
      </rPr>
      <t>G</t>
    </r>
    <r>
      <rPr>
        <sz val="10"/>
        <rFont val="Arial"/>
        <family val="2"/>
      </rPr>
      <t>∙</t>
    </r>
    <r>
      <rPr>
        <sz val="10"/>
        <rFont val="Arial"/>
        <family val="2"/>
      </rPr>
      <t>g)</t>
    </r>
  </si>
  <si>
    <t>Prismatoider</t>
  </si>
  <si>
    <t>Da prismatoiden er retvinklet er arealet af grundplanet og</t>
  </si>
  <si>
    <t>topplanet ens.</t>
  </si>
  <si>
    <r>
      <t>V = G</t>
    </r>
    <r>
      <rPr>
        <sz val="10"/>
        <rFont val="Arial"/>
        <family val="2"/>
      </rPr>
      <t>∙</t>
    </r>
    <r>
      <rPr>
        <sz val="10"/>
        <rFont val="Arial"/>
        <family val="2"/>
      </rPr>
      <t>h</t>
    </r>
  </si>
  <si>
    <t>Ikke retvinklet prismatoide</t>
  </si>
  <si>
    <t>M - Tværsnitsareal ved ½ højde</t>
  </si>
  <si>
    <r>
      <t xml:space="preserve">(G + g + </t>
    </r>
    <r>
      <rPr>
        <sz val="10"/>
        <rFont val="Arial"/>
        <family val="2"/>
      </rPr>
      <t>4M</t>
    </r>
    <r>
      <rPr>
        <sz val="10"/>
        <rFont val="Arial"/>
        <family val="2"/>
      </rPr>
      <t>)</t>
    </r>
  </si>
  <si>
    <t>M</t>
  </si>
  <si>
    <t>g</t>
  </si>
  <si>
    <t>Kile</t>
  </si>
  <si>
    <r>
      <t>B</t>
    </r>
    <r>
      <rPr>
        <sz val="10"/>
        <rFont val="Arial"/>
        <family val="2"/>
      </rPr>
      <t>∙</t>
    </r>
    <r>
      <rPr>
        <sz val="10"/>
        <rFont val="Arial"/>
        <family val="2"/>
      </rPr>
      <t>h</t>
    </r>
  </si>
  <si>
    <r>
      <t>(2A + a</t>
    </r>
    <r>
      <rPr>
        <sz val="10"/>
        <rFont val="Arial"/>
        <family val="2"/>
      </rPr>
      <t>)</t>
    </r>
  </si>
  <si>
    <t>Afskåret kile</t>
  </si>
  <si>
    <t>Kaldes også en Obelisk</t>
  </si>
  <si>
    <t>(A∙B + a∙b + (A + a)(B + b))</t>
  </si>
  <si>
    <t>Kugle</t>
  </si>
  <si>
    <r>
      <t>π∙d</t>
    </r>
    <r>
      <rPr>
        <sz val="10"/>
        <rFont val="Arial"/>
        <family val="2"/>
      </rPr>
      <t>³</t>
    </r>
  </si>
  <si>
    <t>Kiler har et rektangulært grundplan</t>
  </si>
  <si>
    <t>En afskåret kile har rektangulært grundplan og topplan</t>
  </si>
  <si>
    <t>Kuglekalot</t>
  </si>
  <si>
    <t>Top af kugle</t>
  </si>
  <si>
    <r>
      <t>π∙</t>
    </r>
    <r>
      <rPr>
        <sz val="10"/>
        <rFont val="Arial"/>
        <family val="2"/>
      </rPr>
      <t>h</t>
    </r>
  </si>
  <si>
    <r>
      <t>(3a</t>
    </r>
    <r>
      <rPr>
        <sz val="10"/>
        <rFont val="Arial"/>
        <family val="2"/>
      </rPr>
      <t>²</t>
    </r>
    <r>
      <rPr>
        <sz val="10"/>
        <rFont val="Arial"/>
        <family val="2"/>
      </rPr>
      <t xml:space="preserve"> + h</t>
    </r>
    <r>
      <rPr>
        <sz val="10"/>
        <rFont val="Arial"/>
        <family val="2"/>
      </rPr>
      <t>²</t>
    </r>
    <r>
      <rPr>
        <sz val="10"/>
        <rFont val="Arial"/>
        <family val="2"/>
      </rPr>
      <t>)</t>
    </r>
  </si>
  <si>
    <r>
      <t>π∙</t>
    </r>
    <r>
      <rPr>
        <sz val="10"/>
        <rFont val="Arial"/>
        <family val="2"/>
      </rPr>
      <t>h</t>
    </r>
    <r>
      <rPr>
        <sz val="10"/>
        <rFont val="Arial"/>
        <family val="2"/>
      </rPr>
      <t>²</t>
    </r>
  </si>
  <si>
    <r>
      <t>(3R - h</t>
    </r>
    <r>
      <rPr>
        <sz val="10"/>
        <rFont val="Arial"/>
        <family val="2"/>
      </rPr>
      <t>)</t>
    </r>
  </si>
  <si>
    <t>Kugleudsnit</t>
  </si>
  <si>
    <t>Udsnit fra centrum af kuglen</t>
  </si>
  <si>
    <r>
      <t xml:space="preserve">a² + </t>
    </r>
    <r>
      <rPr>
        <sz val="10"/>
        <rFont val="Arial"/>
        <family val="2"/>
      </rPr>
      <t>h</t>
    </r>
    <r>
      <rPr>
        <sz val="10"/>
        <rFont val="Arial"/>
        <family val="2"/>
      </rPr>
      <t>²</t>
    </r>
  </si>
  <si>
    <t>2h</t>
  </si>
  <si>
    <t>R =</t>
  </si>
  <si>
    <t>2∙π∙R²∙h</t>
  </si>
  <si>
    <r>
      <t>(3a</t>
    </r>
    <r>
      <rPr>
        <sz val="10"/>
        <rFont val="Arial"/>
        <family val="2"/>
      </rPr>
      <t>²</t>
    </r>
    <r>
      <rPr>
        <sz val="10"/>
        <rFont val="Arial"/>
        <family val="2"/>
      </rPr>
      <t xml:space="preserve"> + 3b² + h</t>
    </r>
    <r>
      <rPr>
        <sz val="10"/>
        <rFont val="Arial"/>
        <family val="2"/>
      </rPr>
      <t>²</t>
    </r>
    <r>
      <rPr>
        <sz val="10"/>
        <rFont val="Arial"/>
        <family val="2"/>
      </rPr>
      <t>)</t>
    </r>
  </si>
  <si>
    <t>Udskåret skive fra kuglen</t>
  </si>
  <si>
    <t>v =</t>
  </si>
  <si>
    <r>
      <t>A = ¼</t>
    </r>
    <r>
      <rPr>
        <sz val="10"/>
        <rFont val="Arial"/>
        <family val="2"/>
      </rPr>
      <t>∙</t>
    </r>
    <r>
      <rPr>
        <sz val="10"/>
        <rFont val="Arial"/>
        <family val="2"/>
      </rPr>
      <t>5∙s</t>
    </r>
    <r>
      <rPr>
        <sz val="10"/>
        <rFont val="Arial"/>
        <family val="2"/>
      </rPr>
      <t>²∙cot(</t>
    </r>
  </si>
  <si>
    <r>
      <t>A =5∙r</t>
    </r>
    <r>
      <rPr>
        <sz val="10"/>
        <rFont val="Arial"/>
        <family val="2"/>
      </rPr>
      <t>²∙tan(</t>
    </r>
  </si>
  <si>
    <r>
      <t>A = ½</t>
    </r>
    <r>
      <rPr>
        <sz val="10"/>
        <rFont val="Arial"/>
        <family val="2"/>
      </rPr>
      <t>∙</t>
    </r>
    <r>
      <rPr>
        <sz val="10"/>
        <rFont val="Arial"/>
        <family val="2"/>
      </rPr>
      <t>5∙R</t>
    </r>
    <r>
      <rPr>
        <sz val="10"/>
        <rFont val="Arial"/>
        <family val="2"/>
      </rPr>
      <t>²∙sin(</t>
    </r>
  </si>
  <si>
    <t>2π</t>
  </si>
  <si>
    <t>Regulære polygoner med ens sidelængde</t>
  </si>
  <si>
    <r>
      <t>A =n∙r</t>
    </r>
    <r>
      <rPr>
        <sz val="10"/>
        <rFont val="Arial"/>
        <family val="2"/>
      </rPr>
      <t>²∙tan(</t>
    </r>
  </si>
  <si>
    <r>
      <t>A = ½</t>
    </r>
    <r>
      <rPr>
        <sz val="10"/>
        <rFont val="Arial"/>
        <family val="2"/>
      </rPr>
      <t>∙</t>
    </r>
    <r>
      <rPr>
        <sz val="10"/>
        <rFont val="Arial"/>
        <family val="2"/>
      </rPr>
      <t>n∙R</t>
    </r>
    <r>
      <rPr>
        <sz val="10"/>
        <rFont val="Arial"/>
        <family val="2"/>
      </rPr>
      <t>²∙sin(</t>
    </r>
  </si>
  <si>
    <t>r =</t>
  </si>
  <si>
    <t>Jordarbejde</t>
  </si>
  <si>
    <t>Rektangulær grøft</t>
  </si>
  <si>
    <t>Bundbredde af grøft</t>
  </si>
  <si>
    <t>Dybde af grøft</t>
  </si>
  <si>
    <t>Tværsnit</t>
  </si>
  <si>
    <t>Længdesnit af grøft</t>
  </si>
  <si>
    <t>L</t>
  </si>
  <si>
    <t xml:space="preserve">L </t>
  </si>
  <si>
    <t>Vandret længde af grøft</t>
  </si>
  <si>
    <r>
      <t>d</t>
    </r>
    <r>
      <rPr>
        <vertAlign val="subscript"/>
        <sz val="10"/>
        <rFont val="Arial"/>
        <family val="2"/>
      </rPr>
      <t>1</t>
    </r>
  </si>
  <si>
    <r>
      <t>d</t>
    </r>
    <r>
      <rPr>
        <vertAlign val="subscript"/>
        <sz val="10"/>
        <rFont val="Arial"/>
        <family val="2"/>
      </rPr>
      <t>2</t>
    </r>
  </si>
  <si>
    <r>
      <t>d</t>
    </r>
    <r>
      <rPr>
        <vertAlign val="subscript"/>
        <sz val="10"/>
        <rFont val="Arial"/>
        <family val="2"/>
      </rPr>
      <t xml:space="preserve">1 </t>
    </r>
    <r>
      <rPr>
        <sz val="10"/>
        <rFont val="Arial"/>
        <family val="2"/>
      </rPr>
      <t>og d</t>
    </r>
    <r>
      <rPr>
        <vertAlign val="subscript"/>
        <sz val="10"/>
        <rFont val="Arial"/>
        <family val="2"/>
      </rPr>
      <t>2</t>
    </r>
  </si>
  <si>
    <t>Dybder ved start og slut</t>
  </si>
  <si>
    <r>
      <t>d</t>
    </r>
    <r>
      <rPr>
        <b/>
        <vertAlign val="subscript"/>
        <sz val="10"/>
        <rFont val="Arial"/>
        <family val="2"/>
      </rPr>
      <t xml:space="preserve">1 </t>
    </r>
    <r>
      <rPr>
        <sz val="10"/>
        <rFont val="Arial"/>
        <family val="2"/>
      </rPr>
      <t/>
    </r>
  </si>
  <si>
    <r>
      <t>d</t>
    </r>
    <r>
      <rPr>
        <b/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/>
    </r>
  </si>
  <si>
    <r>
      <t>V = ½(d</t>
    </r>
    <r>
      <rPr>
        <b/>
        <vertAlign val="subscript"/>
        <sz val="12"/>
        <rFont val="Arial"/>
        <family val="2"/>
      </rPr>
      <t xml:space="preserve">1 </t>
    </r>
    <r>
      <rPr>
        <b/>
        <sz val="12"/>
        <rFont val="Arial"/>
        <family val="2"/>
      </rPr>
      <t>+ d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) L∙b</t>
    </r>
  </si>
  <si>
    <t>Grøft med anlæg</t>
  </si>
  <si>
    <t>Bundbredden</t>
  </si>
  <si>
    <t>Overbredde</t>
  </si>
  <si>
    <t>Skråningsanlæg</t>
  </si>
  <si>
    <t>dybde</t>
  </si>
  <si>
    <t>Overbredde:</t>
  </si>
  <si>
    <t>B = b + 2∙d∙a</t>
  </si>
  <si>
    <t>Tværsnitsareal:</t>
  </si>
  <si>
    <t>A = d∙b + d²∙a</t>
  </si>
  <si>
    <t>Bundbredde</t>
  </si>
  <si>
    <t>dybde ved start</t>
  </si>
  <si>
    <t>dybde ved slut</t>
  </si>
  <si>
    <t>skråningsanlæg for grøften</t>
  </si>
  <si>
    <t>Vandret mål for grøften</t>
  </si>
  <si>
    <r>
      <t>d</t>
    </r>
    <r>
      <rPr>
        <vertAlign val="subscript"/>
        <sz val="10"/>
        <rFont val="Arial"/>
        <family val="2"/>
      </rPr>
      <t>M</t>
    </r>
  </si>
  <si>
    <r>
      <t>(A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+ </t>
    </r>
    <r>
      <rPr>
        <sz val="10"/>
        <rFont val="Arial"/>
        <family val="2"/>
      </rPr>
      <t>4A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)</t>
    </r>
  </si>
  <si>
    <r>
      <t>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∙b + 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²∙a =</t>
    </r>
  </si>
  <si>
    <r>
      <t>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 d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∙b + d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²∙a =</t>
    </r>
  </si>
  <si>
    <r>
      <t>d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= ½(d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+ d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 =</t>
    </r>
  </si>
  <si>
    <r>
      <t>A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= d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∙b + d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²∙a =</t>
    </r>
  </si>
  <si>
    <t>dybde ved ½ længde</t>
  </si>
  <si>
    <t>Tværsnitsarealer</t>
  </si>
  <si>
    <t>Volumen af grøft med anlæg</t>
  </si>
  <si>
    <t>Udgravning med anlæg</t>
  </si>
  <si>
    <t>Set fra siden</t>
  </si>
  <si>
    <t>Volumen af udgravning kan</t>
  </si>
  <si>
    <t>beregnes som en afskåret kile</t>
  </si>
  <si>
    <t>Jordarbejder</t>
  </si>
  <si>
    <t>Plan</t>
  </si>
  <si>
    <t>samt anlæg a og dybden d, kan topplanet</t>
  </si>
  <si>
    <t>beregnes som</t>
  </si>
  <si>
    <t>og</t>
  </si>
  <si>
    <t>Kendes længden l og bredden b ved grundplan</t>
  </si>
  <si>
    <t>L = l + 2∙d∙a</t>
  </si>
  <si>
    <t>længde i bund</t>
  </si>
  <si>
    <r>
      <t>d</t>
    </r>
    <r>
      <rPr>
        <sz val="10"/>
        <rFont val="Arial"/>
        <family val="2"/>
      </rPr>
      <t/>
    </r>
  </si>
  <si>
    <t>dybde af udgravninv</t>
  </si>
  <si>
    <t>B = b + 2∙d∙a =</t>
  </si>
  <si>
    <t>L = l + 2∙d∙a =</t>
  </si>
  <si>
    <t>(L∙B + l∙b + (L + l)(B + b))</t>
  </si>
  <si>
    <t>Kendes Længde og Bredde for topplan, kan volumen beregnes som:</t>
  </si>
  <si>
    <t>Topbredde</t>
  </si>
  <si>
    <t>Top- længde</t>
  </si>
  <si>
    <t>dybde af udgravning</t>
  </si>
  <si>
    <t>skråningsanlæg for udgravning</t>
  </si>
  <si>
    <r>
      <t xml:space="preserve">hvis bund og top er </t>
    </r>
    <r>
      <rPr>
        <u/>
        <sz val="10"/>
        <rFont val="Arial"/>
        <family val="2"/>
      </rPr>
      <t>parallelle</t>
    </r>
  </si>
  <si>
    <t>Udgravning skrå sider</t>
  </si>
  <si>
    <t>Grundplan skal bestå af en regulær polygon eller en ligesidet trekant</t>
  </si>
  <si>
    <t>Tilsvarende for en pyramidestub beregnes volumen ens,</t>
  </si>
  <si>
    <t>uanset antallet af sider</t>
  </si>
  <si>
    <t>Prismatoider er kendetegnet ved at have 2 paralle sider, grund og topplan.</t>
  </si>
  <si>
    <t>Rampe</t>
  </si>
  <si>
    <t>Volumen af nedkørselsrampe</t>
  </si>
  <si>
    <t>beregnes ud fra nedenstående:</t>
  </si>
  <si>
    <r>
      <t>d</t>
    </r>
    <r>
      <rPr>
        <sz val="10"/>
        <rFont val="Arial"/>
        <family val="2"/>
      </rPr>
      <t>²</t>
    </r>
  </si>
  <si>
    <t>m</t>
  </si>
  <si>
    <t>(m - n)</t>
  </si>
  <si>
    <t>Hvor:</t>
  </si>
  <si>
    <t>bredde af kørebane på rampe</t>
  </si>
  <si>
    <t>skråningsanlæg på rampe</t>
  </si>
  <si>
    <t>skråningsanlæg for udgavning</t>
  </si>
  <si>
    <t>Bredde af kørebane på rampe</t>
  </si>
  <si>
    <r>
      <t>3∙b + 2∙d</t>
    </r>
    <r>
      <rPr>
        <sz val="10"/>
        <rFont val="Arial"/>
        <family val="2"/>
      </rPr>
      <t>∙</t>
    </r>
    <r>
      <rPr>
        <sz val="10"/>
        <rFont val="Arial"/>
        <family val="2"/>
      </rPr>
      <t xml:space="preserve">n(1- </t>
    </r>
  </si>
  <si>
    <t>Skråningsanlæg på rampe</t>
  </si>
  <si>
    <t>Skråningsanlæg på udgravning ( siderne af rampe)</t>
  </si>
  <si>
    <t>findes volumen af rampe ved:</t>
  </si>
  <si>
    <t>Mod lodret mur</t>
  </si>
  <si>
    <t>Ved en rampe mod en lodret side (mur)</t>
  </si>
  <si>
    <t>Skråningsanlæg på rampens sider</t>
  </si>
  <si>
    <t>(3∙b + 2∙d∙n)m</t>
  </si>
  <si>
    <t>anlæg på rampens sider</t>
  </si>
  <si>
    <t>Pythagoras</t>
  </si>
  <si>
    <t>Arealberegning</t>
  </si>
  <si>
    <t>Retvinklet prismatoide</t>
  </si>
  <si>
    <t>Fundamenter</t>
  </si>
  <si>
    <t>Kuglebælte</t>
  </si>
  <si>
    <t>75 - 160</t>
  </si>
  <si>
    <t>160 - 355</t>
  </si>
  <si>
    <t>355 - 600</t>
  </si>
  <si>
    <t xml:space="preserve">600 -       </t>
  </si>
  <si>
    <t>Bundbredder jf. DS475</t>
  </si>
  <si>
    <t>Udv. diameter af ledning</t>
  </si>
  <si>
    <r>
      <t>d</t>
    </r>
    <r>
      <rPr>
        <vertAlign val="subscript"/>
        <sz val="10"/>
        <rFont val="Arial"/>
        <family val="2"/>
      </rPr>
      <t xml:space="preserve">y </t>
    </r>
    <r>
      <rPr>
        <sz val="10"/>
        <rFont val="Arial"/>
        <family val="2"/>
      </rPr>
      <t>mm</t>
    </r>
  </si>
  <si>
    <t xml:space="preserve">Mindste bunddbredde </t>
  </si>
  <si>
    <t>mm</t>
  </si>
  <si>
    <r>
      <t>d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 xml:space="preserve"> + 2</t>
    </r>
    <r>
      <rPr>
        <sz val="10"/>
        <rFont val="Arial"/>
        <family val="2"/>
      </rPr>
      <t>∙</t>
    </r>
    <r>
      <rPr>
        <sz val="10"/>
        <rFont val="Arial"/>
        <family val="2"/>
      </rPr>
      <t>200</t>
    </r>
  </si>
  <si>
    <r>
      <t>d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 xml:space="preserve"> + 2</t>
    </r>
    <r>
      <rPr>
        <sz val="10"/>
        <rFont val="Arial"/>
        <family val="2"/>
      </rPr>
      <t>∙</t>
    </r>
    <r>
      <rPr>
        <sz val="10"/>
        <rFont val="Arial"/>
        <family val="2"/>
      </rPr>
      <t>100</t>
    </r>
  </si>
  <si>
    <r>
      <t>d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 xml:space="preserve"> + 2</t>
    </r>
    <r>
      <rPr>
        <sz val="10"/>
        <rFont val="Arial"/>
        <family val="2"/>
      </rPr>
      <t>∙</t>
    </r>
    <r>
      <rPr>
        <sz val="10"/>
        <rFont val="Arial"/>
        <family val="2"/>
      </rPr>
      <t>150</t>
    </r>
  </si>
  <si>
    <r>
      <t>d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 xml:space="preserve"> + 2</t>
    </r>
    <r>
      <rPr>
        <sz val="10"/>
        <rFont val="Arial"/>
        <family val="2"/>
      </rPr>
      <t>∙</t>
    </r>
    <r>
      <rPr>
        <sz val="10"/>
        <rFont val="Arial"/>
        <family val="2"/>
      </rPr>
      <t>300</t>
    </r>
  </si>
  <si>
    <t>Fundamenter i Sandjord</t>
  </si>
  <si>
    <t>Som det fremgår findes der 2 grænseflader for sandjord:</t>
  </si>
  <si>
    <t>I nærheden af bygninger anvendes ofte afstivede render</t>
  </si>
  <si>
    <t>Grænseflade for udgravninger med anlæg</t>
  </si>
  <si>
    <t>Grænseflade for afstivede render. Som vist på billedet.</t>
  </si>
  <si>
    <r>
      <t>Max. Bredde 0.6 m eller 0.5</t>
    </r>
    <r>
      <rPr>
        <sz val="10"/>
        <rFont val="Arial"/>
        <family val="2"/>
      </rPr>
      <t>∙</t>
    </r>
    <r>
      <rPr>
        <sz val="10"/>
        <rFont val="Arial"/>
        <family val="2"/>
      </rPr>
      <t>a, dog højst 2.5 m</t>
    </r>
  </si>
  <si>
    <t>Fundamenter i Lerjord</t>
  </si>
  <si>
    <t>I lerjord  kan man ofte udføre udgravninger uden anlæg. Derfor svarer kravene til en afstivet</t>
  </si>
  <si>
    <t>udgravning i sandjord.</t>
  </si>
  <si>
    <t>FUK</t>
  </si>
  <si>
    <t>Fundamentsunderkant</t>
  </si>
  <si>
    <t>Højdeforskel fra FUK til bundkote for renden</t>
  </si>
  <si>
    <t>Afstanden A  =</t>
  </si>
  <si>
    <t>Bundkote for rende</t>
  </si>
  <si>
    <t>Minimal afstand fra fundament til rende</t>
  </si>
  <si>
    <t>Hvis h ≤ 0.67 m:</t>
  </si>
  <si>
    <r>
      <t>A = h</t>
    </r>
    <r>
      <rPr>
        <sz val="10"/>
        <rFont val="Arial"/>
        <family val="2"/>
      </rPr>
      <t>∙</t>
    </r>
    <r>
      <rPr>
        <sz val="10"/>
        <rFont val="Arial"/>
        <family val="2"/>
      </rPr>
      <t>3</t>
    </r>
  </si>
  <si>
    <t>Hvis h &gt; 0.67 m:</t>
  </si>
  <si>
    <t>A = 2.0 + (h - 0.67)1.5</t>
  </si>
  <si>
    <t>Maksimal dybde af udgravning</t>
  </si>
  <si>
    <t>Hvis A ≤ 2 m:</t>
  </si>
  <si>
    <t>h =</t>
  </si>
  <si>
    <t>Hvis A &gt; 2 m:</t>
  </si>
  <si>
    <t>A - 2.0</t>
  </si>
  <si>
    <t xml:space="preserve">Højdeforskel h: </t>
  </si>
  <si>
    <t xml:space="preserve">h = </t>
  </si>
  <si>
    <t>+ 0.67</t>
  </si>
  <si>
    <t>Fundamenter - afstand &amp; dybde</t>
  </si>
  <si>
    <t>Kan ovenstående krav ikke overholdes, må fundamentet sænkes!</t>
  </si>
  <si>
    <t>Max. bundkote for rende</t>
  </si>
  <si>
    <t>Krydsning af fundamenter</t>
  </si>
  <si>
    <t>Udgravning for brønde</t>
  </si>
  <si>
    <t>Ved udgravning for en brønd skal man tilsvarende sikre sig, at denne udgravning ikke svækker</t>
  </si>
  <si>
    <t>fundamentet</t>
  </si>
  <si>
    <t>Brønd</t>
  </si>
  <si>
    <t>Som vist for renderne kan vi beregne om afstand og højdeforskel medfører, om fundamentet skal</t>
  </si>
  <si>
    <t>sænkes.</t>
  </si>
  <si>
    <t>Skal renden føres tættere på fundamentet, må fundamentsunderkanten sænkes</t>
  </si>
  <si>
    <t>Skal renden føres dybere, må fundamentsunderkanten sænkes</t>
  </si>
  <si>
    <t xml:space="preserve">Skal fundamentet sænkes, er det næste problem at bestemme udstrækningen af det område, </t>
  </si>
  <si>
    <t>der skal sænkes. Vi skal finde ud af, hvor stort et område, der er påvirket af udgravningen.</t>
  </si>
  <si>
    <t>Medfører afstanden og højdeforskellen, at fundamentet skal sænkes, kan man</t>
  </si>
  <si>
    <t>tilsvarende finde ud af hvilken afstand, der kan tillades ud fra højdeforskellen.</t>
  </si>
  <si>
    <t>Tilladt afstand</t>
  </si>
  <si>
    <t>Ud fra dette bestemmes den nødvendige udstrækning af fundamentsforstærkningen</t>
  </si>
  <si>
    <t>Beregning af udstrækning af fundamentsforstærkning</t>
  </si>
  <si>
    <t>Ved at regne ud fra centrum af brønden fås en retvinklet trekant hvor</t>
  </si>
  <si>
    <t>længderne kan beregnes ud fra Pythagoras</t>
  </si>
  <si>
    <t>F</t>
  </si>
  <si>
    <t>Afstanden F findes som:</t>
  </si>
  <si>
    <t>Beregning af fundamentsforstærkning</t>
  </si>
  <si>
    <t>Afstand fra rende til fundament</t>
  </si>
  <si>
    <t>Afstand fra udgravning ved brønden til fundamentet</t>
  </si>
  <si>
    <t>Højdeforskel fra FUK til bundkote for udgravning ved brønd</t>
  </si>
  <si>
    <t xml:space="preserve">Tilladt højdeforskel h: </t>
  </si>
  <si>
    <t>Diameter af udgravning ved brønd</t>
  </si>
  <si>
    <t>Sænkning af fundament</t>
  </si>
  <si>
    <r>
      <t>Tilladt  afstand A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 =</t>
    </r>
  </si>
  <si>
    <r>
      <t>Afstand til brøndmidten A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+ ½D =</t>
    </r>
  </si>
  <si>
    <t>A + ½D</t>
  </si>
  <si>
    <r>
      <t>A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+ ½D - Tilladt afstand + ½ diameter af udgravning</t>
    </r>
  </si>
  <si>
    <t>hvor D er diameter for udgravning</t>
  </si>
  <si>
    <r>
      <t>F</t>
    </r>
    <r>
      <rPr>
        <sz val="10"/>
        <rFont val="Arial"/>
        <family val="2"/>
      </rPr>
      <t>²</t>
    </r>
    <r>
      <rPr>
        <sz val="10"/>
        <rFont val="Arial"/>
        <family val="2"/>
      </rPr>
      <t xml:space="preserve"> = (A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+ ½D)</t>
    </r>
    <r>
      <rPr>
        <sz val="10"/>
        <rFont val="Arial"/>
        <family val="2"/>
      </rPr>
      <t>² - (A + ½D)²</t>
    </r>
  </si>
  <si>
    <r>
      <t xml:space="preserve">F = </t>
    </r>
    <r>
      <rPr>
        <sz val="10"/>
        <rFont val="Arial"/>
        <family val="2"/>
      </rPr>
      <t>√</t>
    </r>
  </si>
  <si>
    <t xml:space="preserve">  =</t>
  </si>
  <si>
    <t>Længde af fundamentsforstærkning, F:</t>
  </si>
  <si>
    <t>Ny FUK:</t>
  </si>
  <si>
    <t>Aftrapning ved fundamentsunderføring</t>
  </si>
  <si>
    <t>Samlet længde af fundamentsforstærkning:</t>
  </si>
  <si>
    <t>Beregning af aftrapning</t>
  </si>
  <si>
    <t>BK</t>
  </si>
  <si>
    <t>Bundkote for rør ved skæring med fundamentet</t>
  </si>
  <si>
    <r>
      <t>D</t>
    </r>
    <r>
      <rPr>
        <b/>
        <vertAlign val="subscript"/>
        <sz val="10"/>
        <rFont val="Arial"/>
        <family val="2"/>
      </rPr>
      <t>y</t>
    </r>
  </si>
  <si>
    <t>Forudsætning : 15 cm på hver side af rørene</t>
  </si>
  <si>
    <t>Udvendig diameter af rør [mm]</t>
  </si>
  <si>
    <t>Opstilling</t>
  </si>
  <si>
    <t>Punkt</t>
  </si>
  <si>
    <t>Aflæsning</t>
  </si>
  <si>
    <t>Sigteplan</t>
  </si>
  <si>
    <t>Kote</t>
  </si>
  <si>
    <t>Anmærkning</t>
  </si>
  <si>
    <t>Nivellement</t>
  </si>
  <si>
    <t>f · L</t>
  </si>
  <si>
    <r>
      <t>z</t>
    </r>
    <r>
      <rPr>
        <b/>
        <vertAlign val="subscript"/>
        <sz val="14"/>
        <rFont val="Arial"/>
        <family val="2"/>
      </rPr>
      <t>Ø</t>
    </r>
  </si>
  <si>
    <r>
      <t>z</t>
    </r>
    <r>
      <rPr>
        <b/>
        <vertAlign val="subscript"/>
        <sz val="14"/>
        <rFont val="Arial"/>
        <family val="2"/>
      </rPr>
      <t>N</t>
    </r>
  </si>
  <si>
    <r>
      <t>z</t>
    </r>
    <r>
      <rPr>
        <vertAlign val="subscript"/>
        <sz val="14"/>
        <rFont val="Arial"/>
        <family val="2"/>
      </rPr>
      <t>Ø</t>
    </r>
  </si>
  <si>
    <r>
      <t>z</t>
    </r>
    <r>
      <rPr>
        <vertAlign val="subscript"/>
        <sz val="14"/>
        <rFont val="Arial"/>
        <family val="2"/>
      </rPr>
      <t>N</t>
    </r>
  </si>
  <si>
    <t>Nedre kote</t>
  </si>
  <si>
    <t>Øvre kote</t>
  </si>
  <si>
    <t>Længde af rør</t>
  </si>
  <si>
    <t>f</t>
  </si>
  <si>
    <r>
      <t xml:space="preserve">L </t>
    </r>
    <r>
      <rPr>
        <vertAlign val="superscript"/>
        <sz val="12"/>
        <rFont val="Arial"/>
        <family val="2"/>
      </rPr>
      <t>=</t>
    </r>
  </si>
  <si>
    <t xml:space="preserve">·1000 </t>
  </si>
  <si>
    <r>
      <t>o</t>
    </r>
    <r>
      <rPr>
        <b/>
        <vertAlign val="subscript"/>
        <sz val="14"/>
        <rFont val="Arial"/>
        <family val="2"/>
      </rPr>
      <t>/</t>
    </r>
    <r>
      <rPr>
        <b/>
        <vertAlign val="subscript"/>
        <sz val="11"/>
        <rFont val="Arial"/>
        <family val="2"/>
      </rPr>
      <t>oo</t>
    </r>
  </si>
  <si>
    <r>
      <t xml:space="preserve">fald i </t>
    </r>
    <r>
      <rPr>
        <b/>
        <vertAlign val="superscript"/>
        <sz val="12"/>
        <rFont val="Arial"/>
        <family val="2"/>
      </rPr>
      <t>o</t>
    </r>
    <r>
      <rPr>
        <b/>
        <sz val="12"/>
        <rFont val="Arial"/>
        <family val="2"/>
      </rPr>
      <t>/</t>
    </r>
    <r>
      <rPr>
        <b/>
        <vertAlign val="subscript"/>
        <sz val="12"/>
        <rFont val="Arial"/>
        <family val="2"/>
      </rPr>
      <t>oo</t>
    </r>
  </si>
  <si>
    <r>
      <t>z</t>
    </r>
    <r>
      <rPr>
        <vertAlign val="superscript"/>
        <sz val="11"/>
        <rFont val="Arial"/>
        <family val="2"/>
      </rPr>
      <t>Ø</t>
    </r>
    <r>
      <rPr>
        <vertAlign val="superscript"/>
        <sz val="14"/>
        <rFont val="Arial"/>
        <family val="2"/>
      </rPr>
      <t xml:space="preserve"> </t>
    </r>
    <r>
      <rPr>
        <vertAlign val="superscript"/>
        <sz val="12"/>
        <rFont val="Arial"/>
        <family val="2"/>
      </rPr>
      <t>=</t>
    </r>
    <r>
      <rPr>
        <vertAlign val="superscript"/>
        <sz val="14"/>
        <rFont val="Arial"/>
        <family val="2"/>
      </rPr>
      <t xml:space="preserve"> z</t>
    </r>
    <r>
      <rPr>
        <vertAlign val="superscript"/>
        <sz val="11"/>
        <rFont val="Arial"/>
        <family val="2"/>
      </rPr>
      <t>N</t>
    </r>
    <r>
      <rPr>
        <vertAlign val="superscript"/>
        <sz val="14"/>
        <rFont val="Arial"/>
        <family val="2"/>
      </rPr>
      <t xml:space="preserve"> + </t>
    </r>
  </si>
  <si>
    <r>
      <t>z</t>
    </r>
    <r>
      <rPr>
        <vertAlign val="superscript"/>
        <sz val="11"/>
        <rFont val="Arial"/>
        <family val="2"/>
      </rPr>
      <t>N</t>
    </r>
    <r>
      <rPr>
        <vertAlign val="superscript"/>
        <sz val="14"/>
        <rFont val="Arial"/>
        <family val="2"/>
      </rPr>
      <t xml:space="preserve"> </t>
    </r>
    <r>
      <rPr>
        <vertAlign val="superscript"/>
        <sz val="12"/>
        <rFont val="Arial"/>
        <family val="2"/>
      </rPr>
      <t>=</t>
    </r>
    <r>
      <rPr>
        <vertAlign val="superscript"/>
        <sz val="14"/>
        <rFont val="Arial"/>
        <family val="2"/>
      </rPr>
      <t xml:space="preserve"> z</t>
    </r>
    <r>
      <rPr>
        <vertAlign val="superscript"/>
        <sz val="11"/>
        <rFont val="Arial"/>
        <family val="2"/>
      </rPr>
      <t>Ø</t>
    </r>
    <r>
      <rPr>
        <vertAlign val="superscript"/>
        <sz val="14"/>
        <rFont val="Arial"/>
        <family val="2"/>
      </rPr>
      <t xml:space="preserve"> - </t>
    </r>
  </si>
  <si>
    <r>
      <t>z</t>
    </r>
    <r>
      <rPr>
        <vertAlign val="subscript"/>
        <sz val="10"/>
        <rFont val="Arial"/>
        <family val="2"/>
      </rPr>
      <t>Ø</t>
    </r>
    <r>
      <rPr>
        <sz val="10"/>
        <rFont val="Arial"/>
        <family val="2"/>
      </rPr>
      <t xml:space="preserve"> - z</t>
    </r>
    <r>
      <rPr>
        <vertAlign val="subscript"/>
        <sz val="10"/>
        <rFont val="Arial"/>
        <family val="2"/>
      </rPr>
      <t>N</t>
    </r>
  </si>
  <si>
    <t>f =</t>
  </si>
  <si>
    <t>Koter, fald og højdetab</t>
  </si>
  <si>
    <t>Koter og fald</t>
  </si>
  <si>
    <t>Højdetab</t>
  </si>
  <si>
    <t>Beregning af promille</t>
  </si>
  <si>
    <t>Forholdstal</t>
  </si>
  <si>
    <t>1:</t>
  </si>
  <si>
    <r>
      <t>o</t>
    </r>
    <r>
      <rPr>
        <sz val="10"/>
        <rFont val="Arial"/>
        <family val="2"/>
      </rPr>
      <t>/</t>
    </r>
    <r>
      <rPr>
        <vertAlign val="subscript"/>
        <sz val="10"/>
        <rFont val="Arial"/>
        <family val="2"/>
      </rPr>
      <t>oo</t>
    </r>
  </si>
  <si>
    <t>Anlæg</t>
  </si>
  <si>
    <t>a =</t>
  </si>
  <si>
    <t>Grader</t>
  </si>
  <si>
    <t>Ved fittings er det altid vinklen i forhold til lodret, som der er angivet</t>
  </si>
  <si>
    <t>+</t>
  </si>
  <si>
    <t>Afgreninger</t>
  </si>
  <si>
    <t>Der regnes med indvendige diametre</t>
  </si>
  <si>
    <r>
      <t>d</t>
    </r>
    <r>
      <rPr>
        <vertAlign val="subscript"/>
        <sz val="10"/>
        <rFont val="Arial"/>
        <family val="2"/>
      </rPr>
      <t>i</t>
    </r>
  </si>
  <si>
    <r>
      <t>D</t>
    </r>
    <r>
      <rPr>
        <vertAlign val="subscript"/>
        <sz val="10"/>
        <rFont val="Arial"/>
        <family val="2"/>
      </rPr>
      <t>i</t>
    </r>
  </si>
  <si>
    <t>Reduktion</t>
  </si>
  <si>
    <t>Spidsbundet rør</t>
  </si>
  <si>
    <t>(spb)</t>
  </si>
  <si>
    <t>Rør - dimensionering</t>
  </si>
  <si>
    <r>
      <t>Σ</t>
    </r>
    <r>
      <rPr>
        <sz val="14"/>
        <rFont val="Arial"/>
        <family val="2"/>
      </rPr>
      <t>q</t>
    </r>
    <r>
      <rPr>
        <vertAlign val="subscript"/>
        <sz val="14"/>
        <rFont val="Arial"/>
        <family val="2"/>
      </rPr>
      <t>S,f</t>
    </r>
    <r>
      <rPr>
        <sz val="14"/>
        <rFont val="Arial"/>
        <family val="2"/>
      </rPr>
      <t xml:space="preserve">  - Forudsat spildevandsstrøm</t>
    </r>
  </si>
  <si>
    <t>Bolig</t>
  </si>
  <si>
    <t>Erhverv</t>
  </si>
  <si>
    <t>Antal</t>
  </si>
  <si>
    <t>Type</t>
  </si>
  <si>
    <t>GA</t>
  </si>
  <si>
    <r>
      <t>q</t>
    </r>
    <r>
      <rPr>
        <b/>
        <vertAlign val="subscript"/>
        <sz val="10"/>
        <rFont val="Arial"/>
        <family val="2"/>
      </rPr>
      <t>S,f</t>
    </r>
    <r>
      <rPr>
        <b/>
        <sz val="10"/>
        <rFont val="Arial"/>
        <family val="2"/>
      </rPr>
      <t xml:space="preserve"> </t>
    </r>
  </si>
  <si>
    <r>
      <t>Σq</t>
    </r>
    <r>
      <rPr>
        <b/>
        <vertAlign val="subscript"/>
        <sz val="10"/>
        <rFont val="Arial"/>
        <family val="2"/>
      </rPr>
      <t>S,f</t>
    </r>
    <r>
      <rPr>
        <b/>
        <sz val="10"/>
        <rFont val="Arial"/>
        <family val="2"/>
      </rPr>
      <t xml:space="preserve"> </t>
    </r>
  </si>
  <si>
    <t>KV</t>
  </si>
  <si>
    <t>GA 50</t>
  </si>
  <si>
    <t>GA 75</t>
  </si>
  <si>
    <t>GA 100</t>
  </si>
  <si>
    <t>OM</t>
  </si>
  <si>
    <t>VM</t>
  </si>
  <si>
    <t>WC</t>
  </si>
  <si>
    <t>HV</t>
  </si>
  <si>
    <t>BD</t>
  </si>
  <si>
    <t>BR</t>
  </si>
  <si>
    <t>RV</t>
  </si>
  <si>
    <t>UV</t>
  </si>
  <si>
    <t>?</t>
  </si>
  <si>
    <t>UR</t>
  </si>
  <si>
    <r>
      <t>UR</t>
    </r>
    <r>
      <rPr>
        <vertAlign val="superscript"/>
        <sz val="10"/>
        <rFont val="Arial"/>
        <family val="2"/>
      </rPr>
      <t>1</t>
    </r>
  </si>
  <si>
    <r>
      <t>UR</t>
    </r>
    <r>
      <rPr>
        <vertAlign val="superscript"/>
        <sz val="10"/>
        <rFont val="Arial"/>
        <family val="2"/>
      </rPr>
      <t>2</t>
    </r>
  </si>
  <si>
    <r>
      <t>1</t>
    </r>
    <r>
      <rPr>
        <sz val="8"/>
        <rFont val="Arial"/>
        <family val="2"/>
      </rPr>
      <t xml:space="preserve"> 0.4 l/s</t>
    </r>
  </si>
  <si>
    <r>
      <t>2</t>
    </r>
    <r>
      <rPr>
        <sz val="8"/>
        <rFont val="Arial"/>
        <family val="2"/>
      </rPr>
      <t xml:space="preserve"> 0.3 l/s pr stand - max 1.8 l/s</t>
    </r>
  </si>
  <si>
    <r>
      <t>VR</t>
    </r>
    <r>
      <rPr>
        <vertAlign val="superscript"/>
        <sz val="10"/>
        <rFont val="Arial"/>
        <family val="2"/>
      </rPr>
      <t>1</t>
    </r>
  </si>
  <si>
    <r>
      <t>VR</t>
    </r>
    <r>
      <rPr>
        <vertAlign val="superscript"/>
        <sz val="10"/>
        <rFont val="Arial"/>
        <family val="2"/>
      </rPr>
      <t>2</t>
    </r>
  </si>
  <si>
    <t>UR - Urinaler</t>
  </si>
  <si>
    <t>VR - Vaskerender</t>
  </si>
  <si>
    <r>
      <t>1</t>
    </r>
    <r>
      <rPr>
        <sz val="8"/>
        <rFont val="Arial"/>
        <family val="2"/>
      </rPr>
      <t xml:space="preserve"> 0.3 l/s pr. tapsted</t>
    </r>
  </si>
  <si>
    <r>
      <t>2</t>
    </r>
    <r>
      <rPr>
        <sz val="8"/>
        <rFont val="Arial"/>
        <family val="2"/>
      </rPr>
      <t xml:space="preserve"> 0.4 l/s pr. meter vaskerende</t>
    </r>
  </si>
  <si>
    <t>Hospitaler mv.</t>
  </si>
  <si>
    <t>UK</t>
  </si>
  <si>
    <t>BS</t>
  </si>
  <si>
    <t>Udslagningskumme</t>
  </si>
  <si>
    <t>Bækkenskyller</t>
  </si>
  <si>
    <t>VR</t>
  </si>
  <si>
    <t>Gulvafløb</t>
  </si>
  <si>
    <t>Køkkenvask</t>
  </si>
  <si>
    <t>Opvaskemaskine</t>
  </si>
  <si>
    <t>Vaskemaskine</t>
  </si>
  <si>
    <t>Toilet</t>
  </si>
  <si>
    <t>Håndvask</t>
  </si>
  <si>
    <t>Badekar</t>
  </si>
  <si>
    <t>Bidet</t>
  </si>
  <si>
    <t>Brusearrangement</t>
  </si>
  <si>
    <t>Urinal</t>
  </si>
  <si>
    <t>Vaskerende</t>
  </si>
  <si>
    <t>Rengøringsvask</t>
  </si>
  <si>
    <t>Udslagningsvask</t>
  </si>
  <si>
    <t>Forklaringer</t>
  </si>
  <si>
    <t>Kloakering - åbent land</t>
  </si>
  <si>
    <t>Anlægstype</t>
  </si>
  <si>
    <t>Nedsivning</t>
  </si>
  <si>
    <t>Renseklasse</t>
  </si>
  <si>
    <t>O</t>
  </si>
  <si>
    <t xml:space="preserve">O, SO, OP, SOP </t>
  </si>
  <si>
    <t>SO</t>
  </si>
  <si>
    <t>OP</t>
  </si>
  <si>
    <t>SOP</t>
  </si>
  <si>
    <t>Udledning/</t>
  </si>
  <si>
    <t>Betingelser for anvendelse</t>
  </si>
  <si>
    <t>Jordbundsforhold skal være egnet til</t>
  </si>
  <si>
    <t>●</t>
  </si>
  <si>
    <t>nedsivning. (Lerjord er ikke egnet)</t>
  </si>
  <si>
    <t>Ved højt grundvandsspejl</t>
  </si>
  <si>
    <t>Sivedræn skal hæves til 1 meter over</t>
  </si>
  <si>
    <t>højeste grundvandsspejl</t>
  </si>
  <si>
    <t>Afstandskrav</t>
  </si>
  <si>
    <t>Vandindvinding med drikkevandskvalitet</t>
  </si>
  <si>
    <t>Rodzoneanlæg</t>
  </si>
  <si>
    <t>Almen vandforsyning</t>
  </si>
  <si>
    <t>Indvindingsanlæg &lt;10 ejendomme</t>
  </si>
  <si>
    <t>Vandindvinding uden krav om drikkevandskvalitet</t>
  </si>
  <si>
    <t>Vandindvinding til f.eks markvanding</t>
  </si>
  <si>
    <r>
      <t>Ved gunstige hydrogeologiske forhold</t>
    </r>
    <r>
      <rPr>
        <vertAlign val="superscript"/>
        <sz val="8"/>
        <rFont val="Arial"/>
        <family val="2"/>
      </rPr>
      <t xml:space="preserve"> 2</t>
    </r>
  </si>
  <si>
    <t>Vandløb, søer, havet, drænledninger og grøfter</t>
  </si>
  <si>
    <t>Vandløb, søer (herunder moser) og havet</t>
  </si>
  <si>
    <r>
      <t>Kommunen kan give nedsættelse til</t>
    </r>
    <r>
      <rPr>
        <vertAlign val="superscript"/>
        <sz val="8"/>
        <rFont val="Arial"/>
        <family val="2"/>
      </rPr>
      <t>3</t>
    </r>
  </si>
  <si>
    <r>
      <t>Vandindvinding med drikkevandskvalitet</t>
    </r>
    <r>
      <rPr>
        <b/>
        <vertAlign val="superscript"/>
        <sz val="8"/>
        <rFont val="Arial"/>
        <family val="2"/>
      </rPr>
      <t>1</t>
    </r>
  </si>
  <si>
    <t xml:space="preserve">Miljøbeskyttelseslovens § 22 være fastlagt et beskyttelsesområde omkring vandindvindingsanlæg, som umuliggør </t>
  </si>
  <si>
    <t>nedsivning indenfor et større område.</t>
  </si>
  <si>
    <t>Når de hydrogeologiske forhold sandsynliggør at nedsivningen vil kunne ske uden risiko for forurening af</t>
  </si>
  <si>
    <t>vandindvindingsanlægget.</t>
  </si>
  <si>
    <t>Hvis afstanden er mindre end 25 m, kan kommunen dog meddele tilladelse til etablering af nedsivningsanlæg som en</t>
  </si>
  <si>
    <t xml:space="preserve">kombineret udlednings- og nedsivningstilladelse Anlæg skal kunne opfylde alle 4 renseklasser  </t>
  </si>
  <si>
    <t>Ved sandjord kan det dog nedsættes til</t>
  </si>
  <si>
    <t>Andre forhold</t>
  </si>
  <si>
    <t>Andre nedsivingsanlæg for husspildevand</t>
  </si>
  <si>
    <t>Bygninger og skel</t>
  </si>
  <si>
    <t>Større træer</t>
  </si>
  <si>
    <r>
      <t xml:space="preserve">Skrænter &gt; 250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/</t>
    </r>
    <r>
      <rPr>
        <vertAlign val="subscript"/>
        <sz val="8"/>
        <rFont val="Arial"/>
        <family val="2"/>
      </rPr>
      <t>oo</t>
    </r>
  </si>
  <si>
    <t>3-6</t>
  </si>
  <si>
    <t>Udledning til</t>
  </si>
  <si>
    <t>dræn eller</t>
  </si>
  <si>
    <t>vandløb</t>
  </si>
  <si>
    <t>Ingen krav til jordbundsforhold</t>
  </si>
  <si>
    <t>Ingen krav til grundvandsspejl</t>
  </si>
  <si>
    <t>Egen vandboring</t>
  </si>
  <si>
    <t>Øvrige vandboringer</t>
  </si>
  <si>
    <t xml:space="preserve">Biologisk sandfilter </t>
  </si>
  <si>
    <t xml:space="preserve">Biologisk  </t>
  </si>
  <si>
    <t>sandfilter</t>
  </si>
  <si>
    <t xml:space="preserve">Spildevandsanlæg i det åbne land </t>
  </si>
  <si>
    <t xml:space="preserve">Udledning / nedsivning </t>
  </si>
  <si>
    <t xml:space="preserve">Renseklasse </t>
  </si>
  <si>
    <t xml:space="preserve">Afstandskrav </t>
  </si>
  <si>
    <t xml:space="preserve">Udledning til dræn eller vandløb </t>
  </si>
  <si>
    <t xml:space="preserve">O, SO </t>
  </si>
  <si>
    <t xml:space="preserve">skal kombineres med andre anlægstyper hvis der er rensekrav til fosfor (OP og SOP) </t>
  </si>
  <si>
    <t xml:space="preserve">Rodzoneanlæg </t>
  </si>
  <si>
    <t xml:space="preserve">Normalt udledning til dræn eller vandløb. </t>
  </si>
  <si>
    <t xml:space="preserve">O </t>
  </si>
  <si>
    <t xml:space="preserve">Kræver velfungerende bundfældningstank Følsom for konstant </t>
  </si>
  <si>
    <t xml:space="preserve">(Sommetider nedsivning, hvis bundmembran er utæt) </t>
  </si>
  <si>
    <t xml:space="preserve">overbelastning Etablering og opretholdelse af plantedække kan være problem Problemer med vand løber på overfladen af anlægget </t>
  </si>
  <si>
    <t xml:space="preserve">Pilerenseanlæg </t>
  </si>
  <si>
    <t xml:space="preserve">Nedsivning (åben bund) eller Ren fordampning (lukket bund) </t>
  </si>
  <si>
    <t xml:space="preserve">For anlæg med åben bund må forventes samme afstandskrav som for nedsivningsanlæg Tungmetalholdig aske </t>
  </si>
  <si>
    <t xml:space="preserve">Minirenseanlæg </t>
  </si>
  <si>
    <t xml:space="preserve">Etablering af et minirenseanlæg forudsætter at der indgås en serviceaftale om anlægget </t>
  </si>
  <si>
    <t xml:space="preserve">systemet. </t>
  </si>
  <si>
    <t>m/membran</t>
  </si>
  <si>
    <t>Beregning af PE - personækvivalenter</t>
  </si>
  <si>
    <t>Enfamiliebolig</t>
  </si>
  <si>
    <t xml:space="preserve">Restauranter </t>
  </si>
  <si>
    <t xml:space="preserve">Fabrikker </t>
  </si>
  <si>
    <t xml:space="preserve">Værksteder </t>
  </si>
  <si>
    <t xml:space="preserve">Forretninger </t>
  </si>
  <si>
    <t xml:space="preserve">Kontorer </t>
  </si>
  <si>
    <t xml:space="preserve">Skoler </t>
  </si>
  <si>
    <t xml:space="preserve">Sygehus </t>
  </si>
  <si>
    <t xml:space="preserve">Plejehjem </t>
  </si>
  <si>
    <t xml:space="preserve">Hoteller </t>
  </si>
  <si>
    <t>Sommerrestaurant</t>
  </si>
  <si>
    <t>Forenings -og klubhuse</t>
  </si>
  <si>
    <t>Antal enfamilieboliger</t>
  </si>
  <si>
    <t xml:space="preserve">Antal pladser i en restaurant </t>
  </si>
  <si>
    <t xml:space="preserve">Antal beskæftigede pr. skift i enfabrik </t>
  </si>
  <si>
    <t>Antal beskæftigede personer på etværksted</t>
  </si>
  <si>
    <t xml:space="preserve">Antal beskæftigede personer i en  forretning </t>
  </si>
  <si>
    <t xml:space="preserve">Antal beskæftigede personer på etkontor </t>
  </si>
  <si>
    <t xml:space="preserve">Antal elevpladser på en skole </t>
  </si>
  <si>
    <t xml:space="preserve">Antal sengepladser på et sygehus </t>
  </si>
  <si>
    <t xml:space="preserve">Antal sengepladser på et plejehjem </t>
  </si>
  <si>
    <t>Antal plads til gæster i det fri sommerrestaurant</t>
  </si>
  <si>
    <t>Antal pladser i forenings -og klubhuse uden restaurant</t>
  </si>
  <si>
    <t>I alt personækvivalenter - PE</t>
  </si>
  <si>
    <t xml:space="preserve"> </t>
  </si>
  <si>
    <t>Boliger</t>
  </si>
  <si>
    <t>Personer</t>
  </si>
  <si>
    <r>
      <t xml:space="preserve"> </t>
    </r>
    <r>
      <rPr>
        <sz val="11"/>
        <color indexed="8"/>
        <rFont val="Arial"/>
        <family val="2"/>
      </rPr>
      <t xml:space="preserve"> 1-5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</si>
  <si>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6-10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</si>
  <si>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3-4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</si>
  <si>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11-15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</si>
  <si>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5-6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</si>
  <si>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16-20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</si>
  <si>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7-8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</si>
  <si>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21-25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</si>
  <si>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9-10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</si>
  <si>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26-30 </t>
    </r>
    <r>
      <rPr>
        <sz val="11"/>
        <rFont val="Arial"/>
        <family val="2"/>
      </rPr>
      <t xml:space="preserve"> </t>
    </r>
  </si>
  <si>
    <t>PE</t>
  </si>
  <si>
    <r>
      <t xml:space="preserve"> </t>
    </r>
    <r>
      <rPr>
        <b/>
        <sz val="12"/>
        <color indexed="8"/>
        <rFont val="Arial"/>
        <family val="2"/>
      </rPr>
      <t>Helårsbeboelse</t>
    </r>
    <r>
      <rPr>
        <b/>
        <sz val="12"/>
        <rFont val="Arial"/>
        <family val="2"/>
      </rPr>
      <t xml:space="preserve"> </t>
    </r>
  </si>
  <si>
    <t xml:space="preserve">Antal sengepladser i et hotel </t>
  </si>
  <si>
    <t>Regnvandsfaskiner</t>
  </si>
  <si>
    <t>Regnvand - afløbskoefficient</t>
  </si>
  <si>
    <t>Tag</t>
  </si>
  <si>
    <t>Område</t>
  </si>
  <si>
    <t>φ</t>
  </si>
  <si>
    <t>Areal A</t>
  </si>
  <si>
    <t>Husk!</t>
  </si>
  <si>
    <t>Ved områder, der nedsives, sættes φ = 0</t>
  </si>
  <si>
    <t>Gennemsnitlig afløbskoeefficeint   φ =</t>
  </si>
  <si>
    <t>A∙φ</t>
  </si>
  <si>
    <t>m² - regnmodtagende areal</t>
  </si>
  <si>
    <t>afløbskoefficienten</t>
  </si>
  <si>
    <t>H</t>
  </si>
  <si>
    <t>% - hulrumsprocent for faskinen</t>
  </si>
  <si>
    <t>Volumen af faskine:</t>
  </si>
  <si>
    <r>
      <t>q</t>
    </r>
    <r>
      <rPr>
        <vertAlign val="subscript"/>
        <sz val="12"/>
        <rFont val="Arial"/>
        <family val="2"/>
      </rPr>
      <t>R</t>
    </r>
    <r>
      <rPr>
        <sz val="12"/>
        <rFont val="Arial"/>
        <family val="2"/>
      </rPr>
      <t xml:space="preserve"> =</t>
    </r>
  </si>
  <si>
    <t>m - bundbredde</t>
  </si>
  <si>
    <t>m - overbredde</t>
  </si>
  <si>
    <t>m - dybde af stenlag</t>
  </si>
  <si>
    <t>Dimensionsgivende regnvandsstrøm</t>
  </si>
  <si>
    <r>
      <t>V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=</t>
    </r>
  </si>
  <si>
    <t>Tværsnit af faskine</t>
  </si>
  <si>
    <t>Længde af faskine</t>
  </si>
  <si>
    <r>
      <t>L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 xml:space="preserve"> =</t>
    </r>
  </si>
  <si>
    <t>Tværsnitsarealet</t>
  </si>
  <si>
    <t>Der må kun regnes med den del, der ligger</t>
  </si>
  <si>
    <t>over et eventuelt grundvandsspejl</t>
  </si>
  <si>
    <t>Er der tilsluttet dræn, må der ikke regnes</t>
  </si>
  <si>
    <t>med den del, der ligger over niveau for dræn</t>
  </si>
  <si>
    <t>Åbent land</t>
  </si>
  <si>
    <t>Regnvand</t>
  </si>
  <si>
    <t>Regnvandskasetter</t>
  </si>
  <si>
    <t>m - længde</t>
  </si>
  <si>
    <t>m - bredde</t>
  </si>
  <si>
    <t>m - højde</t>
  </si>
  <si>
    <t>højde af kasette</t>
  </si>
  <si>
    <t>Volumen af en regnvandskasette</t>
  </si>
  <si>
    <t>Antal regnvandskasettet</t>
  </si>
  <si>
    <t>% - hulrumsprocent for regnvandskasetter</t>
  </si>
  <si>
    <t>Regnvandskasette:</t>
  </si>
  <si>
    <t>1-5</t>
  </si>
  <si>
    <t>6-10</t>
  </si>
  <si>
    <t>11-15</t>
  </si>
  <si>
    <t>16-20</t>
  </si>
  <si>
    <t>21-25</t>
  </si>
  <si>
    <t>26-30</t>
  </si>
  <si>
    <t>Volumen m³</t>
  </si>
  <si>
    <t>Volumen på bundfældningstank</t>
  </si>
  <si>
    <t>Ud fra ovenstående beregning af PE</t>
  </si>
  <si>
    <t>Med WC-tilslutning</t>
  </si>
  <si>
    <t>Uden WC-tilslutning</t>
  </si>
  <si>
    <t>Nedsivningsanlæg</t>
  </si>
  <si>
    <t>Beregnet ud fra ovenstående beregning af PE</t>
  </si>
  <si>
    <t>Samlet længde af sivegrøfter (m) eller siveareal (m²)</t>
  </si>
  <si>
    <t>Jordtype A (sand)</t>
  </si>
  <si>
    <t>m eller m²</t>
  </si>
  <si>
    <t>Jordtype B (sand/silt)</t>
  </si>
  <si>
    <r>
      <t xml:space="preserve"> </t>
    </r>
    <r>
      <rPr>
        <sz val="10"/>
        <color indexed="8"/>
        <rFont val="Arial"/>
        <family val="2"/>
      </rPr>
      <t xml:space="preserve">Overfladeareal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</si>
  <si>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Længde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</si>
  <si>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Bredde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</si>
  <si>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25 m²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</si>
  <si>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10 m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</si>
  <si>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2,5 m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</si>
  <si>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50 m²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</si>
  <si>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12,5 m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</si>
  <si>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4 m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</si>
  <si>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75 m²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</si>
  <si>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6 m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</si>
  <si>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100 m²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</si>
  <si>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15 m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</si>
  <si>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6,7 m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</si>
  <si>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125 m²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</si>
  <si>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8,3 m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</si>
  <si>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 xml:space="preserve">150 m² </t>
    </r>
    <r>
      <rPr>
        <sz val="10"/>
        <rFont val="Arial"/>
        <family val="2"/>
      </rPr>
      <t xml:space="preserve"> </t>
    </r>
  </si>
  <si>
    <t>Rodzoneanlægget</t>
  </si>
  <si>
    <t>Teoretisk areal:</t>
  </si>
  <si>
    <t>m²</t>
  </si>
  <si>
    <t>Biologisk sandfilter</t>
  </si>
  <si>
    <t>Længde af filter</t>
  </si>
  <si>
    <t>12,5 m</t>
  </si>
  <si>
    <t>15 m</t>
  </si>
  <si>
    <t>Bredde</t>
  </si>
  <si>
    <t>Fordeler</t>
  </si>
  <si>
    <t>strenge</t>
  </si>
  <si>
    <t>Opsamlings</t>
  </si>
  <si>
    <t>dræn</t>
  </si>
  <si>
    <t>2 m</t>
  </si>
  <si>
    <t>4 m</t>
  </si>
  <si>
    <t>5 m</t>
  </si>
  <si>
    <t>8 m</t>
  </si>
  <si>
    <t>10 m</t>
  </si>
  <si>
    <t>af filter</t>
  </si>
  <si>
    <t>Pileanlæg</t>
  </si>
  <si>
    <t>Skønnet årlig vandforbrug</t>
  </si>
  <si>
    <t>m³/år pr. PE</t>
  </si>
  <si>
    <t>Arealkrav m²/100m³</t>
  </si>
  <si>
    <t>Aflæses på kortet, næste side</t>
  </si>
  <si>
    <t>Antal PE</t>
  </si>
  <si>
    <t>Reduktionsfaktor for ledningsevne</t>
  </si>
  <si>
    <t>% - aflæses i skema nedenfor</t>
  </si>
  <si>
    <t>(35 - 45 m³/PE∙år)</t>
  </si>
  <si>
    <t>Størrelse på anlæg:</t>
  </si>
  <si>
    <t>Anlæg skal være 8 m bredt : Længden:</t>
  </si>
  <si>
    <t>stk</t>
  </si>
  <si>
    <r>
      <t xml:space="preserve">Gravitation </t>
    </r>
    <r>
      <rPr>
        <sz val="10"/>
        <rFont val="Arial"/>
        <family val="2"/>
      </rPr>
      <t>(sivestrenge max 15 m)</t>
    </r>
  </si>
  <si>
    <t>Udformning - Jordtype A (sand)</t>
  </si>
  <si>
    <r>
      <t>Trykfordeling</t>
    </r>
    <r>
      <rPr>
        <sz val="10"/>
        <rFont val="Arial"/>
        <family val="2"/>
      </rPr>
      <t xml:space="preserve"> (sivestrenge max 25 m)</t>
    </r>
  </si>
  <si>
    <t>Udformning - Jordtype B (sand/silt)</t>
  </si>
  <si>
    <t>Antal fordelerrør</t>
  </si>
  <si>
    <r>
      <t xml:space="preserve">Fald på fordelerrør 5-10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/</t>
    </r>
    <r>
      <rPr>
        <vertAlign val="subscript"/>
        <sz val="10"/>
        <rFont val="Arial"/>
        <family val="2"/>
      </rPr>
      <t>oo</t>
    </r>
  </si>
  <si>
    <t>Indvendig diameter: 80 -110 mm</t>
  </si>
  <si>
    <t>Hulafstand: 0.7-1.0 m</t>
  </si>
  <si>
    <t>Hulstørrelse ø 7 - 10 mm</t>
  </si>
  <si>
    <t>Hulstørrelse ø 5 - 7 mm</t>
  </si>
  <si>
    <t>Indvendig diameter: 32 -45 mm</t>
  </si>
  <si>
    <t>Rør lægges vandret</t>
  </si>
  <si>
    <t>bede</t>
  </si>
  <si>
    <t>Længde</t>
  </si>
  <si>
    <t>Antal op-</t>
  </si>
  <si>
    <t>samlings-</t>
  </si>
  <si>
    <t xml:space="preserve">Samlet </t>
  </si>
  <si>
    <t>areal</t>
  </si>
  <si>
    <t>6 m</t>
  </si>
  <si>
    <t>Beplantet filteranlæg</t>
  </si>
  <si>
    <t>3/3</t>
  </si>
  <si>
    <t>3/6</t>
  </si>
  <si>
    <t>5/6</t>
  </si>
  <si>
    <t>Eksempler på anlæg</t>
  </si>
  <si>
    <t>Terrasse</t>
  </si>
  <si>
    <t>Indkørsel</t>
  </si>
  <si>
    <t>Græs</t>
  </si>
  <si>
    <t>i</t>
  </si>
  <si>
    <r>
      <t>l/s∙m</t>
    </r>
    <r>
      <rPr>
        <vertAlign val="superscript"/>
        <sz val="14"/>
        <rFont val="Arial"/>
        <family val="2"/>
      </rPr>
      <t xml:space="preserve">2 </t>
    </r>
    <r>
      <rPr>
        <sz val="14"/>
        <rFont val="Arial"/>
        <family val="2"/>
      </rPr>
      <t>- regnintensitet</t>
    </r>
  </si>
  <si>
    <t>A = ¼π∙d²</t>
  </si>
  <si>
    <t>Regnintensitet</t>
  </si>
  <si>
    <t>Klimafaktor</t>
  </si>
  <si>
    <t>Sum</t>
  </si>
  <si>
    <t>Resultat</t>
  </si>
  <si>
    <t>L/s / streng</t>
  </si>
  <si>
    <t>K</t>
  </si>
  <si>
    <t>ΣqS,f  - Forudsat spildevandsstrøm</t>
  </si>
  <si>
    <t>HJEM</t>
  </si>
  <si>
    <t>Radius</t>
  </si>
  <si>
    <t>Diameter</t>
  </si>
  <si>
    <t>Areal</t>
  </si>
  <si>
    <t>Omkreds</t>
  </si>
  <si>
    <t>Højde</t>
  </si>
  <si>
    <t>(r)</t>
  </si>
  <si>
    <t>(d)</t>
  </si>
  <si>
    <t>(a)</t>
  </si>
  <si>
    <t>(h)</t>
  </si>
  <si>
    <t>(v)</t>
  </si>
  <si>
    <t>(o)</t>
  </si>
  <si>
    <t>r • 2</t>
  </si>
  <si>
    <t>r² • π</t>
  </si>
  <si>
    <t>d • π</t>
  </si>
  <si>
    <t>d =</t>
  </si>
  <si>
    <t>o =</t>
  </si>
  <si>
    <t>h • a</t>
  </si>
  <si>
    <t>eller</t>
  </si>
  <si>
    <t>o</t>
  </si>
  <si>
    <t>Vælg enhed</t>
  </si>
  <si>
    <t>Centimeter</t>
  </si>
  <si>
    <t>Meter</t>
  </si>
  <si>
    <t>Millimeter</t>
  </si>
  <si>
    <t>cm</t>
  </si>
  <si>
    <t>Vælg volumen enhed</t>
  </si>
  <si>
    <t>Liter</t>
  </si>
  <si>
    <r>
      <t>m</t>
    </r>
    <r>
      <rPr>
        <sz val="10"/>
        <rFont val="Calibri"/>
        <family val="2"/>
      </rPr>
      <t>³</t>
    </r>
  </si>
  <si>
    <t>m³</t>
  </si>
  <si>
    <t>Indtast kun 1 værdi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</si>
</sst>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"/>
    <numFmt numFmtId="166" formatCode="0.0"/>
  </numFmts>
  <fonts count="6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22"/>
      <name val="Arial"/>
      <family val="2"/>
    </font>
    <font>
      <sz val="36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2"/>
      <color indexed="10"/>
      <name val="Arial"/>
      <family val="2"/>
    </font>
    <font>
      <b/>
      <vertAlign val="subscript"/>
      <sz val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name val="Arial"/>
      <family val="2"/>
    </font>
    <font>
      <vertAlign val="superscript"/>
      <sz val="14"/>
      <name val="Arial"/>
      <family val="2"/>
    </font>
    <font>
      <vertAlign val="superscript"/>
      <sz val="11"/>
      <name val="Arial"/>
      <family val="2"/>
    </font>
    <font>
      <vertAlign val="superscript"/>
      <sz val="12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vertAlign val="subscript"/>
      <sz val="14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vertAlign val="subscript"/>
      <sz val="11"/>
      <name val="Arial"/>
      <family val="2"/>
    </font>
    <font>
      <sz val="14"/>
      <color indexed="10"/>
      <name val="Arial"/>
      <family val="2"/>
    </font>
    <font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sz val="24"/>
      <name val="Webdings"/>
      <family val="1"/>
      <charset val="2"/>
    </font>
    <font>
      <sz val="24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sz val="12"/>
      <name val="Times New Roman"/>
      <family val="1"/>
    </font>
    <font>
      <b/>
      <sz val="8"/>
      <name val="Arial"/>
      <family val="2"/>
    </font>
    <font>
      <sz val="12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vertAlign val="subscript"/>
      <sz val="8"/>
      <name val="Arial"/>
      <family val="2"/>
    </font>
    <font>
      <b/>
      <sz val="9"/>
      <name val="Arial"/>
      <family val="2"/>
    </font>
    <font>
      <sz val="9.5"/>
      <color indexed="8"/>
      <name val="Arial"/>
      <family val="2"/>
    </font>
    <font>
      <sz val="10"/>
      <color indexed="9"/>
      <name val="Times New Roman"/>
      <family val="1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10"/>
      <name val="Arial"/>
      <family val="2"/>
    </font>
    <font>
      <b/>
      <sz val="12"/>
      <name val="Arial"/>
      <family val="2"/>
    </font>
    <font>
      <vertAlign val="subscript"/>
      <sz val="12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color theme="0"/>
      <name val="Arial"/>
      <family val="2"/>
    </font>
    <font>
      <sz val="10"/>
      <color theme="1"/>
      <name val="Times New Roman"/>
      <family val="1"/>
    </font>
    <font>
      <sz val="3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u/>
      <sz val="10"/>
      <name val="Times New Roman"/>
      <family val="1"/>
    </font>
    <font>
      <b/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lightTrellis"/>
    </fill>
    <fill>
      <patternFill patternType="darkGrid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5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 diagonalUp="1">
      <left/>
      <right/>
      <top/>
      <bottom/>
      <diagonal style="medium">
        <color auto="1"/>
      </diagonal>
    </border>
    <border diagonalUp="1">
      <left/>
      <right/>
      <top/>
      <bottom style="medium">
        <color auto="1"/>
      </bottom>
      <diagonal style="medium">
        <color auto="1"/>
      </diagonal>
    </border>
    <border diagonalUp="1">
      <left/>
      <right/>
      <top style="medium">
        <color auto="1"/>
      </top>
      <bottom/>
      <diagonal style="medium">
        <color auto="1"/>
      </diagonal>
    </border>
    <border diagonalDown="1">
      <left/>
      <right/>
      <top/>
      <bottom/>
      <diagonal style="medium">
        <color auto="1"/>
      </diagonal>
    </border>
    <border diagonalDown="1">
      <left/>
      <right/>
      <top/>
      <bottom style="medium">
        <color auto="1"/>
      </bottom>
      <diagonal style="medium">
        <color auto="1"/>
      </diagonal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766">
    <xf numFmtId="0" fontId="0" fillId="0" borderId="0" xfId="0"/>
    <xf numFmtId="0" fontId="0" fillId="0" borderId="1" xfId="0" applyBorder="1" applyAlignment="1"/>
    <xf numFmtId="0" fontId="0" fillId="0" borderId="0" xfId="0" applyBorder="1"/>
    <xf numFmtId="0" fontId="0" fillId="0" borderId="2" xfId="0" applyBorder="1"/>
    <xf numFmtId="0" fontId="0" fillId="0" borderId="3" xfId="0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7" fillId="0" borderId="2" xfId="0" applyFont="1" applyBorder="1"/>
    <xf numFmtId="0" fontId="8" fillId="0" borderId="2" xfId="0" applyFont="1" applyBorder="1"/>
    <xf numFmtId="0" fontId="3" fillId="0" borderId="0" xfId="0" applyFont="1" applyAlignment="1">
      <alignment horizontal="left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/>
    </xf>
    <xf numFmtId="0" fontId="10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8" xfId="0" applyBorder="1" applyAlignment="1">
      <alignment vertical="center"/>
    </xf>
    <xf numFmtId="0" fontId="2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horizontal="center"/>
    </xf>
    <xf numFmtId="0" fontId="14" fillId="0" borderId="0" xfId="0" applyFont="1"/>
    <xf numFmtId="0" fontId="0" fillId="0" borderId="16" xfId="0" applyBorder="1"/>
    <xf numFmtId="0" fontId="0" fillId="0" borderId="4" xfId="0" applyBorder="1"/>
    <xf numFmtId="0" fontId="0" fillId="0" borderId="1" xfId="0" applyBorder="1"/>
    <xf numFmtId="0" fontId="0" fillId="0" borderId="17" xfId="0" applyBorder="1"/>
    <xf numFmtId="0" fontId="0" fillId="0" borderId="3" xfId="0" applyBorder="1"/>
    <xf numFmtId="0" fontId="0" fillId="0" borderId="18" xfId="0" applyBorder="1"/>
    <xf numFmtId="0" fontId="0" fillId="0" borderId="19" xfId="0" applyBorder="1"/>
    <xf numFmtId="0" fontId="9" fillId="0" borderId="2" xfId="0" applyFont="1" applyBorder="1"/>
    <xf numFmtId="0" fontId="0" fillId="0" borderId="4" xfId="0" applyBorder="1" applyAlignment="1"/>
    <xf numFmtId="0" fontId="7" fillId="0" borderId="0" xfId="0" applyFont="1" applyBorder="1"/>
    <xf numFmtId="0" fontId="3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Fill="1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15" fillId="0" borderId="0" xfId="0" applyFont="1" applyBorder="1"/>
    <xf numFmtId="0" fontId="15" fillId="0" borderId="4" xfId="0" applyFont="1" applyBorder="1"/>
    <xf numFmtId="0" fontId="0" fillId="0" borderId="0" xfId="0" applyAlignment="1"/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10" fillId="0" borderId="4" xfId="0" applyFont="1" applyBorder="1"/>
    <xf numFmtId="0" fontId="10" fillId="0" borderId="2" xfId="0" applyFont="1" applyBorder="1"/>
    <xf numFmtId="0" fontId="10" fillId="0" borderId="0" xfId="0" applyFont="1" applyBorder="1"/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6" fillId="0" borderId="2" xfId="0" applyFont="1" applyBorder="1" applyAlignment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9" fillId="0" borderId="0" xfId="0" applyFont="1" applyBorder="1"/>
    <xf numFmtId="0" fontId="0" fillId="0" borderId="0" xfId="0" applyBorder="1" applyAlignment="1"/>
    <xf numFmtId="0" fontId="14" fillId="0" borderId="2" xfId="0" applyFont="1" applyBorder="1"/>
    <xf numFmtId="0" fontId="1" fillId="0" borderId="0" xfId="0" applyFont="1"/>
    <xf numFmtId="0" fontId="10" fillId="0" borderId="16" xfId="0" applyFont="1" applyBorder="1"/>
    <xf numFmtId="0" fontId="10" fillId="0" borderId="18" xfId="0" applyFont="1" applyBorder="1"/>
    <xf numFmtId="0" fontId="10" fillId="0" borderId="17" xfId="0" applyFont="1" applyBorder="1"/>
    <xf numFmtId="0" fontId="0" fillId="0" borderId="24" xfId="0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9" fillId="0" borderId="4" xfId="0" applyFont="1" applyBorder="1" applyAlignment="1"/>
    <xf numFmtId="0" fontId="4" fillId="0" borderId="2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5" fillId="0" borderId="25" xfId="0" applyFont="1" applyBorder="1"/>
    <xf numFmtId="0" fontId="0" fillId="2" borderId="26" xfId="0" applyFill="1" applyBorder="1"/>
    <xf numFmtId="0" fontId="10" fillId="2" borderId="24" xfId="0" applyFont="1" applyFill="1" applyBorder="1"/>
    <xf numFmtId="0" fontId="0" fillId="2" borderId="24" xfId="0" applyFill="1" applyBorder="1"/>
    <xf numFmtId="0" fontId="9" fillId="2" borderId="24" xfId="0" applyFont="1" applyFill="1" applyBorder="1"/>
    <xf numFmtId="0" fontId="4" fillId="0" borderId="4" xfId="0" applyFont="1" applyBorder="1" applyAlignment="1">
      <alignment vertical="center"/>
    </xf>
    <xf numFmtId="0" fontId="15" fillId="3" borderId="25" xfId="0" applyFont="1" applyFill="1" applyBorder="1"/>
    <xf numFmtId="0" fontId="2" fillId="0" borderId="4" xfId="0" applyFont="1" applyBorder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16" fillId="2" borderId="24" xfId="0" applyFont="1" applyFill="1" applyBorder="1" applyAlignment="1"/>
    <xf numFmtId="0" fontId="14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10" fillId="0" borderId="0" xfId="0" applyFont="1" applyFill="1" applyBorder="1"/>
    <xf numFmtId="0" fontId="7" fillId="0" borderId="0" xfId="0" applyFont="1" applyBorder="1" applyAlignment="1"/>
    <xf numFmtId="0" fontId="3" fillId="0" borderId="0" xfId="0" applyFont="1" applyBorder="1" applyAlignment="1"/>
    <xf numFmtId="0" fontId="0" fillId="0" borderId="27" xfId="0" applyBorder="1"/>
    <xf numFmtId="0" fontId="16" fillId="3" borderId="25" xfId="0" applyFont="1" applyFill="1" applyBorder="1"/>
    <xf numFmtId="0" fontId="16" fillId="0" borderId="25" xfId="0" applyFont="1" applyBorder="1"/>
    <xf numFmtId="0" fontId="16" fillId="2" borderId="26" xfId="0" applyFont="1" applyFill="1" applyBorder="1"/>
    <xf numFmtId="0" fontId="0" fillId="2" borderId="25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18" xfId="0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0" fontId="23" fillId="0" borderId="0" xfId="0" applyFont="1"/>
    <xf numFmtId="0" fontId="0" fillId="0" borderId="28" xfId="0" applyBorder="1"/>
    <xf numFmtId="0" fontId="0" fillId="0" borderId="29" xfId="0" applyBorder="1"/>
    <xf numFmtId="0" fontId="0" fillId="4" borderId="18" xfId="0" applyFill="1" applyBorder="1"/>
    <xf numFmtId="0" fontId="0" fillId="4" borderId="19" xfId="0" applyFill="1" applyBorder="1"/>
    <xf numFmtId="0" fontId="0" fillId="4" borderId="16" xfId="0" applyFill="1" applyBorder="1"/>
    <xf numFmtId="0" fontId="0" fillId="4" borderId="1" xfId="0" applyFill="1" applyBorder="1"/>
    <xf numFmtId="0" fontId="0" fillId="4" borderId="1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5" borderId="18" xfId="0" applyFill="1" applyBorder="1"/>
    <xf numFmtId="0" fontId="0" fillId="5" borderId="19" xfId="0" applyFill="1" applyBorder="1"/>
    <xf numFmtId="0" fontId="0" fillId="0" borderId="36" xfId="0" applyBorder="1"/>
    <xf numFmtId="0" fontId="10" fillId="0" borderId="0" xfId="0" applyFont="1" applyBorder="1" applyAlignment="1"/>
    <xf numFmtId="0" fontId="9" fillId="0" borderId="0" xfId="0" applyFont="1" applyBorder="1" applyAlignment="1"/>
    <xf numFmtId="0" fontId="10" fillId="4" borderId="37" xfId="0" applyFont="1" applyFill="1" applyBorder="1" applyAlignment="1">
      <alignment horizontal="left" vertical="center"/>
    </xf>
    <xf numFmtId="0" fontId="2" fillId="0" borderId="29" xfId="0" applyFont="1" applyBorder="1"/>
    <xf numFmtId="0" fontId="10" fillId="5" borderId="37" xfId="0" applyFont="1" applyFill="1" applyBorder="1" applyAlignment="1">
      <alignment horizontal="left" vertical="center"/>
    </xf>
    <xf numFmtId="0" fontId="0" fillId="0" borderId="0" xfId="0" applyBorder="1" applyAlignment="1">
      <alignment textRotation="90"/>
    </xf>
    <xf numFmtId="0" fontId="24" fillId="0" borderId="0" xfId="0" applyFont="1" applyAlignment="1">
      <alignment vertical="top" textRotation="120"/>
    </xf>
    <xf numFmtId="0" fontId="25" fillId="0" borderId="0" xfId="0" applyFont="1" applyAlignment="1"/>
    <xf numFmtId="0" fontId="11" fillId="0" borderId="38" xfId="0" applyFont="1" applyBorder="1" applyAlignment="1"/>
    <xf numFmtId="0" fontId="0" fillId="0" borderId="38" xfId="0" applyBorder="1" applyAlignment="1"/>
    <xf numFmtId="0" fontId="0" fillId="0" borderId="39" xfId="0" applyBorder="1" applyAlignment="1"/>
    <xf numFmtId="0" fontId="11" fillId="0" borderId="40" xfId="0" applyFont="1" applyBorder="1" applyAlignment="1"/>
    <xf numFmtId="0" fontId="0" fillId="0" borderId="40" xfId="0" applyBorder="1"/>
    <xf numFmtId="0" fontId="0" fillId="0" borderId="41" xfId="0" applyBorder="1"/>
    <xf numFmtId="0" fontId="14" fillId="0" borderId="42" xfId="0" applyFont="1" applyBorder="1"/>
    <xf numFmtId="0" fontId="11" fillId="0" borderId="43" xfId="0" applyFont="1" applyBorder="1" applyAlignment="1"/>
    <xf numFmtId="0" fontId="14" fillId="0" borderId="44" xfId="0" applyFont="1" applyBorder="1"/>
    <xf numFmtId="0" fontId="0" fillId="0" borderId="38" xfId="0" applyBorder="1"/>
    <xf numFmtId="0" fontId="14" fillId="0" borderId="39" xfId="0" quotePrefix="1" applyFont="1" applyBorder="1" applyAlignment="1">
      <alignment horizontal="right"/>
    </xf>
    <xf numFmtId="0" fontId="14" fillId="0" borderId="45" xfId="0" applyFont="1" applyBorder="1"/>
    <xf numFmtId="0" fontId="0" fillId="0" borderId="46" xfId="0" applyBorder="1"/>
    <xf numFmtId="0" fontId="14" fillId="0" borderId="18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0" fillId="0" borderId="25" xfId="0" applyBorder="1"/>
    <xf numFmtId="0" fontId="0" fillId="0" borderId="24" xfId="0" applyFill="1" applyBorder="1"/>
    <xf numFmtId="0" fontId="40" fillId="0" borderId="0" xfId="0" applyFont="1"/>
    <xf numFmtId="0" fontId="12" fillId="0" borderId="0" xfId="0" applyFont="1"/>
    <xf numFmtId="0" fontId="39" fillId="0" borderId="26" xfId="0" applyFont="1" applyBorder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2" fillId="0" borderId="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2" borderId="16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7" xfId="0" applyFill="1" applyBorder="1"/>
    <xf numFmtId="0" fontId="0" fillId="2" borderId="2" xfId="0" applyFill="1" applyBorder="1"/>
    <xf numFmtId="0" fontId="0" fillId="2" borderId="3" xfId="0" applyFill="1" applyBorder="1"/>
    <xf numFmtId="0" fontId="41" fillId="0" borderId="0" xfId="0" applyFont="1"/>
    <xf numFmtId="0" fontId="42" fillId="0" borderId="0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0" xfId="0" applyFont="1" applyFill="1" applyBorder="1"/>
    <xf numFmtId="0" fontId="45" fillId="0" borderId="0" xfId="0" applyFont="1"/>
    <xf numFmtId="0" fontId="39" fillId="0" borderId="0" xfId="0" applyFont="1"/>
    <xf numFmtId="0" fontId="42" fillId="0" borderId="18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9" fillId="0" borderId="17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1" xfId="0" applyFont="1" applyBorder="1"/>
    <xf numFmtId="0" fontId="47" fillId="0" borderId="16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8" fillId="0" borderId="47" xfId="0" applyFont="1" applyBorder="1" applyAlignment="1">
      <alignment wrapText="1"/>
    </xf>
    <xf numFmtId="0" fontId="48" fillId="0" borderId="48" xfId="0" applyFont="1" applyBorder="1" applyAlignment="1">
      <alignment vertical="top" wrapText="1"/>
    </xf>
    <xf numFmtId="0" fontId="48" fillId="0" borderId="49" xfId="0" applyFont="1" applyBorder="1" applyAlignment="1">
      <alignment vertical="top" wrapText="1"/>
    </xf>
    <xf numFmtId="0" fontId="43" fillId="0" borderId="50" xfId="0" applyFont="1" applyBorder="1" applyAlignment="1">
      <alignment vertical="top" wrapText="1"/>
    </xf>
    <xf numFmtId="0" fontId="43" fillId="0" borderId="51" xfId="0" applyFont="1" applyBorder="1" applyAlignment="1">
      <alignment vertical="top" wrapText="1"/>
    </xf>
    <xf numFmtId="0" fontId="48" fillId="0" borderId="51" xfId="0" applyFont="1" applyBorder="1" applyAlignment="1">
      <alignment vertical="top" wrapText="1"/>
    </xf>
    <xf numFmtId="0" fontId="48" fillId="0" borderId="50" xfId="0" applyFont="1" applyBorder="1" applyAlignment="1">
      <alignment vertical="top" wrapText="1"/>
    </xf>
    <xf numFmtId="0" fontId="48" fillId="0" borderId="51" xfId="0" applyFont="1" applyBorder="1" applyAlignment="1">
      <alignment wrapText="1"/>
    </xf>
    <xf numFmtId="0" fontId="24" fillId="0" borderId="6" xfId="0" applyFont="1" applyBorder="1"/>
    <xf numFmtId="0" fontId="24" fillId="0" borderId="0" xfId="0" applyFont="1" applyBorder="1"/>
    <xf numFmtId="0" fontId="14" fillId="0" borderId="52" xfId="0" applyFont="1" applyBorder="1"/>
    <xf numFmtId="0" fontId="24" fillId="0" borderId="53" xfId="0" applyFont="1" applyBorder="1"/>
    <xf numFmtId="0" fontId="0" fillId="0" borderId="53" xfId="0" applyBorder="1"/>
    <xf numFmtId="0" fontId="0" fillId="0" borderId="54" xfId="0" applyBorder="1"/>
    <xf numFmtId="166" fontId="49" fillId="0" borderId="13" xfId="0" applyNumberFormat="1" applyFont="1" applyBorder="1" applyAlignment="1">
      <alignment horizontal="center" wrapText="1"/>
    </xf>
    <xf numFmtId="166" fontId="49" fillId="0" borderId="14" xfId="0" applyNumberFormat="1" applyFont="1" applyBorder="1" applyAlignment="1">
      <alignment horizontal="center" vertical="top" wrapText="1"/>
    </xf>
    <xf numFmtId="166" fontId="49" fillId="0" borderId="10" xfId="0" applyNumberFormat="1" applyFont="1" applyBorder="1" applyAlignment="1">
      <alignment horizontal="center" vertical="top" wrapText="1"/>
    </xf>
    <xf numFmtId="166" fontId="0" fillId="0" borderId="0" xfId="0" applyNumberFormat="1"/>
    <xf numFmtId="0" fontId="52" fillId="0" borderId="6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52" fillId="0" borderId="8" xfId="0" applyFont="1" applyBorder="1" applyAlignment="1">
      <alignment horizontal="center"/>
    </xf>
    <xf numFmtId="0" fontId="14" fillId="2" borderId="26" xfId="0" applyFont="1" applyFill="1" applyBorder="1"/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/>
    <xf numFmtId="0" fontId="10" fillId="0" borderId="52" xfId="0" applyFont="1" applyBorder="1"/>
    <xf numFmtId="0" fontId="4" fillId="0" borderId="6" xfId="0" applyFont="1" applyBorder="1"/>
    <xf numFmtId="0" fontId="2" fillId="0" borderId="55" xfId="0" applyFont="1" applyBorder="1"/>
    <xf numFmtId="0" fontId="0" fillId="0" borderId="55" xfId="0" applyBorder="1"/>
    <xf numFmtId="0" fontId="0" fillId="0" borderId="56" xfId="0" applyBorder="1"/>
    <xf numFmtId="0" fontId="15" fillId="0" borderId="57" xfId="0" applyFont="1" applyBorder="1"/>
    <xf numFmtId="0" fontId="15" fillId="0" borderId="58" xfId="0" applyFont="1" applyBorder="1"/>
    <xf numFmtId="0" fontId="0" fillId="0" borderId="0" xfId="0" applyNumberFormat="1" applyBorder="1" applyAlignment="1">
      <alignment horizontal="center"/>
    </xf>
    <xf numFmtId="0" fontId="15" fillId="0" borderId="59" xfId="0" applyFont="1" applyBorder="1"/>
    <xf numFmtId="0" fontId="0" fillId="0" borderId="60" xfId="0" applyBorder="1"/>
    <xf numFmtId="0" fontId="0" fillId="0" borderId="61" xfId="0" applyBorder="1"/>
    <xf numFmtId="16" fontId="0" fillId="0" borderId="0" xfId="0" applyNumberFormat="1"/>
    <xf numFmtId="0" fontId="0" fillId="0" borderId="6" xfId="0" applyBorder="1" applyAlignment="1">
      <alignment horizontal="left" vertical="center"/>
    </xf>
    <xf numFmtId="0" fontId="4" fillId="0" borderId="0" xfId="0" applyFont="1" applyBorder="1" applyAlignment="1"/>
    <xf numFmtId="0" fontId="4" fillId="0" borderId="6" xfId="0" applyNumberFormat="1" applyFont="1" applyBorder="1" applyAlignment="1">
      <alignment horizontal="left"/>
    </xf>
    <xf numFmtId="0" fontId="4" fillId="0" borderId="0" xfId="0" applyFont="1" applyBorder="1"/>
    <xf numFmtId="0" fontId="0" fillId="2" borderId="12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10" xfId="0" applyFill="1" applyBorder="1"/>
    <xf numFmtId="16" fontId="0" fillId="0" borderId="0" xfId="0" quotePrefix="1" applyNumberFormat="1" applyBorder="1" applyAlignment="1">
      <alignment horizontal="center"/>
    </xf>
    <xf numFmtId="0" fontId="0" fillId="2" borderId="7" xfId="0" applyFill="1" applyBorder="1"/>
    <xf numFmtId="0" fontId="14" fillId="2" borderId="52" xfId="0" applyFont="1" applyFill="1" applyBorder="1"/>
    <xf numFmtId="0" fontId="0" fillId="2" borderId="53" xfId="0" applyFill="1" applyBorder="1"/>
    <xf numFmtId="0" fontId="0" fillId="2" borderId="54" xfId="0" applyFill="1" applyBorder="1"/>
    <xf numFmtId="0" fontId="10" fillId="0" borderId="0" xfId="0" applyFont="1" applyAlignment="1">
      <alignment horizontal="center"/>
    </xf>
    <xf numFmtId="0" fontId="10" fillId="0" borderId="11" xfId="0" applyFont="1" applyBorder="1"/>
    <xf numFmtId="0" fontId="3" fillId="2" borderId="12" xfId="0" applyFont="1" applyFill="1" applyBorder="1" applyAlignment="1"/>
    <xf numFmtId="0" fontId="3" fillId="2" borderId="0" xfId="0" applyFont="1" applyFill="1" applyBorder="1" applyAlignment="1"/>
    <xf numFmtId="0" fontId="0" fillId="0" borderId="62" xfId="0" applyBorder="1"/>
    <xf numFmtId="0" fontId="10" fillId="0" borderId="0" xfId="0" applyNumberFormat="1" applyFont="1" applyBorder="1" applyAlignment="1">
      <alignment horizontal="left"/>
    </xf>
    <xf numFmtId="0" fontId="34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left"/>
    </xf>
    <xf numFmtId="0" fontId="0" fillId="6" borderId="4" xfId="0" applyFill="1" applyBorder="1"/>
    <xf numFmtId="0" fontId="0" fillId="6" borderId="2" xfId="0" applyFill="1" applyBorder="1"/>
    <xf numFmtId="0" fontId="56" fillId="6" borderId="4" xfId="0" applyFont="1" applyFill="1" applyBorder="1" applyAlignment="1">
      <alignment horizontal="center" vertical="center"/>
    </xf>
    <xf numFmtId="0" fontId="56" fillId="6" borderId="2" xfId="0" applyFont="1" applyFill="1" applyBorder="1" applyAlignment="1">
      <alignment horizontal="center" vertical="center"/>
    </xf>
    <xf numFmtId="0" fontId="56" fillId="6" borderId="24" xfId="0" applyFont="1" applyFill="1" applyBorder="1" applyAlignment="1">
      <alignment horizontal="center" vertical="center"/>
    </xf>
    <xf numFmtId="0" fontId="56" fillId="6" borderId="24" xfId="2" applyNumberFormat="1" applyFont="1" applyFill="1" applyBorder="1" applyAlignment="1">
      <alignment horizontal="center" vertical="center"/>
    </xf>
    <xf numFmtId="0" fontId="56" fillId="6" borderId="1" xfId="0" applyFont="1" applyFill="1" applyBorder="1"/>
    <xf numFmtId="0" fontId="56" fillId="6" borderId="3" xfId="0" applyFont="1" applyFill="1" applyBorder="1"/>
    <xf numFmtId="0" fontId="56" fillId="0" borderId="0" xfId="0" applyFont="1" applyAlignment="1"/>
    <xf numFmtId="1" fontId="0" fillId="0" borderId="0" xfId="0" applyNumberFormat="1" applyAlignment="1"/>
    <xf numFmtId="3" fontId="59" fillId="7" borderId="4" xfId="0" applyNumberFormat="1" applyFont="1" applyFill="1" applyBorder="1"/>
    <xf numFmtId="0" fontId="56" fillId="6" borderId="4" xfId="0" applyFont="1" applyFill="1" applyBorder="1"/>
    <xf numFmtId="0" fontId="56" fillId="6" borderId="2" xfId="0" applyFont="1" applyFill="1" applyBorder="1"/>
    <xf numFmtId="0" fontId="16" fillId="2" borderId="0" xfId="0" applyFont="1" applyFill="1" applyBorder="1"/>
    <xf numFmtId="0" fontId="10" fillId="2" borderId="0" xfId="0" applyFont="1" applyFill="1" applyBorder="1"/>
    <xf numFmtId="0" fontId="16" fillId="2" borderId="0" xfId="0" applyFont="1" applyFill="1" applyBorder="1" applyAlignment="1"/>
    <xf numFmtId="0" fontId="0" fillId="8" borderId="0" xfId="0" applyFill="1"/>
    <xf numFmtId="0" fontId="0" fillId="0" borderId="63" xfId="0" applyBorder="1"/>
    <xf numFmtId="0" fontId="9" fillId="0" borderId="63" xfId="0" applyFont="1" applyBorder="1"/>
    <xf numFmtId="0" fontId="0" fillId="0" borderId="145" xfId="0" applyBorder="1"/>
    <xf numFmtId="0" fontId="9" fillId="0" borderId="146" xfId="0" applyFont="1" applyBorder="1"/>
    <xf numFmtId="0" fontId="0" fillId="0" borderId="147" xfId="0" applyBorder="1"/>
    <xf numFmtId="0" fontId="9" fillId="0" borderId="147" xfId="0" applyFont="1" applyBorder="1"/>
    <xf numFmtId="0" fontId="9" fillId="0" borderId="148" xfId="0" applyFont="1" applyBorder="1"/>
    <xf numFmtId="0" fontId="0" fillId="0" borderId="149" xfId="0" applyBorder="1"/>
    <xf numFmtId="0" fontId="9" fillId="0" borderId="150" xfId="0" applyFont="1" applyBorder="1"/>
    <xf numFmtId="0" fontId="9" fillId="0" borderId="26" xfId="0" applyFont="1" applyBorder="1"/>
    <xf numFmtId="0" fontId="0" fillId="0" borderId="26" xfId="0" applyBorder="1"/>
    <xf numFmtId="0" fontId="0" fillId="0" borderId="100" xfId="0" applyBorder="1"/>
    <xf numFmtId="0" fontId="0" fillId="0" borderId="151" xfId="0" applyBorder="1"/>
    <xf numFmtId="0" fontId="0" fillId="0" borderId="152" xfId="0" applyBorder="1"/>
    <xf numFmtId="0" fontId="56" fillId="6" borderId="0" xfId="0" applyFont="1" applyFill="1" applyBorder="1"/>
    <xf numFmtId="0" fontId="0" fillId="6" borderId="0" xfId="0" applyFill="1" applyBorder="1"/>
    <xf numFmtId="0" fontId="9" fillId="0" borderId="0" xfId="0" applyFont="1" applyFill="1" applyBorder="1"/>
    <xf numFmtId="0" fontId="16" fillId="2" borderId="16" xfId="0" applyFont="1" applyFill="1" applyBorder="1"/>
    <xf numFmtId="0" fontId="16" fillId="2" borderId="4" xfId="0" applyFont="1" applyFill="1" applyBorder="1"/>
    <xf numFmtId="0" fontId="16" fillId="2" borderId="4" xfId="0" applyFont="1" applyFill="1" applyBorder="1" applyAlignment="1"/>
    <xf numFmtId="0" fontId="16" fillId="2" borderId="18" xfId="0" applyFont="1" applyFill="1" applyBorder="1"/>
    <xf numFmtId="0" fontId="0" fillId="9" borderId="0" xfId="0" applyFill="1"/>
    <xf numFmtId="0" fontId="57" fillId="9" borderId="0" xfId="0" applyFont="1" applyFill="1"/>
    <xf numFmtId="0" fontId="13" fillId="0" borderId="0" xfId="1" applyAlignment="1" applyProtection="1">
      <alignment horizontal="center"/>
    </xf>
    <xf numFmtId="0" fontId="3" fillId="0" borderId="139" xfId="0" applyFont="1" applyBorder="1" applyAlignment="1">
      <alignment horizontal="center"/>
    </xf>
    <xf numFmtId="0" fontId="3" fillId="0" borderId="132" xfId="0" applyFont="1" applyBorder="1" applyAlignment="1">
      <alignment horizontal="center"/>
    </xf>
    <xf numFmtId="0" fontId="3" fillId="0" borderId="140" xfId="0" applyFont="1" applyBorder="1" applyAlignment="1">
      <alignment horizontal="center"/>
    </xf>
    <xf numFmtId="0" fontId="3" fillId="0" borderId="133" xfId="0" applyFont="1" applyBorder="1" applyAlignment="1">
      <alignment horizontal="center"/>
    </xf>
    <xf numFmtId="0" fontId="34" fillId="0" borderId="132" xfId="0" applyFont="1" applyBorder="1" applyAlignment="1">
      <alignment horizontal="center"/>
    </xf>
    <xf numFmtId="0" fontId="34" fillId="0" borderId="133" xfId="0" applyFont="1" applyBorder="1" applyAlignment="1">
      <alignment horizontal="center"/>
    </xf>
    <xf numFmtId="0" fontId="34" fillId="0" borderId="136" xfId="0" applyFont="1" applyBorder="1" applyAlignment="1">
      <alignment horizontal="center"/>
    </xf>
    <xf numFmtId="0" fontId="34" fillId="0" borderId="29" xfId="0" applyFont="1" applyBorder="1" applyAlignment="1">
      <alignment horizontal="center"/>
    </xf>
    <xf numFmtId="0" fontId="34" fillId="0" borderId="98" xfId="0" applyFont="1" applyBorder="1" applyAlignment="1">
      <alignment horizontal="center"/>
    </xf>
    <xf numFmtId="0" fontId="34" fillId="0" borderId="83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8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2" fillId="6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center"/>
    </xf>
    <xf numFmtId="0" fontId="35" fillId="0" borderId="12" xfId="0" applyFont="1" applyBorder="1" applyAlignment="1">
      <alignment horizontal="left"/>
    </xf>
    <xf numFmtId="0" fontId="35" fillId="0" borderId="13" xfId="0" applyFont="1" applyBorder="1" applyAlignment="1">
      <alignment horizontal="left"/>
    </xf>
    <xf numFmtId="0" fontId="35" fillId="0" borderId="8" xfId="0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0" fillId="0" borderId="96" xfId="0" applyBorder="1" applyAlignment="1">
      <alignment horizontal="center"/>
    </xf>
    <xf numFmtId="0" fontId="3" fillId="0" borderId="97" xfId="0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3" fillId="0" borderId="84" xfId="0" applyFont="1" applyBorder="1" applyAlignment="1">
      <alignment horizontal="center"/>
    </xf>
    <xf numFmtId="0" fontId="14" fillId="0" borderId="136" xfId="0" applyFont="1" applyBorder="1" applyAlignment="1"/>
    <xf numFmtId="0" fontId="14" fillId="0" borderId="29" xfId="0" applyFont="1" applyBorder="1" applyAlignment="1"/>
    <xf numFmtId="0" fontId="14" fillId="0" borderId="137" xfId="0" applyFont="1" applyBorder="1" applyAlignment="1"/>
    <xf numFmtId="0" fontId="14" fillId="0" borderId="83" xfId="0" applyFont="1" applyBorder="1" applyAlignment="1"/>
    <xf numFmtId="0" fontId="14" fillId="0" borderId="35" xfId="0" applyFont="1" applyBorder="1" applyAlignment="1"/>
    <xf numFmtId="0" fontId="14" fillId="0" borderId="138" xfId="0" applyFont="1" applyBorder="1" applyAlignment="1"/>
    <xf numFmtId="0" fontId="25" fillId="0" borderId="11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0" fillId="0" borderId="95" xfId="0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14" fillId="0" borderId="132" xfId="0" applyFont="1" applyBorder="1" applyAlignment="1"/>
    <xf numFmtId="0" fontId="14" fillId="0" borderId="134" xfId="0" applyFont="1" applyBorder="1" applyAlignment="1"/>
    <xf numFmtId="0" fontId="14" fillId="0" borderId="133" xfId="0" applyFont="1" applyBorder="1" applyAlignment="1"/>
    <xf numFmtId="0" fontId="14" fillId="0" borderId="135" xfId="0" applyFont="1" applyBorder="1" applyAlignment="1"/>
    <xf numFmtId="0" fontId="14" fillId="0" borderId="11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30" xfId="0" applyFont="1" applyBorder="1" applyAlignment="1">
      <alignment horizontal="center"/>
    </xf>
    <xf numFmtId="0" fontId="34" fillId="0" borderId="131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30" xfId="0" applyFont="1" applyBorder="1" applyAlignment="1">
      <alignment horizontal="center"/>
    </xf>
    <xf numFmtId="0" fontId="14" fillId="0" borderId="131" xfId="0" applyFont="1" applyBorder="1" applyAlignment="1"/>
    <xf numFmtId="0" fontId="14" fillId="0" borderId="12" xfId="0" applyFont="1" applyBorder="1" applyAlignment="1"/>
    <xf numFmtId="0" fontId="0" fillId="0" borderId="64" xfId="0" applyBorder="1" applyAlignment="1">
      <alignment horizontal="center"/>
    </xf>
    <xf numFmtId="16" fontId="0" fillId="0" borderId="71" xfId="0" quotePrefix="1" applyNumberFormat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5" xfId="0" applyBorder="1" applyAlignment="1">
      <alignment horizontal="center"/>
    </xf>
    <xf numFmtId="166" fontId="9" fillId="0" borderId="0" xfId="0" applyNumberFormat="1" applyFont="1" applyBorder="1" applyAlignment="1">
      <alignment horizontal="left"/>
    </xf>
    <xf numFmtId="166" fontId="28" fillId="0" borderId="11" xfId="0" applyNumberFormat="1" applyFont="1" applyBorder="1" applyAlignment="1">
      <alignment horizontal="left"/>
    </xf>
    <xf numFmtId="166" fontId="28" fillId="0" borderId="12" xfId="0" applyNumberFormat="1" applyFont="1" applyBorder="1" applyAlignment="1">
      <alignment horizontal="left"/>
    </xf>
    <xf numFmtId="166" fontId="28" fillId="0" borderId="7" xfId="0" applyNumberFormat="1" applyFont="1" applyBorder="1" applyAlignment="1">
      <alignment horizontal="left"/>
    </xf>
    <xf numFmtId="166" fontId="28" fillId="0" borderId="8" xfId="0" applyNumberFormat="1" applyFont="1" applyBorder="1" applyAlignment="1">
      <alignment horizontal="left"/>
    </xf>
    <xf numFmtId="166" fontId="28" fillId="0" borderId="12" xfId="0" applyNumberFormat="1" applyFont="1" applyBorder="1" applyAlignment="1">
      <alignment horizontal="center"/>
    </xf>
    <xf numFmtId="166" fontId="28" fillId="0" borderId="13" xfId="0" applyNumberFormat="1" applyFont="1" applyBorder="1" applyAlignment="1">
      <alignment horizontal="center"/>
    </xf>
    <xf numFmtId="166" fontId="28" fillId="0" borderId="8" xfId="0" applyNumberFormat="1" applyFont="1" applyBorder="1" applyAlignment="1">
      <alignment horizontal="center"/>
    </xf>
    <xf numFmtId="166" fontId="28" fillId="0" borderId="10" xfId="0" applyNumberFormat="1" applyFont="1" applyBorder="1" applyAlignment="1">
      <alignment horizontal="center"/>
    </xf>
    <xf numFmtId="166" fontId="0" fillId="0" borderId="7" xfId="0" applyNumberFormat="1" applyBorder="1" applyAlignment="1">
      <alignment horizontal="left"/>
    </xf>
    <xf numFmtId="166" fontId="0" fillId="0" borderId="8" xfId="0" applyNumberFormat="1" applyBorder="1" applyAlignment="1">
      <alignment horizontal="left"/>
    </xf>
    <xf numFmtId="0" fontId="19" fillId="0" borderId="8" xfId="0" applyNumberFormat="1" applyFont="1" applyBorder="1" applyAlignment="1">
      <alignment horizontal="center"/>
    </xf>
    <xf numFmtId="166" fontId="9" fillId="0" borderId="8" xfId="0" applyNumberFormat="1" applyFont="1" applyBorder="1" applyAlignment="1">
      <alignment horizontal="left"/>
    </xf>
    <xf numFmtId="166" fontId="0" fillId="0" borderId="8" xfId="0" applyNumberForma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" fontId="0" fillId="0" borderId="70" xfId="0" quotePrefix="1" applyNumberFormat="1" applyBorder="1" applyAlignment="1">
      <alignment horizontal="center"/>
    </xf>
    <xf numFmtId="0" fontId="0" fillId="0" borderId="65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6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19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1" xfId="0" applyNumberFormat="1" applyBorder="1" applyAlignment="1">
      <alignment horizontal="left"/>
    </xf>
    <xf numFmtId="166" fontId="0" fillId="0" borderId="12" xfId="0" applyNumberFormat="1" applyBorder="1" applyAlignment="1">
      <alignment horizontal="left"/>
    </xf>
    <xf numFmtId="0" fontId="19" fillId="0" borderId="12" xfId="0" applyNumberFormat="1" applyFont="1" applyBorder="1" applyAlignment="1">
      <alignment horizontal="center"/>
    </xf>
    <xf numFmtId="166" fontId="9" fillId="0" borderId="12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2" fillId="0" borderId="69" xfId="0" applyFont="1" applyBorder="1" applyAlignment="1">
      <alignment horizontal="center"/>
    </xf>
    <xf numFmtId="0" fontId="22" fillId="0" borderId="141" xfId="0" applyFont="1" applyBorder="1" applyAlignment="1">
      <alignment horizontal="center"/>
    </xf>
    <xf numFmtId="0" fontId="0" fillId="0" borderId="68" xfId="0" quotePrefix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3" xfId="0" applyBorder="1" applyAlignment="1">
      <alignment horizontal="center"/>
    </xf>
    <xf numFmtId="0" fontId="0" fillId="0" borderId="64" xfId="0" quotePrefix="1" applyBorder="1" applyAlignment="1">
      <alignment horizontal="center"/>
    </xf>
    <xf numFmtId="0" fontId="0" fillId="0" borderId="65" xfId="0" quotePrefix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142" xfId="0" applyBorder="1" applyAlignment="1">
      <alignment horizontal="center"/>
    </xf>
    <xf numFmtId="0" fontId="0" fillId="0" borderId="141" xfId="0" applyBorder="1" applyAlignment="1">
      <alignment horizontal="center"/>
    </xf>
    <xf numFmtId="16" fontId="0" fillId="0" borderId="72" xfId="0" quotePrefix="1" applyNumberFormat="1" applyBorder="1" applyAlignment="1">
      <alignment horizontal="center"/>
    </xf>
    <xf numFmtId="0" fontId="0" fillId="0" borderId="132" xfId="0" applyBorder="1" applyAlignment="1">
      <alignment horizontal="center"/>
    </xf>
    <xf numFmtId="0" fontId="3" fillId="0" borderId="0" xfId="0" applyFont="1" applyAlignment="1">
      <alignment horizontal="left"/>
    </xf>
    <xf numFmtId="0" fontId="19" fillId="0" borderId="44" xfId="0" applyFont="1" applyBorder="1" applyAlignment="1">
      <alignment horizontal="left"/>
    </xf>
    <xf numFmtId="0" fontId="19" fillId="0" borderId="38" xfId="0" applyFont="1" applyBorder="1" applyAlignment="1">
      <alignment horizontal="left"/>
    </xf>
    <xf numFmtId="0" fontId="19" fillId="0" borderId="39" xfId="0" applyFont="1" applyBorder="1" applyAlignment="1">
      <alignment horizontal="left"/>
    </xf>
    <xf numFmtId="0" fontId="14" fillId="0" borderId="40" xfId="0" applyFont="1" applyBorder="1" applyAlignment="1">
      <alignment horizontal="right"/>
    </xf>
    <xf numFmtId="0" fontId="14" fillId="0" borderId="41" xfId="0" applyFont="1" applyBorder="1" applyAlignment="1">
      <alignment horizontal="right"/>
    </xf>
    <xf numFmtId="0" fontId="19" fillId="0" borderId="45" xfId="0" applyFont="1" applyBorder="1" applyAlignment="1">
      <alignment horizontal="left"/>
    </xf>
    <xf numFmtId="0" fontId="19" fillId="0" borderId="40" xfId="0" applyFont="1" applyBorder="1" applyAlignment="1">
      <alignment horizontal="left"/>
    </xf>
    <xf numFmtId="0" fontId="19" fillId="0" borderId="41" xfId="0" applyFont="1" applyBorder="1" applyAlignment="1">
      <alignment horizontal="left"/>
    </xf>
    <xf numFmtId="0" fontId="14" fillId="0" borderId="46" xfId="0" applyFont="1" applyBorder="1" applyAlignment="1">
      <alignment horizontal="right"/>
    </xf>
    <xf numFmtId="0" fontId="14" fillId="0" borderId="43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4" fillId="2" borderId="108" xfId="0" applyFont="1" applyFill="1" applyBorder="1" applyAlignment="1">
      <alignment horizontal="center"/>
    </xf>
    <xf numFmtId="0" fontId="24" fillId="2" borderId="95" xfId="0" applyFont="1" applyFill="1" applyBorder="1" applyAlignment="1">
      <alignment horizontal="center"/>
    </xf>
    <xf numFmtId="0" fontId="24" fillId="2" borderId="107" xfId="0" applyFont="1" applyFill="1" applyBorder="1" applyAlignment="1">
      <alignment horizontal="center"/>
    </xf>
    <xf numFmtId="0" fontId="0" fillId="2" borderId="95" xfId="0" applyFill="1" applyBorder="1"/>
    <xf numFmtId="0" fontId="0" fillId="2" borderId="129" xfId="0" applyFill="1" applyBorder="1"/>
    <xf numFmtId="165" fontId="24" fillId="0" borderId="26" xfId="0" applyNumberFormat="1" applyFont="1" applyBorder="1" applyAlignment="1">
      <alignment horizontal="center"/>
    </xf>
    <xf numFmtId="165" fontId="24" fillId="0" borderId="24" xfId="0" applyNumberFormat="1" applyFont="1" applyBorder="1" applyAlignment="1">
      <alignment horizontal="center"/>
    </xf>
    <xf numFmtId="165" fontId="24" fillId="0" borderId="25" xfId="0" applyNumberFormat="1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0" fillId="0" borderId="24" xfId="0" applyBorder="1"/>
    <xf numFmtId="0" fontId="0" fillId="0" borderId="104" xfId="0" applyBorder="1"/>
    <xf numFmtId="0" fontId="24" fillId="0" borderId="105" xfId="0" applyFont="1" applyBorder="1" applyAlignment="1">
      <alignment horizontal="center"/>
    </xf>
    <xf numFmtId="0" fontId="0" fillId="0" borderId="25" xfId="0" applyBorder="1"/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0" fillId="0" borderId="4" xfId="0" applyBorder="1" applyAlignment="1">
      <alignment horizontal="center"/>
    </xf>
    <xf numFmtId="0" fontId="2" fillId="0" borderId="18" xfId="0" applyFont="1" applyBorder="1" applyAlignment="1">
      <alignment horizontal="center" vertical="center" textRotation="114"/>
    </xf>
    <xf numFmtId="0" fontId="2" fillId="0" borderId="0" xfId="0" applyFont="1" applyAlignment="1">
      <alignment horizontal="center" vertical="center" textRotation="114"/>
    </xf>
    <xf numFmtId="0" fontId="0" fillId="0" borderId="0" xfId="0" applyAlignment="1">
      <alignment horizontal="right"/>
    </xf>
    <xf numFmtId="0" fontId="10" fillId="0" borderId="16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6" fillId="0" borderId="4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11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120" xfId="0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Border="1" applyAlignment="1">
      <alignment horizontal="right" vertical="center"/>
    </xf>
    <xf numFmtId="0" fontId="0" fillId="0" borderId="0" xfId="0" quotePrefix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0" fillId="0" borderId="1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4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127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115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21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12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/>
    <xf numFmtId="0" fontId="7" fillId="0" borderId="0" xfId="0" applyFont="1" applyBorder="1" applyAlignment="1">
      <alignment horizontal="right"/>
    </xf>
    <xf numFmtId="0" fontId="22" fillId="2" borderId="16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16" xfId="0" applyBorder="1" applyAlignment="1">
      <alignment horizontal="center" vertical="justify"/>
    </xf>
    <xf numFmtId="0" fontId="16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 vertical="center" textRotation="30"/>
    </xf>
    <xf numFmtId="0" fontId="56" fillId="0" borderId="16" xfId="0" applyFont="1" applyBorder="1" applyAlignment="1">
      <alignment horizontal="left" vertical="center"/>
    </xf>
    <xf numFmtId="0" fontId="56" fillId="0" borderId="17" xfId="0" applyFont="1" applyBorder="1" applyAlignment="1">
      <alignment horizontal="left" vertical="center"/>
    </xf>
    <xf numFmtId="0" fontId="63" fillId="0" borderId="63" xfId="0" applyFont="1" applyBorder="1" applyAlignment="1">
      <alignment horizontal="center" vertical="center"/>
    </xf>
    <xf numFmtId="0" fontId="56" fillId="0" borderId="4" xfId="0" applyFont="1" applyBorder="1" applyAlignment="1">
      <alignment horizontal="left" vertical="center"/>
    </xf>
    <xf numFmtId="0" fontId="56" fillId="0" borderId="2" xfId="0" applyFont="1" applyBorder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6" fillId="3" borderId="2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2" borderId="24" xfId="0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110" xfId="0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19" fillId="0" borderId="24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0" fillId="0" borderId="0" xfId="0" applyBorder="1" applyAlignment="1">
      <alignment horizontal="left" vertical="center" textRotation="45"/>
    </xf>
    <xf numFmtId="0" fontId="0" fillId="0" borderId="15" xfId="0" applyBorder="1" applyAlignment="1">
      <alignment horizontal="left" vertical="center" textRotation="45"/>
    </xf>
    <xf numFmtId="0" fontId="0" fillId="0" borderId="8" xfId="0" applyBorder="1" applyAlignment="1">
      <alignment horizontal="left" vertical="center" textRotation="45"/>
    </xf>
    <xf numFmtId="0" fontId="0" fillId="0" borderId="109" xfId="0" applyBorder="1" applyAlignment="1">
      <alignment horizontal="left" vertical="center" textRotation="45"/>
    </xf>
    <xf numFmtId="0" fontId="0" fillId="0" borderId="0" xfId="0" applyBorder="1" applyAlignment="1">
      <alignment horizontal="center" vertical="center" textRotation="120"/>
    </xf>
    <xf numFmtId="0" fontId="14" fillId="0" borderId="2" xfId="0" applyFont="1" applyBorder="1" applyAlignment="1">
      <alignment horizontal="right"/>
    </xf>
    <xf numFmtId="0" fontId="13" fillId="0" borderId="4" xfId="1" applyBorder="1" applyAlignment="1" applyProtection="1">
      <alignment horizontal="left"/>
    </xf>
    <xf numFmtId="0" fontId="13" fillId="0" borderId="0" xfId="1" applyAlignment="1" applyProtection="1">
      <alignment horizontal="left"/>
    </xf>
    <xf numFmtId="0" fontId="16" fillId="0" borderId="64" xfId="0" applyFont="1" applyBorder="1" applyAlignment="1">
      <alignment horizontal="center"/>
    </xf>
    <xf numFmtId="0" fontId="2" fillId="0" borderId="0" xfId="0" applyFont="1" applyAlignment="1">
      <alignment horizontal="center" vertical="center" textRotation="9"/>
    </xf>
    <xf numFmtId="0" fontId="2" fillId="0" borderId="0" xfId="0" applyFont="1" applyAlignment="1">
      <alignment horizontal="center" vertical="center" textRotation="127"/>
    </xf>
    <xf numFmtId="0" fontId="2" fillId="0" borderId="0" xfId="0" applyFont="1" applyAlignment="1">
      <alignment horizontal="center" textRotation="7"/>
    </xf>
    <xf numFmtId="0" fontId="2" fillId="0" borderId="0" xfId="0" applyFont="1" applyAlignment="1">
      <alignment horizontal="left" textRotation="60"/>
    </xf>
    <xf numFmtId="0" fontId="0" fillId="0" borderId="91" xfId="0" applyBorder="1" applyAlignment="1">
      <alignment horizontal="center"/>
    </xf>
    <xf numFmtId="0" fontId="10" fillId="0" borderId="68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2" fillId="0" borderId="0" xfId="0" applyFont="1" applyAlignment="1">
      <alignment horizontal="center" textRotation="159"/>
    </xf>
    <xf numFmtId="0" fontId="0" fillId="0" borderId="12" xfId="0" applyBorder="1" applyAlignment="1">
      <alignment horizontal="center"/>
    </xf>
    <xf numFmtId="0" fontId="12" fillId="0" borderId="110" xfId="0" applyFont="1" applyBorder="1" applyAlignment="1">
      <alignment horizontal="left"/>
    </xf>
    <xf numFmtId="0" fontId="0" fillId="0" borderId="110" xfId="0" applyBorder="1" applyAlignment="1">
      <alignment horizontal="left"/>
    </xf>
    <xf numFmtId="0" fontId="0" fillId="0" borderId="111" xfId="0" applyBorder="1" applyAlignment="1">
      <alignment horizontal="left"/>
    </xf>
    <xf numFmtId="0" fontId="0" fillId="0" borderId="112" xfId="0" applyBorder="1" applyAlignment="1">
      <alignment horizontal="center" textRotation="45"/>
    </xf>
    <xf numFmtId="0" fontId="0" fillId="0" borderId="110" xfId="0" applyBorder="1" applyAlignment="1">
      <alignment horizontal="center" textRotation="45"/>
    </xf>
    <xf numFmtId="0" fontId="0" fillId="0" borderId="77" xfId="0" applyBorder="1" applyAlignment="1">
      <alignment horizontal="center"/>
    </xf>
    <xf numFmtId="0" fontId="63" fillId="0" borderId="16" xfId="0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63" fillId="0" borderId="17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56" fillId="0" borderId="1" xfId="0" applyFont="1" applyBorder="1" applyAlignment="1">
      <alignment horizontal="left" vertical="center"/>
    </xf>
    <xf numFmtId="0" fontId="56" fillId="0" borderId="3" xfId="0" applyFont="1" applyBorder="1" applyAlignment="1">
      <alignment horizontal="left" vertical="center"/>
    </xf>
    <xf numFmtId="0" fontId="16" fillId="0" borderId="7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0" xfId="0" applyFont="1" applyAlignment="1">
      <alignment horizontal="left"/>
    </xf>
    <xf numFmtId="0" fontId="24" fillId="2" borderId="106" xfId="0" applyFont="1" applyFill="1" applyBorder="1" applyAlignment="1">
      <alignment horizontal="center"/>
    </xf>
    <xf numFmtId="0" fontId="0" fillId="2" borderId="107" xfId="0" applyFill="1" applyBorder="1"/>
    <xf numFmtId="165" fontId="24" fillId="0" borderId="100" xfId="0" applyNumberFormat="1" applyFont="1" applyBorder="1" applyAlignment="1">
      <alignment horizontal="center"/>
    </xf>
    <xf numFmtId="165" fontId="24" fillId="0" borderId="96" xfId="0" applyNumberFormat="1" applyFont="1" applyBorder="1" applyAlignment="1">
      <alignment horizontal="center"/>
    </xf>
    <xf numFmtId="165" fontId="24" fillId="0" borderId="101" xfId="0" applyNumberFormat="1" applyFont="1" applyBorder="1" applyAlignment="1">
      <alignment horizontal="center"/>
    </xf>
    <xf numFmtId="0" fontId="24" fillId="0" borderId="100" xfId="0" applyFont="1" applyBorder="1" applyAlignment="1">
      <alignment horizontal="center"/>
    </xf>
    <xf numFmtId="0" fontId="0" fillId="0" borderId="96" xfId="0" applyBorder="1"/>
    <xf numFmtId="0" fontId="0" fillId="0" borderId="102" xfId="0" applyBorder="1"/>
    <xf numFmtId="0" fontId="24" fillId="0" borderId="103" xfId="0" applyFont="1" applyBorder="1" applyAlignment="1">
      <alignment horizontal="center"/>
    </xf>
    <xf numFmtId="0" fontId="0" fillId="0" borderId="101" xfId="0" applyBorder="1"/>
    <xf numFmtId="0" fontId="24" fillId="0" borderId="96" xfId="0" applyFont="1" applyBorder="1" applyAlignment="1">
      <alignment horizontal="center"/>
    </xf>
    <xf numFmtId="0" fontId="24" fillId="0" borderId="101" xfId="0" applyFont="1" applyBorder="1" applyAlignment="1">
      <alignment horizontal="center"/>
    </xf>
    <xf numFmtId="0" fontId="31" fillId="0" borderId="0" xfId="0" applyFont="1" applyAlignment="1">
      <alignment horizontal="center" textRotation="30"/>
    </xf>
    <xf numFmtId="0" fontId="28" fillId="0" borderId="0" xfId="0" applyFont="1" applyAlignment="1">
      <alignment horizontal="center" vertical="center" textRotation="30"/>
    </xf>
    <xf numFmtId="0" fontId="19" fillId="0" borderId="42" xfId="0" applyFont="1" applyBorder="1" applyAlignment="1">
      <alignment horizontal="left"/>
    </xf>
    <xf numFmtId="0" fontId="19" fillId="0" borderId="46" xfId="0" applyFont="1" applyBorder="1" applyAlignment="1">
      <alignment horizontal="left"/>
    </xf>
    <xf numFmtId="0" fontId="19" fillId="0" borderId="43" xfId="0" applyFont="1" applyBorder="1" applyAlignment="1">
      <alignment horizontal="left"/>
    </xf>
    <xf numFmtId="0" fontId="14" fillId="0" borderId="44" xfId="0" applyFont="1" applyBorder="1" applyAlignment="1">
      <alignment horizontal="right"/>
    </xf>
    <xf numFmtId="0" fontId="14" fillId="0" borderId="38" xfId="0" applyFont="1" applyBorder="1" applyAlignment="1">
      <alignment horizontal="right"/>
    </xf>
    <xf numFmtId="0" fontId="14" fillId="0" borderId="45" xfId="0" applyFont="1" applyBorder="1" applyAlignment="1">
      <alignment horizontal="right"/>
    </xf>
    <xf numFmtId="0" fontId="28" fillId="0" borderId="0" xfId="0" applyFont="1" applyAlignment="1">
      <alignment horizontal="center" vertical="top" textRotation="30"/>
    </xf>
    <xf numFmtId="0" fontId="4" fillId="0" borderId="0" xfId="0" applyFont="1" applyAlignment="1">
      <alignment horizontal="left" vertical="top" textRotation="120"/>
    </xf>
    <xf numFmtId="0" fontId="28" fillId="0" borderId="0" xfId="0" applyFont="1" applyAlignment="1">
      <alignment horizontal="center" vertical="center" textRotation="120"/>
    </xf>
    <xf numFmtId="0" fontId="32" fillId="0" borderId="0" xfId="0" applyFont="1" applyAlignment="1">
      <alignment horizontal="center" vertical="top" textRotation="120"/>
    </xf>
    <xf numFmtId="0" fontId="24" fillId="0" borderId="0" xfId="0" applyFont="1" applyAlignment="1">
      <alignment horizontal="center" vertical="top" textRotation="120"/>
    </xf>
    <xf numFmtId="0" fontId="31" fillId="0" borderId="0" xfId="0" applyFont="1" applyAlignment="1">
      <alignment horizontal="left" vertical="top" textRotation="30"/>
    </xf>
    <xf numFmtId="0" fontId="23" fillId="0" borderId="4" xfId="0" applyFont="1" applyBorder="1" applyAlignment="1">
      <alignment horizontal="left"/>
    </xf>
    <xf numFmtId="0" fontId="0" fillId="0" borderId="85" xfId="0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0" fillId="2" borderId="25" xfId="0" applyFont="1" applyFill="1" applyBorder="1" applyAlignment="1">
      <alignment horizontal="center"/>
    </xf>
    <xf numFmtId="0" fontId="10" fillId="2" borderId="6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90" xfId="0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0" fillId="0" borderId="92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23" fillId="0" borderId="0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84" xfId="0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53" fillId="2" borderId="24" xfId="0" applyFont="1" applyFill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6" xfId="0" applyFont="1" applyBorder="1" applyAlignment="1"/>
    <xf numFmtId="0" fontId="4" fillId="0" borderId="24" xfId="0" applyFont="1" applyBorder="1" applyAlignment="1"/>
    <xf numFmtId="0" fontId="4" fillId="0" borderId="25" xfId="0" applyFont="1" applyBorder="1" applyAlignment="1"/>
    <xf numFmtId="0" fontId="4" fillId="0" borderId="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7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0" xfId="0" applyNumberFormat="1" applyBorder="1" applyAlignment="1">
      <alignment horizontal="center"/>
    </xf>
    <xf numFmtId="0" fontId="0" fillId="0" borderId="71" xfId="0" applyNumberFormat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2" xfId="0" applyNumberForma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6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63" xfId="0" applyNumberFormat="1" applyBorder="1" applyAlignment="1">
      <alignment horizontal="center"/>
    </xf>
    <xf numFmtId="0" fontId="13" fillId="0" borderId="0" xfId="1" applyBorder="1" applyAlignment="1" applyProtection="1">
      <alignment horizontal="left"/>
    </xf>
    <xf numFmtId="0" fontId="56" fillId="6" borderId="18" xfId="0" applyFont="1" applyFill="1" applyBorder="1" applyAlignment="1">
      <alignment horizontal="left" vertical="center"/>
    </xf>
    <xf numFmtId="0" fontId="56" fillId="6" borderId="17" xfId="0" applyFont="1" applyFill="1" applyBorder="1" applyAlignment="1">
      <alignment horizontal="left" vertical="center"/>
    </xf>
    <xf numFmtId="0" fontId="56" fillId="6" borderId="16" xfId="0" applyFont="1" applyFill="1" applyBorder="1" applyAlignment="1">
      <alignment horizontal="left" vertical="center"/>
    </xf>
    <xf numFmtId="0" fontId="56" fillId="6" borderId="4" xfId="0" applyFont="1" applyFill="1" applyBorder="1" applyAlignment="1">
      <alignment horizontal="left" vertical="center"/>
    </xf>
    <xf numFmtId="0" fontId="56" fillId="6" borderId="2" xfId="0" applyFont="1" applyFill="1" applyBorder="1" applyAlignment="1">
      <alignment horizontal="left" vertical="center"/>
    </xf>
    <xf numFmtId="0" fontId="56" fillId="6" borderId="0" xfId="0" applyFont="1" applyFill="1" applyBorder="1" applyAlignment="1">
      <alignment horizontal="center" vertical="center"/>
    </xf>
    <xf numFmtId="0" fontId="56" fillId="6" borderId="2" xfId="0" applyFont="1" applyFill="1" applyBorder="1" applyAlignment="1">
      <alignment horizontal="center" vertical="center"/>
    </xf>
    <xf numFmtId="0" fontId="56" fillId="6" borderId="4" xfId="0" applyFont="1" applyFill="1" applyBorder="1" applyAlignment="1">
      <alignment horizontal="center" vertical="center"/>
    </xf>
    <xf numFmtId="0" fontId="56" fillId="6" borderId="0" xfId="0" applyFont="1" applyFill="1" applyBorder="1" applyAlignment="1">
      <alignment horizontal="left" vertical="center"/>
    </xf>
    <xf numFmtId="0" fontId="56" fillId="6" borderId="2" xfId="0" applyFont="1" applyFill="1" applyBorder="1" applyAlignment="1">
      <alignment horizontal="center"/>
    </xf>
    <xf numFmtId="0" fontId="56" fillId="6" borderId="1" xfId="0" applyFont="1" applyFill="1" applyBorder="1" applyAlignment="1">
      <alignment horizontal="left" vertical="center"/>
    </xf>
    <xf numFmtId="0" fontId="56" fillId="6" borderId="3" xfId="0" applyFont="1" applyFill="1" applyBorder="1" applyAlignment="1">
      <alignment horizontal="left" vertical="center"/>
    </xf>
    <xf numFmtId="0" fontId="61" fillId="2" borderId="2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right"/>
    </xf>
    <xf numFmtId="0" fontId="9" fillId="2" borderId="24" xfId="0" applyFont="1" applyFill="1" applyBorder="1" applyAlignment="1">
      <alignment horizontal="right"/>
    </xf>
    <xf numFmtId="0" fontId="56" fillId="6" borderId="16" xfId="0" applyFont="1" applyFill="1" applyBorder="1" applyAlignment="1">
      <alignment horizontal="center" vertical="center"/>
    </xf>
    <xf numFmtId="0" fontId="56" fillId="6" borderId="17" xfId="0" applyFont="1" applyFill="1" applyBorder="1" applyAlignment="1">
      <alignment horizontal="center" vertical="center"/>
    </xf>
    <xf numFmtId="0" fontId="58" fillId="6" borderId="4" xfId="0" applyFont="1" applyFill="1" applyBorder="1" applyAlignment="1">
      <alignment horizontal="left" vertical="center" wrapText="1"/>
    </xf>
    <xf numFmtId="0" fontId="58" fillId="6" borderId="2" xfId="0" applyFont="1" applyFill="1" applyBorder="1" applyAlignment="1">
      <alignment horizontal="left" vertical="center" wrapText="1"/>
    </xf>
    <xf numFmtId="0" fontId="62" fillId="6" borderId="4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1" fillId="6" borderId="0" xfId="0" applyFont="1" applyFill="1" applyBorder="1" applyAlignment="1">
      <alignment horizontal="center"/>
    </xf>
    <xf numFmtId="0" fontId="56" fillId="6" borderId="18" xfId="0" applyFont="1" applyFill="1" applyBorder="1" applyAlignment="1">
      <alignment horizontal="center" vertical="center"/>
    </xf>
    <xf numFmtId="0" fontId="62" fillId="6" borderId="0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47" fillId="0" borderId="4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8" fillId="0" borderId="144" xfId="0" applyFont="1" applyBorder="1" applyAlignment="1">
      <alignment horizontal="center" wrapText="1"/>
    </xf>
    <xf numFmtId="0" fontId="48" fillId="0" borderId="47" xfId="0" applyFont="1" applyBorder="1" applyAlignment="1">
      <alignment horizontal="center" wrapText="1"/>
    </xf>
    <xf numFmtId="16" fontId="2" fillId="0" borderId="0" xfId="0" quotePrefix="1" applyNumberFormat="1" applyFont="1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6" fillId="0" borderId="0" xfId="0" applyFont="1" applyAlignment="1">
      <alignment horizontal="center"/>
    </xf>
  </cellXfs>
  <cellStyles count="3">
    <cellStyle name="Komma" xfId="2" builtinId="3"/>
    <cellStyle name="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wmf"/><Relationship Id="rId42" Type="http://schemas.openxmlformats.org/officeDocument/2006/relationships/image" Target="../media/image42.wmf"/><Relationship Id="rId47" Type="http://schemas.openxmlformats.org/officeDocument/2006/relationships/image" Target="../media/image47.jpe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wmf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emf"/><Relationship Id="rId1" Type="http://schemas.openxmlformats.org/officeDocument/2006/relationships/image" Target="../media/image1.png"/><Relationship Id="rId6" Type="http://schemas.openxmlformats.org/officeDocument/2006/relationships/image" Target="../media/image6.wmf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emf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wmf"/><Relationship Id="rId49" Type="http://schemas.openxmlformats.org/officeDocument/2006/relationships/image" Target="../media/image49.emf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wmf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wmf"/><Relationship Id="rId43" Type="http://schemas.openxmlformats.org/officeDocument/2006/relationships/image" Target="../media/image43.png"/><Relationship Id="rId48" Type="http://schemas.openxmlformats.org/officeDocument/2006/relationships/image" Target="../media/image48.jpeg"/><Relationship Id="rId8" Type="http://schemas.openxmlformats.org/officeDocument/2006/relationships/image" Target="../media/image8.png"/><Relationship Id="rId51" Type="http://schemas.openxmlformats.org/officeDocument/2006/relationships/image" Target="../media/image51.emf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</xdr:colOff>
      <xdr:row>0</xdr:row>
      <xdr:rowOff>38100</xdr:rowOff>
    </xdr:from>
    <xdr:to>
      <xdr:col>22</xdr:col>
      <xdr:colOff>0</xdr:colOff>
      <xdr:row>4</xdr:row>
      <xdr:rowOff>0</xdr:rowOff>
    </xdr:to>
    <xdr:pic>
      <xdr:nvPicPr>
        <xdr:cNvPr id="6450" name="Picture 1" descr="bomaerke">
          <a:extLst>
            <a:ext uri="{FF2B5EF4-FFF2-40B4-BE49-F238E27FC236}">
              <a16:creationId xmlns:a16="http://schemas.microsoft.com/office/drawing/2014/main" id="{00000000-0008-0000-0000-000032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381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57</xdr:row>
      <xdr:rowOff>38100</xdr:rowOff>
    </xdr:from>
    <xdr:to>
      <xdr:col>22</xdr:col>
      <xdr:colOff>0</xdr:colOff>
      <xdr:row>61</xdr:row>
      <xdr:rowOff>3538</xdr:rowOff>
    </xdr:to>
    <xdr:pic>
      <xdr:nvPicPr>
        <xdr:cNvPr id="6451" name="Picture 3" descr="bomaerke">
          <a:extLst>
            <a:ext uri="{FF2B5EF4-FFF2-40B4-BE49-F238E27FC236}">
              <a16:creationId xmlns:a16="http://schemas.microsoft.com/office/drawing/2014/main" id="{00000000-0008-0000-0000-000033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957262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69</xdr:row>
      <xdr:rowOff>0</xdr:rowOff>
    </xdr:from>
    <xdr:to>
      <xdr:col>5</xdr:col>
      <xdr:colOff>0</xdr:colOff>
      <xdr:row>71</xdr:row>
      <xdr:rowOff>161925</xdr:rowOff>
    </xdr:to>
    <xdr:sp macro="" textlink="">
      <xdr:nvSpPr>
        <xdr:cNvPr id="6452" name="Line 4">
          <a:extLst>
            <a:ext uri="{FF2B5EF4-FFF2-40B4-BE49-F238E27FC236}">
              <a16:creationId xmlns:a16="http://schemas.microsoft.com/office/drawing/2014/main" id="{00000000-0008-0000-0000-000034190000}"/>
            </a:ext>
          </a:extLst>
        </xdr:cNvPr>
        <xdr:cNvSpPr>
          <a:spLocks noChangeShapeType="1"/>
        </xdr:cNvSpPr>
      </xdr:nvSpPr>
      <xdr:spPr bwMode="auto">
        <a:xfrm flipV="1">
          <a:off x="657225" y="11477625"/>
          <a:ext cx="43815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69</xdr:row>
      <xdr:rowOff>0</xdr:rowOff>
    </xdr:from>
    <xdr:to>
      <xdr:col>8</xdr:col>
      <xdr:colOff>209550</xdr:colOff>
      <xdr:row>71</xdr:row>
      <xdr:rowOff>152400</xdr:rowOff>
    </xdr:to>
    <xdr:sp macro="" textlink="">
      <xdr:nvSpPr>
        <xdr:cNvPr id="6453" name="Line 5">
          <a:extLst>
            <a:ext uri="{FF2B5EF4-FFF2-40B4-BE49-F238E27FC236}">
              <a16:creationId xmlns:a16="http://schemas.microsoft.com/office/drawing/2014/main" id="{00000000-0008-0000-0000-000035190000}"/>
            </a:ext>
          </a:extLst>
        </xdr:cNvPr>
        <xdr:cNvSpPr>
          <a:spLocks noChangeShapeType="1"/>
        </xdr:cNvSpPr>
      </xdr:nvSpPr>
      <xdr:spPr bwMode="auto">
        <a:xfrm>
          <a:off x="1095375" y="11477625"/>
          <a:ext cx="866775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114300</xdr:colOff>
      <xdr:row>79</xdr:row>
      <xdr:rowOff>0</xdr:rowOff>
    </xdr:from>
    <xdr:to>
      <xdr:col>7</xdr:col>
      <xdr:colOff>161925</xdr:colOff>
      <xdr:row>79</xdr:row>
      <xdr:rowOff>0</xdr:rowOff>
    </xdr:to>
    <xdr:sp macro="" textlink="">
      <xdr:nvSpPr>
        <xdr:cNvPr id="6454" name="Line 6">
          <a:extLst>
            <a:ext uri="{FF2B5EF4-FFF2-40B4-BE49-F238E27FC236}">
              <a16:creationId xmlns:a16="http://schemas.microsoft.com/office/drawing/2014/main" id="{00000000-0008-0000-0000-000036190000}"/>
            </a:ext>
          </a:extLst>
        </xdr:cNvPr>
        <xdr:cNvSpPr>
          <a:spLocks noChangeShapeType="1"/>
        </xdr:cNvSpPr>
      </xdr:nvSpPr>
      <xdr:spPr bwMode="auto">
        <a:xfrm>
          <a:off x="771525" y="12934950"/>
          <a:ext cx="923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126</xdr:row>
      <xdr:rowOff>0</xdr:rowOff>
    </xdr:from>
    <xdr:to>
      <xdr:col>7</xdr:col>
      <xdr:colOff>0</xdr:colOff>
      <xdr:row>129</xdr:row>
      <xdr:rowOff>0</xdr:rowOff>
    </xdr:to>
    <xdr:sp macro="" textlink="">
      <xdr:nvSpPr>
        <xdr:cNvPr id="6455" name="Line 7">
          <a:extLst>
            <a:ext uri="{FF2B5EF4-FFF2-40B4-BE49-F238E27FC236}">
              <a16:creationId xmlns:a16="http://schemas.microsoft.com/office/drawing/2014/main" id="{00000000-0008-0000-0000-000037190000}"/>
            </a:ext>
          </a:extLst>
        </xdr:cNvPr>
        <xdr:cNvSpPr>
          <a:spLocks noChangeShapeType="1"/>
        </xdr:cNvSpPr>
      </xdr:nvSpPr>
      <xdr:spPr bwMode="auto">
        <a:xfrm>
          <a:off x="657225" y="20354925"/>
          <a:ext cx="876300" cy="495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128</xdr:row>
      <xdr:rowOff>104775</xdr:rowOff>
    </xdr:from>
    <xdr:to>
      <xdr:col>3</xdr:col>
      <xdr:colOff>66675</xdr:colOff>
      <xdr:row>128</xdr:row>
      <xdr:rowOff>104775</xdr:rowOff>
    </xdr:to>
    <xdr:sp macro="" textlink="">
      <xdr:nvSpPr>
        <xdr:cNvPr id="6456" name="Line 9">
          <a:extLst>
            <a:ext uri="{FF2B5EF4-FFF2-40B4-BE49-F238E27FC236}">
              <a16:creationId xmlns:a16="http://schemas.microsoft.com/office/drawing/2014/main" id="{00000000-0008-0000-0000-000038190000}"/>
            </a:ext>
          </a:extLst>
        </xdr:cNvPr>
        <xdr:cNvSpPr>
          <a:spLocks noChangeShapeType="1"/>
        </xdr:cNvSpPr>
      </xdr:nvSpPr>
      <xdr:spPr bwMode="auto">
        <a:xfrm>
          <a:off x="657225" y="20783550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128</xdr:row>
      <xdr:rowOff>104775</xdr:rowOff>
    </xdr:from>
    <xdr:to>
      <xdr:col>3</xdr:col>
      <xdr:colOff>66675</xdr:colOff>
      <xdr:row>129</xdr:row>
      <xdr:rowOff>0</xdr:rowOff>
    </xdr:to>
    <xdr:sp macro="" textlink="">
      <xdr:nvSpPr>
        <xdr:cNvPr id="6457" name="Line 10">
          <a:extLst>
            <a:ext uri="{FF2B5EF4-FFF2-40B4-BE49-F238E27FC236}">
              <a16:creationId xmlns:a16="http://schemas.microsoft.com/office/drawing/2014/main" id="{00000000-0008-0000-0000-000039190000}"/>
            </a:ext>
          </a:extLst>
        </xdr:cNvPr>
        <xdr:cNvSpPr>
          <a:spLocks noChangeShapeType="1"/>
        </xdr:cNvSpPr>
      </xdr:nvSpPr>
      <xdr:spPr bwMode="auto">
        <a:xfrm flipV="1">
          <a:off x="723900" y="20783550"/>
          <a:ext cx="0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19050</xdr:colOff>
      <xdr:row>124</xdr:row>
      <xdr:rowOff>66675</xdr:rowOff>
    </xdr:from>
    <xdr:to>
      <xdr:col>24</xdr:col>
      <xdr:colOff>28575</xdr:colOff>
      <xdr:row>134</xdr:row>
      <xdr:rowOff>66675</xdr:rowOff>
    </xdr:to>
    <xdr:pic>
      <xdr:nvPicPr>
        <xdr:cNvPr id="6458" name="Picture 11" descr="retvink">
          <a:extLst>
            <a:ext uri="{FF2B5EF4-FFF2-40B4-BE49-F238E27FC236}">
              <a16:creationId xmlns:a16="http://schemas.microsoft.com/office/drawing/2014/main" id="{00000000-0008-0000-0000-00003A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20097750"/>
          <a:ext cx="1543050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157</xdr:row>
      <xdr:rowOff>0</xdr:rowOff>
    </xdr:from>
    <xdr:to>
      <xdr:col>7</xdr:col>
      <xdr:colOff>0</xdr:colOff>
      <xdr:row>160</xdr:row>
      <xdr:rowOff>0</xdr:rowOff>
    </xdr:to>
    <xdr:sp macro="" textlink="">
      <xdr:nvSpPr>
        <xdr:cNvPr id="6459" name="Line 12">
          <a:extLst>
            <a:ext uri="{FF2B5EF4-FFF2-40B4-BE49-F238E27FC236}">
              <a16:creationId xmlns:a16="http://schemas.microsoft.com/office/drawing/2014/main" id="{00000000-0008-0000-0000-00003B190000}"/>
            </a:ext>
          </a:extLst>
        </xdr:cNvPr>
        <xdr:cNvSpPr>
          <a:spLocks noChangeShapeType="1"/>
        </xdr:cNvSpPr>
      </xdr:nvSpPr>
      <xdr:spPr bwMode="auto">
        <a:xfrm>
          <a:off x="657225" y="25403175"/>
          <a:ext cx="876300" cy="495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159</xdr:row>
      <xdr:rowOff>104775</xdr:rowOff>
    </xdr:from>
    <xdr:to>
      <xdr:col>3</xdr:col>
      <xdr:colOff>66675</xdr:colOff>
      <xdr:row>159</xdr:row>
      <xdr:rowOff>104775</xdr:rowOff>
    </xdr:to>
    <xdr:sp macro="" textlink="">
      <xdr:nvSpPr>
        <xdr:cNvPr id="6460" name="Line 13">
          <a:extLst>
            <a:ext uri="{FF2B5EF4-FFF2-40B4-BE49-F238E27FC236}">
              <a16:creationId xmlns:a16="http://schemas.microsoft.com/office/drawing/2014/main" id="{00000000-0008-0000-0000-00003C190000}"/>
            </a:ext>
          </a:extLst>
        </xdr:cNvPr>
        <xdr:cNvSpPr>
          <a:spLocks noChangeShapeType="1"/>
        </xdr:cNvSpPr>
      </xdr:nvSpPr>
      <xdr:spPr bwMode="auto">
        <a:xfrm>
          <a:off x="657225" y="25831800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159</xdr:row>
      <xdr:rowOff>104775</xdr:rowOff>
    </xdr:from>
    <xdr:to>
      <xdr:col>3</xdr:col>
      <xdr:colOff>66675</xdr:colOff>
      <xdr:row>160</xdr:row>
      <xdr:rowOff>0</xdr:rowOff>
    </xdr:to>
    <xdr:sp macro="" textlink="">
      <xdr:nvSpPr>
        <xdr:cNvPr id="6461" name="Line 14">
          <a:extLst>
            <a:ext uri="{FF2B5EF4-FFF2-40B4-BE49-F238E27FC236}">
              <a16:creationId xmlns:a16="http://schemas.microsoft.com/office/drawing/2014/main" id="{00000000-0008-0000-0000-00003D190000}"/>
            </a:ext>
          </a:extLst>
        </xdr:cNvPr>
        <xdr:cNvSpPr>
          <a:spLocks noChangeShapeType="1"/>
        </xdr:cNvSpPr>
      </xdr:nvSpPr>
      <xdr:spPr bwMode="auto">
        <a:xfrm flipV="1">
          <a:off x="723900" y="25831800"/>
          <a:ext cx="0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28575</xdr:rowOff>
    </xdr:from>
    <xdr:to>
      <xdr:col>22</xdr:col>
      <xdr:colOff>209549</xdr:colOff>
      <xdr:row>69</xdr:row>
      <xdr:rowOff>28575</xdr:rowOff>
    </xdr:to>
    <xdr:pic>
      <xdr:nvPicPr>
        <xdr:cNvPr id="6462" name="Picture 15" descr="vilkaarlig trekant">
          <a:extLst>
            <a:ext uri="{FF2B5EF4-FFF2-40B4-BE49-F238E27FC236}">
              <a16:creationId xmlns:a16="http://schemas.microsoft.com/office/drawing/2014/main" id="{00000000-0008-0000-0000-00003E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1182350"/>
          <a:ext cx="13049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70</xdr:row>
      <xdr:rowOff>95250</xdr:rowOff>
    </xdr:from>
    <xdr:to>
      <xdr:col>24</xdr:col>
      <xdr:colOff>171450</xdr:colOff>
      <xdr:row>71</xdr:row>
      <xdr:rowOff>76200</xdr:rowOff>
    </xdr:to>
    <xdr:pic>
      <xdr:nvPicPr>
        <xdr:cNvPr id="6463" name="Picture 16" descr="vilkaarlig trekant 2">
          <a:extLst>
            <a:ext uri="{FF2B5EF4-FFF2-40B4-BE49-F238E27FC236}">
              <a16:creationId xmlns:a16="http://schemas.microsoft.com/office/drawing/2014/main" id="{00000000-0008-0000-0000-00003F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1734800"/>
          <a:ext cx="17049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</xdr:row>
      <xdr:rowOff>19050</xdr:rowOff>
    </xdr:from>
    <xdr:to>
      <xdr:col>11</xdr:col>
      <xdr:colOff>104775</xdr:colOff>
      <xdr:row>166</xdr:row>
      <xdr:rowOff>133350</xdr:rowOff>
    </xdr:to>
    <xdr:pic>
      <xdr:nvPicPr>
        <xdr:cNvPr id="6464" name="Picture 17" descr="Formle2">
          <a:extLst>
            <a:ext uri="{FF2B5EF4-FFF2-40B4-BE49-F238E27FC236}">
              <a16:creationId xmlns:a16="http://schemas.microsoft.com/office/drawing/2014/main" id="{00000000-0008-0000-0000-000040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89"/>
        <a:stretch>
          <a:fillRect/>
        </a:stretch>
      </xdr:blipFill>
      <xdr:spPr bwMode="auto">
        <a:xfrm>
          <a:off x="219075" y="25260300"/>
          <a:ext cx="2295525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177</xdr:row>
      <xdr:rowOff>38100</xdr:rowOff>
    </xdr:from>
    <xdr:to>
      <xdr:col>22</xdr:col>
      <xdr:colOff>0</xdr:colOff>
      <xdr:row>181</xdr:row>
      <xdr:rowOff>0</xdr:rowOff>
    </xdr:to>
    <xdr:pic>
      <xdr:nvPicPr>
        <xdr:cNvPr id="6465" name="Picture 18" descr="bomaerke">
          <a:extLst>
            <a:ext uri="{FF2B5EF4-FFF2-40B4-BE49-F238E27FC236}">
              <a16:creationId xmlns:a16="http://schemas.microsoft.com/office/drawing/2014/main" id="{00000000-0008-0000-0000-000041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86893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38100</xdr:colOff>
      <xdr:row>208</xdr:row>
      <xdr:rowOff>9525</xdr:rowOff>
    </xdr:from>
    <xdr:to>
      <xdr:col>25</xdr:col>
      <xdr:colOff>2956</xdr:colOff>
      <xdr:row>224</xdr:row>
      <xdr:rowOff>3803</xdr:rowOff>
    </xdr:to>
    <xdr:pic>
      <xdr:nvPicPr>
        <xdr:cNvPr id="6466" name="Picture 19" descr="POLYGON">
          <a:extLst>
            <a:ext uri="{FF2B5EF4-FFF2-40B4-BE49-F238E27FC236}">
              <a16:creationId xmlns:a16="http://schemas.microsoft.com/office/drawing/2014/main" id="{00000000-0008-0000-0000-000042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80" t="8522" r="10281" b="25568"/>
        <a:stretch>
          <a:fillRect/>
        </a:stretch>
      </xdr:blipFill>
      <xdr:spPr bwMode="auto">
        <a:xfrm>
          <a:off x="2886075" y="33451800"/>
          <a:ext cx="2600325" cy="2581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118</xdr:row>
      <xdr:rowOff>38100</xdr:rowOff>
    </xdr:from>
    <xdr:to>
      <xdr:col>22</xdr:col>
      <xdr:colOff>0</xdr:colOff>
      <xdr:row>122</xdr:row>
      <xdr:rowOff>0</xdr:rowOff>
    </xdr:to>
    <xdr:pic>
      <xdr:nvPicPr>
        <xdr:cNvPr id="6467" name="Picture 20" descr="bomaerke">
          <a:extLst>
            <a:ext uri="{FF2B5EF4-FFF2-40B4-BE49-F238E27FC236}">
              <a16:creationId xmlns:a16="http://schemas.microsoft.com/office/drawing/2014/main" id="{00000000-0008-0000-0000-000043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909762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9525</xdr:colOff>
      <xdr:row>98</xdr:row>
      <xdr:rowOff>9525</xdr:rowOff>
    </xdr:from>
    <xdr:to>
      <xdr:col>15</xdr:col>
      <xdr:colOff>57150</xdr:colOff>
      <xdr:row>103</xdr:row>
      <xdr:rowOff>152400</xdr:rowOff>
    </xdr:to>
    <xdr:sp macro="" textlink="">
      <xdr:nvSpPr>
        <xdr:cNvPr id="6468" name="Line 21">
          <a:extLst>
            <a:ext uri="{FF2B5EF4-FFF2-40B4-BE49-F238E27FC236}">
              <a16:creationId xmlns:a16="http://schemas.microsoft.com/office/drawing/2014/main" id="{00000000-0008-0000-0000-000044190000}"/>
            </a:ext>
          </a:extLst>
        </xdr:cNvPr>
        <xdr:cNvSpPr>
          <a:spLocks noChangeShapeType="1"/>
        </xdr:cNvSpPr>
      </xdr:nvSpPr>
      <xdr:spPr bwMode="auto">
        <a:xfrm flipH="1" flipV="1">
          <a:off x="2857500" y="15830550"/>
          <a:ext cx="485775" cy="952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96</xdr:row>
      <xdr:rowOff>180975</xdr:rowOff>
    </xdr:from>
    <xdr:to>
      <xdr:col>19</xdr:col>
      <xdr:colOff>19050</xdr:colOff>
      <xdr:row>97</xdr:row>
      <xdr:rowOff>152400</xdr:rowOff>
    </xdr:to>
    <xdr:sp macro="" textlink="">
      <xdr:nvSpPr>
        <xdr:cNvPr id="6469" name="Line 22">
          <a:extLst>
            <a:ext uri="{FF2B5EF4-FFF2-40B4-BE49-F238E27FC236}">
              <a16:creationId xmlns:a16="http://schemas.microsoft.com/office/drawing/2014/main" id="{00000000-0008-0000-0000-000045190000}"/>
            </a:ext>
          </a:extLst>
        </xdr:cNvPr>
        <xdr:cNvSpPr>
          <a:spLocks noChangeShapeType="1"/>
        </xdr:cNvSpPr>
      </xdr:nvSpPr>
      <xdr:spPr bwMode="auto">
        <a:xfrm flipV="1">
          <a:off x="2857500" y="15611475"/>
          <a:ext cx="1323975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</xdr:colOff>
      <xdr:row>96</xdr:row>
      <xdr:rowOff>190500</xdr:rowOff>
    </xdr:from>
    <xdr:to>
      <xdr:col>24</xdr:col>
      <xdr:colOff>114300</xdr:colOff>
      <xdr:row>102</xdr:row>
      <xdr:rowOff>19050</xdr:rowOff>
    </xdr:to>
    <xdr:sp macro="" textlink="">
      <xdr:nvSpPr>
        <xdr:cNvPr id="6470" name="Line 23">
          <a:extLst>
            <a:ext uri="{FF2B5EF4-FFF2-40B4-BE49-F238E27FC236}">
              <a16:creationId xmlns:a16="http://schemas.microsoft.com/office/drawing/2014/main" id="{00000000-0008-0000-0000-000046190000}"/>
            </a:ext>
          </a:extLst>
        </xdr:cNvPr>
        <xdr:cNvSpPr>
          <a:spLocks noChangeShapeType="1"/>
        </xdr:cNvSpPr>
      </xdr:nvSpPr>
      <xdr:spPr bwMode="auto">
        <a:xfrm>
          <a:off x="4171950" y="15621000"/>
          <a:ext cx="1200150" cy="866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57150</xdr:colOff>
      <xdr:row>102</xdr:row>
      <xdr:rowOff>19050</xdr:rowOff>
    </xdr:from>
    <xdr:to>
      <xdr:col>24</xdr:col>
      <xdr:colOff>114300</xdr:colOff>
      <xdr:row>103</xdr:row>
      <xdr:rowOff>152400</xdr:rowOff>
    </xdr:to>
    <xdr:sp macro="" textlink="">
      <xdr:nvSpPr>
        <xdr:cNvPr id="6471" name="Line 24">
          <a:extLst>
            <a:ext uri="{FF2B5EF4-FFF2-40B4-BE49-F238E27FC236}">
              <a16:creationId xmlns:a16="http://schemas.microsoft.com/office/drawing/2014/main" id="{00000000-0008-0000-0000-000047190000}"/>
            </a:ext>
          </a:extLst>
        </xdr:cNvPr>
        <xdr:cNvSpPr>
          <a:spLocks noChangeShapeType="1"/>
        </xdr:cNvSpPr>
      </xdr:nvSpPr>
      <xdr:spPr bwMode="auto">
        <a:xfrm flipV="1">
          <a:off x="3343275" y="16487775"/>
          <a:ext cx="2028825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47625</xdr:colOff>
      <xdr:row>96</xdr:row>
      <xdr:rowOff>180975</xdr:rowOff>
    </xdr:from>
    <xdr:to>
      <xdr:col>19</xdr:col>
      <xdr:colOff>0</xdr:colOff>
      <xdr:row>103</xdr:row>
      <xdr:rowOff>142875</xdr:rowOff>
    </xdr:to>
    <xdr:sp macro="" textlink="">
      <xdr:nvSpPr>
        <xdr:cNvPr id="6472" name="Line 25">
          <a:extLst>
            <a:ext uri="{FF2B5EF4-FFF2-40B4-BE49-F238E27FC236}">
              <a16:creationId xmlns:a16="http://schemas.microsoft.com/office/drawing/2014/main" id="{00000000-0008-0000-0000-000048190000}"/>
            </a:ext>
          </a:extLst>
        </xdr:cNvPr>
        <xdr:cNvSpPr>
          <a:spLocks noChangeShapeType="1"/>
        </xdr:cNvSpPr>
      </xdr:nvSpPr>
      <xdr:spPr bwMode="auto">
        <a:xfrm flipV="1">
          <a:off x="3333750" y="15611475"/>
          <a:ext cx="828675" cy="1162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9525</xdr:colOff>
      <xdr:row>243</xdr:row>
      <xdr:rowOff>28575</xdr:rowOff>
    </xdr:from>
    <xdr:to>
      <xdr:col>9</xdr:col>
      <xdr:colOff>9525</xdr:colOff>
      <xdr:row>253</xdr:row>
      <xdr:rowOff>142875</xdr:rowOff>
    </xdr:to>
    <xdr:pic>
      <xdr:nvPicPr>
        <xdr:cNvPr id="6473" name="Picture 27" descr="sekskant">
          <a:extLst>
            <a:ext uri="{FF2B5EF4-FFF2-40B4-BE49-F238E27FC236}">
              <a16:creationId xmlns:a16="http://schemas.microsoft.com/office/drawing/2014/main" id="{00000000-0008-0000-0000-000049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73" t="10191" r="26799" b="9872"/>
        <a:stretch>
          <a:fillRect/>
        </a:stretch>
      </xdr:blipFill>
      <xdr:spPr bwMode="auto">
        <a:xfrm>
          <a:off x="228600" y="39176325"/>
          <a:ext cx="175260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95250</xdr:colOff>
      <xdr:row>243</xdr:row>
      <xdr:rowOff>47625</xdr:rowOff>
    </xdr:from>
    <xdr:to>
      <xdr:col>17</xdr:col>
      <xdr:colOff>131748</xdr:colOff>
      <xdr:row>253</xdr:row>
      <xdr:rowOff>114300</xdr:rowOff>
    </xdr:to>
    <xdr:pic>
      <xdr:nvPicPr>
        <xdr:cNvPr id="6474" name="Picture 28" descr="ottekant">
          <a:extLst>
            <a:ext uri="{FF2B5EF4-FFF2-40B4-BE49-F238E27FC236}">
              <a16:creationId xmlns:a16="http://schemas.microsoft.com/office/drawing/2014/main" id="{00000000-0008-0000-0000-00004A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39195375"/>
          <a:ext cx="1790700" cy="1685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152400</xdr:colOff>
      <xdr:row>243</xdr:row>
      <xdr:rowOff>38100</xdr:rowOff>
    </xdr:from>
    <xdr:to>
      <xdr:col>26</xdr:col>
      <xdr:colOff>47624</xdr:colOff>
      <xdr:row>254</xdr:row>
      <xdr:rowOff>0</xdr:rowOff>
    </xdr:to>
    <xdr:pic>
      <xdr:nvPicPr>
        <xdr:cNvPr id="6475" name="Picture 29" descr="tikant">
          <a:extLst>
            <a:ext uri="{FF2B5EF4-FFF2-40B4-BE49-F238E27FC236}">
              <a16:creationId xmlns:a16="http://schemas.microsoft.com/office/drawing/2014/main" id="{00000000-0008-0000-0000-00004B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39185850"/>
          <a:ext cx="186690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279</xdr:row>
      <xdr:rowOff>57150</xdr:rowOff>
    </xdr:from>
    <xdr:to>
      <xdr:col>7</xdr:col>
      <xdr:colOff>85725</xdr:colOff>
      <xdr:row>289</xdr:row>
      <xdr:rowOff>9525</xdr:rowOff>
    </xdr:to>
    <xdr:pic>
      <xdr:nvPicPr>
        <xdr:cNvPr id="6476" name="Picture 30" descr="Cirkel">
          <a:extLst>
            <a:ext uri="{FF2B5EF4-FFF2-40B4-BE49-F238E27FC236}">
              <a16:creationId xmlns:a16="http://schemas.microsoft.com/office/drawing/2014/main" id="{00000000-0008-0000-0000-00004C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4815125"/>
          <a:ext cx="1390650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237</xdr:row>
      <xdr:rowOff>38100</xdr:rowOff>
    </xdr:from>
    <xdr:to>
      <xdr:col>22</xdr:col>
      <xdr:colOff>0</xdr:colOff>
      <xdr:row>241</xdr:row>
      <xdr:rowOff>3538</xdr:rowOff>
    </xdr:to>
    <xdr:pic>
      <xdr:nvPicPr>
        <xdr:cNvPr id="6477" name="Picture 31" descr="bomaerke">
          <a:extLst>
            <a:ext uri="{FF2B5EF4-FFF2-40B4-BE49-F238E27FC236}">
              <a16:creationId xmlns:a16="http://schemas.microsoft.com/office/drawing/2014/main" id="{00000000-0008-0000-0000-00004D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382143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297</xdr:row>
      <xdr:rowOff>38100</xdr:rowOff>
    </xdr:from>
    <xdr:to>
      <xdr:col>22</xdr:col>
      <xdr:colOff>0</xdr:colOff>
      <xdr:row>301</xdr:row>
      <xdr:rowOff>0</xdr:rowOff>
    </xdr:to>
    <xdr:pic>
      <xdr:nvPicPr>
        <xdr:cNvPr id="6478" name="Picture 32" descr="bomaerke">
          <a:extLst>
            <a:ext uri="{FF2B5EF4-FFF2-40B4-BE49-F238E27FC236}">
              <a16:creationId xmlns:a16="http://schemas.microsoft.com/office/drawing/2014/main" id="{00000000-0008-0000-0000-00004E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4771072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303</xdr:row>
      <xdr:rowOff>95250</xdr:rowOff>
    </xdr:from>
    <xdr:to>
      <xdr:col>9</xdr:col>
      <xdr:colOff>142875</xdr:colOff>
      <xdr:row>318</xdr:row>
      <xdr:rowOff>114300</xdr:rowOff>
    </xdr:to>
    <xdr:pic>
      <xdr:nvPicPr>
        <xdr:cNvPr id="6479" name="Picture 33" descr="Cirkelsnit">
          <a:extLst>
            <a:ext uri="{FF2B5EF4-FFF2-40B4-BE49-F238E27FC236}">
              <a16:creationId xmlns:a16="http://schemas.microsoft.com/office/drawing/2014/main" id="{00000000-0008-0000-0000-00004F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0" r="25000" b="12903"/>
        <a:stretch>
          <a:fillRect/>
        </a:stretch>
      </xdr:blipFill>
      <xdr:spPr bwMode="auto">
        <a:xfrm>
          <a:off x="257175" y="48739425"/>
          <a:ext cx="1857375" cy="2447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171450</xdr:colOff>
      <xdr:row>313</xdr:row>
      <xdr:rowOff>0</xdr:rowOff>
    </xdr:from>
    <xdr:to>
      <xdr:col>17</xdr:col>
      <xdr:colOff>38100</xdr:colOff>
      <xdr:row>314</xdr:row>
      <xdr:rowOff>152400</xdr:rowOff>
    </xdr:to>
    <xdr:sp macro="" textlink="">
      <xdr:nvSpPr>
        <xdr:cNvPr id="6480" name="AutoShape 34">
          <a:extLst>
            <a:ext uri="{FF2B5EF4-FFF2-40B4-BE49-F238E27FC236}">
              <a16:creationId xmlns:a16="http://schemas.microsoft.com/office/drawing/2014/main" id="{00000000-0008-0000-0000-000050190000}"/>
            </a:ext>
          </a:extLst>
        </xdr:cNvPr>
        <xdr:cNvSpPr>
          <a:spLocks/>
        </xdr:cNvSpPr>
      </xdr:nvSpPr>
      <xdr:spPr bwMode="auto">
        <a:xfrm>
          <a:off x="3676650" y="50263425"/>
          <a:ext cx="85725" cy="314325"/>
        </a:xfrm>
        <a:prstGeom prst="leftBracket">
          <a:avLst>
            <a:gd name="adj" fmla="val 3055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161925</xdr:colOff>
      <xdr:row>313</xdr:row>
      <xdr:rowOff>95250</xdr:rowOff>
    </xdr:from>
    <xdr:to>
      <xdr:col>17</xdr:col>
      <xdr:colOff>171450</xdr:colOff>
      <xdr:row>315</xdr:row>
      <xdr:rowOff>0</xdr:rowOff>
    </xdr:to>
    <xdr:sp macro="" textlink="">
      <xdr:nvSpPr>
        <xdr:cNvPr id="6481" name="Line 35">
          <a:extLst>
            <a:ext uri="{FF2B5EF4-FFF2-40B4-BE49-F238E27FC236}">
              <a16:creationId xmlns:a16="http://schemas.microsoft.com/office/drawing/2014/main" id="{00000000-0008-0000-0000-000051190000}"/>
            </a:ext>
          </a:extLst>
        </xdr:cNvPr>
        <xdr:cNvSpPr>
          <a:spLocks noChangeShapeType="1"/>
        </xdr:cNvSpPr>
      </xdr:nvSpPr>
      <xdr:spPr bwMode="auto">
        <a:xfrm flipH="1">
          <a:off x="3886200" y="50358675"/>
          <a:ext cx="9525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161925</xdr:colOff>
      <xdr:row>312</xdr:row>
      <xdr:rowOff>152400</xdr:rowOff>
    </xdr:from>
    <xdr:to>
      <xdr:col>18</xdr:col>
      <xdr:colOff>47625</xdr:colOff>
      <xdr:row>315</xdr:row>
      <xdr:rowOff>19050</xdr:rowOff>
    </xdr:to>
    <xdr:sp macro="" textlink="">
      <xdr:nvSpPr>
        <xdr:cNvPr id="6482" name="Line 36">
          <a:extLst>
            <a:ext uri="{FF2B5EF4-FFF2-40B4-BE49-F238E27FC236}">
              <a16:creationId xmlns:a16="http://schemas.microsoft.com/office/drawing/2014/main" id="{00000000-0008-0000-0000-000052190000}"/>
            </a:ext>
          </a:extLst>
        </xdr:cNvPr>
        <xdr:cNvSpPr>
          <a:spLocks noChangeShapeType="1"/>
        </xdr:cNvSpPr>
      </xdr:nvSpPr>
      <xdr:spPr bwMode="auto">
        <a:xfrm flipV="1">
          <a:off x="3886200" y="50253900"/>
          <a:ext cx="104775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313</xdr:row>
      <xdr:rowOff>0</xdr:rowOff>
    </xdr:from>
    <xdr:to>
      <xdr:col>20</xdr:col>
      <xdr:colOff>152400</xdr:colOff>
      <xdr:row>313</xdr:row>
      <xdr:rowOff>0</xdr:rowOff>
    </xdr:to>
    <xdr:sp macro="" textlink="">
      <xdr:nvSpPr>
        <xdr:cNvPr id="6483" name="Line 37">
          <a:extLst>
            <a:ext uri="{FF2B5EF4-FFF2-40B4-BE49-F238E27FC236}">
              <a16:creationId xmlns:a16="http://schemas.microsoft.com/office/drawing/2014/main" id="{00000000-0008-0000-0000-000053190000}"/>
            </a:ext>
          </a:extLst>
        </xdr:cNvPr>
        <xdr:cNvSpPr>
          <a:spLocks noChangeShapeType="1"/>
        </xdr:cNvSpPr>
      </xdr:nvSpPr>
      <xdr:spPr bwMode="auto">
        <a:xfrm>
          <a:off x="3981450" y="502634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161925</xdr:colOff>
      <xdr:row>313</xdr:row>
      <xdr:rowOff>19050</xdr:rowOff>
    </xdr:from>
    <xdr:to>
      <xdr:col>19</xdr:col>
      <xdr:colOff>19050</xdr:colOff>
      <xdr:row>314</xdr:row>
      <xdr:rowOff>152400</xdr:rowOff>
    </xdr:to>
    <xdr:sp macro="" textlink="">
      <xdr:nvSpPr>
        <xdr:cNvPr id="6484" name="AutoShape 41">
          <a:extLst>
            <a:ext uri="{FF2B5EF4-FFF2-40B4-BE49-F238E27FC236}">
              <a16:creationId xmlns:a16="http://schemas.microsoft.com/office/drawing/2014/main" id="{00000000-0008-0000-0000-000054190000}"/>
            </a:ext>
          </a:extLst>
        </xdr:cNvPr>
        <xdr:cNvSpPr>
          <a:spLocks/>
        </xdr:cNvSpPr>
      </xdr:nvSpPr>
      <xdr:spPr bwMode="auto">
        <a:xfrm>
          <a:off x="4105275" y="50282475"/>
          <a:ext cx="76200" cy="295275"/>
        </a:xfrm>
        <a:prstGeom prst="leftBracket">
          <a:avLst>
            <a:gd name="adj" fmla="val 32292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171450</xdr:colOff>
      <xdr:row>313</xdr:row>
      <xdr:rowOff>28575</xdr:rowOff>
    </xdr:from>
    <xdr:to>
      <xdr:col>20</xdr:col>
      <xdr:colOff>28575</xdr:colOff>
      <xdr:row>314</xdr:row>
      <xdr:rowOff>152400</xdr:rowOff>
    </xdr:to>
    <xdr:sp macro="" textlink="">
      <xdr:nvSpPr>
        <xdr:cNvPr id="6485" name="AutoShape 42">
          <a:extLst>
            <a:ext uri="{FF2B5EF4-FFF2-40B4-BE49-F238E27FC236}">
              <a16:creationId xmlns:a16="http://schemas.microsoft.com/office/drawing/2014/main" id="{00000000-0008-0000-0000-000055190000}"/>
            </a:ext>
          </a:extLst>
        </xdr:cNvPr>
        <xdr:cNvSpPr>
          <a:spLocks/>
        </xdr:cNvSpPr>
      </xdr:nvSpPr>
      <xdr:spPr bwMode="auto">
        <a:xfrm>
          <a:off x="4333875" y="50292000"/>
          <a:ext cx="76200" cy="285750"/>
        </a:xfrm>
        <a:prstGeom prst="rightBracket">
          <a:avLst>
            <a:gd name="adj" fmla="val 3125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180975</xdr:colOff>
      <xdr:row>313</xdr:row>
      <xdr:rowOff>0</xdr:rowOff>
    </xdr:from>
    <xdr:to>
      <xdr:col>21</xdr:col>
      <xdr:colOff>38100</xdr:colOff>
      <xdr:row>314</xdr:row>
      <xdr:rowOff>152400</xdr:rowOff>
    </xdr:to>
    <xdr:sp macro="" textlink="">
      <xdr:nvSpPr>
        <xdr:cNvPr id="6486" name="AutoShape 43">
          <a:extLst>
            <a:ext uri="{FF2B5EF4-FFF2-40B4-BE49-F238E27FC236}">
              <a16:creationId xmlns:a16="http://schemas.microsoft.com/office/drawing/2014/main" id="{00000000-0008-0000-0000-000056190000}"/>
            </a:ext>
          </a:extLst>
        </xdr:cNvPr>
        <xdr:cNvSpPr>
          <a:spLocks/>
        </xdr:cNvSpPr>
      </xdr:nvSpPr>
      <xdr:spPr bwMode="auto">
        <a:xfrm>
          <a:off x="4562475" y="50263425"/>
          <a:ext cx="76200" cy="314325"/>
        </a:xfrm>
        <a:prstGeom prst="rightBracket">
          <a:avLst>
            <a:gd name="adj" fmla="val 34375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19050</xdr:colOff>
      <xdr:row>310</xdr:row>
      <xdr:rowOff>0</xdr:rowOff>
    </xdr:from>
    <xdr:to>
      <xdr:col>17</xdr:col>
      <xdr:colOff>104775</xdr:colOff>
      <xdr:row>311</xdr:row>
      <xdr:rowOff>152400</xdr:rowOff>
    </xdr:to>
    <xdr:sp macro="" textlink="">
      <xdr:nvSpPr>
        <xdr:cNvPr id="6487" name="AutoShape 44">
          <a:extLst>
            <a:ext uri="{FF2B5EF4-FFF2-40B4-BE49-F238E27FC236}">
              <a16:creationId xmlns:a16="http://schemas.microsoft.com/office/drawing/2014/main" id="{00000000-0008-0000-0000-000057190000}"/>
            </a:ext>
          </a:extLst>
        </xdr:cNvPr>
        <xdr:cNvSpPr>
          <a:spLocks/>
        </xdr:cNvSpPr>
      </xdr:nvSpPr>
      <xdr:spPr bwMode="auto">
        <a:xfrm>
          <a:off x="3743325" y="49777650"/>
          <a:ext cx="85725" cy="314325"/>
        </a:xfrm>
        <a:prstGeom prst="leftBracket">
          <a:avLst>
            <a:gd name="adj" fmla="val 3055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171450</xdr:colOff>
      <xdr:row>309</xdr:row>
      <xdr:rowOff>152400</xdr:rowOff>
    </xdr:from>
    <xdr:to>
      <xdr:col>20</xdr:col>
      <xdr:colOff>28575</xdr:colOff>
      <xdr:row>311</xdr:row>
      <xdr:rowOff>142875</xdr:rowOff>
    </xdr:to>
    <xdr:sp macro="" textlink="">
      <xdr:nvSpPr>
        <xdr:cNvPr id="6488" name="AutoShape 45">
          <a:extLst>
            <a:ext uri="{FF2B5EF4-FFF2-40B4-BE49-F238E27FC236}">
              <a16:creationId xmlns:a16="http://schemas.microsoft.com/office/drawing/2014/main" id="{00000000-0008-0000-0000-000058190000}"/>
            </a:ext>
          </a:extLst>
        </xdr:cNvPr>
        <xdr:cNvSpPr>
          <a:spLocks/>
        </xdr:cNvSpPr>
      </xdr:nvSpPr>
      <xdr:spPr bwMode="auto">
        <a:xfrm>
          <a:off x="4333875" y="49768125"/>
          <a:ext cx="76200" cy="314325"/>
        </a:xfrm>
        <a:prstGeom prst="rightBracket">
          <a:avLst>
            <a:gd name="adj" fmla="val 34375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161925</xdr:colOff>
      <xdr:row>322</xdr:row>
      <xdr:rowOff>0</xdr:rowOff>
    </xdr:from>
    <xdr:to>
      <xdr:col>18</xdr:col>
      <xdr:colOff>19050</xdr:colOff>
      <xdr:row>323</xdr:row>
      <xdr:rowOff>152400</xdr:rowOff>
    </xdr:to>
    <xdr:sp macro="" textlink="">
      <xdr:nvSpPr>
        <xdr:cNvPr id="6489" name="AutoShape 46">
          <a:extLst>
            <a:ext uri="{FF2B5EF4-FFF2-40B4-BE49-F238E27FC236}">
              <a16:creationId xmlns:a16="http://schemas.microsoft.com/office/drawing/2014/main" id="{00000000-0008-0000-0000-000059190000}"/>
            </a:ext>
          </a:extLst>
        </xdr:cNvPr>
        <xdr:cNvSpPr>
          <a:spLocks/>
        </xdr:cNvSpPr>
      </xdr:nvSpPr>
      <xdr:spPr bwMode="auto">
        <a:xfrm>
          <a:off x="3886200" y="51720750"/>
          <a:ext cx="76200" cy="314325"/>
        </a:xfrm>
        <a:prstGeom prst="rightBracket">
          <a:avLst>
            <a:gd name="adj" fmla="val 34375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9525</xdr:colOff>
      <xdr:row>322</xdr:row>
      <xdr:rowOff>0</xdr:rowOff>
    </xdr:from>
    <xdr:to>
      <xdr:col>13</xdr:col>
      <xdr:colOff>95250</xdr:colOff>
      <xdr:row>323</xdr:row>
      <xdr:rowOff>152400</xdr:rowOff>
    </xdr:to>
    <xdr:sp macro="" textlink="">
      <xdr:nvSpPr>
        <xdr:cNvPr id="6490" name="AutoShape 47">
          <a:extLst>
            <a:ext uri="{FF2B5EF4-FFF2-40B4-BE49-F238E27FC236}">
              <a16:creationId xmlns:a16="http://schemas.microsoft.com/office/drawing/2014/main" id="{00000000-0008-0000-0000-00005A190000}"/>
            </a:ext>
          </a:extLst>
        </xdr:cNvPr>
        <xdr:cNvSpPr>
          <a:spLocks/>
        </xdr:cNvSpPr>
      </xdr:nvSpPr>
      <xdr:spPr bwMode="auto">
        <a:xfrm>
          <a:off x="2857500" y="51720750"/>
          <a:ext cx="85725" cy="314325"/>
        </a:xfrm>
        <a:prstGeom prst="leftBracket">
          <a:avLst>
            <a:gd name="adj" fmla="val 3055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28575</xdr:colOff>
      <xdr:row>328</xdr:row>
      <xdr:rowOff>76200</xdr:rowOff>
    </xdr:from>
    <xdr:to>
      <xdr:col>6</xdr:col>
      <xdr:colOff>209550</xdr:colOff>
      <xdr:row>338</xdr:row>
      <xdr:rowOff>95250</xdr:rowOff>
    </xdr:to>
    <xdr:pic>
      <xdr:nvPicPr>
        <xdr:cNvPr id="6491" name="Picture 48" descr="Elipse">
          <a:extLst>
            <a:ext uri="{FF2B5EF4-FFF2-40B4-BE49-F238E27FC236}">
              <a16:creationId xmlns:a16="http://schemas.microsoft.com/office/drawing/2014/main" id="{00000000-0008-0000-0000-00005B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45" t="17137" r="27122" b="7259"/>
        <a:stretch>
          <a:fillRect/>
        </a:stretch>
      </xdr:blipFill>
      <xdr:spPr bwMode="auto">
        <a:xfrm>
          <a:off x="247650" y="52768500"/>
          <a:ext cx="127635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356</xdr:row>
      <xdr:rowOff>38100</xdr:rowOff>
    </xdr:from>
    <xdr:to>
      <xdr:col>22</xdr:col>
      <xdr:colOff>0</xdr:colOff>
      <xdr:row>360</xdr:row>
      <xdr:rowOff>2092</xdr:rowOff>
    </xdr:to>
    <xdr:pic>
      <xdr:nvPicPr>
        <xdr:cNvPr id="6492" name="Picture 49" descr="bomaerke">
          <a:extLst>
            <a:ext uri="{FF2B5EF4-FFF2-40B4-BE49-F238E27FC236}">
              <a16:creationId xmlns:a16="http://schemas.microsoft.com/office/drawing/2014/main" id="{00000000-0008-0000-0000-00005C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72643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365</xdr:row>
      <xdr:rowOff>133350</xdr:rowOff>
    </xdr:from>
    <xdr:to>
      <xdr:col>9</xdr:col>
      <xdr:colOff>152400</xdr:colOff>
      <xdr:row>375</xdr:row>
      <xdr:rowOff>66675</xdr:rowOff>
    </xdr:to>
    <xdr:pic>
      <xdr:nvPicPr>
        <xdr:cNvPr id="6493" name="Picture 50" descr="Kasse">
          <a:extLst>
            <a:ext uri="{FF2B5EF4-FFF2-40B4-BE49-F238E27FC236}">
              <a16:creationId xmlns:a16="http://schemas.microsoft.com/office/drawing/2014/main" id="{00000000-0008-0000-0000-00005D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8816875"/>
          <a:ext cx="196215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114300</xdr:rowOff>
    </xdr:from>
    <xdr:to>
      <xdr:col>5</xdr:col>
      <xdr:colOff>133350</xdr:colOff>
      <xdr:row>392</xdr:row>
      <xdr:rowOff>109393</xdr:rowOff>
    </xdr:to>
    <xdr:pic>
      <xdr:nvPicPr>
        <xdr:cNvPr id="6494" name="Picture 51" descr="Cylinder">
          <a:extLst>
            <a:ext uri="{FF2B5EF4-FFF2-40B4-BE49-F238E27FC236}">
              <a16:creationId xmlns:a16="http://schemas.microsoft.com/office/drawing/2014/main" id="{00000000-0008-0000-0000-00005E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8125"/>
        <a:stretch>
          <a:fillRect/>
        </a:stretch>
      </xdr:blipFill>
      <xdr:spPr bwMode="auto">
        <a:xfrm>
          <a:off x="219075" y="61712475"/>
          <a:ext cx="1009650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412</xdr:row>
      <xdr:rowOff>19050</xdr:rowOff>
    </xdr:from>
    <xdr:to>
      <xdr:col>6</xdr:col>
      <xdr:colOff>142875</xdr:colOff>
      <xdr:row>422</xdr:row>
      <xdr:rowOff>95251</xdr:rowOff>
    </xdr:to>
    <xdr:pic>
      <xdr:nvPicPr>
        <xdr:cNvPr id="6495" name="Picture 52" descr="Cylinderrør">
          <a:extLst>
            <a:ext uri="{FF2B5EF4-FFF2-40B4-BE49-F238E27FC236}">
              <a16:creationId xmlns:a16="http://schemas.microsoft.com/office/drawing/2014/main" id="{00000000-0008-0000-0000-00005F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4208025"/>
          <a:ext cx="130492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428</xdr:row>
      <xdr:rowOff>38100</xdr:rowOff>
    </xdr:from>
    <xdr:to>
      <xdr:col>22</xdr:col>
      <xdr:colOff>0</xdr:colOff>
      <xdr:row>432</xdr:row>
      <xdr:rowOff>3536</xdr:rowOff>
    </xdr:to>
    <xdr:pic>
      <xdr:nvPicPr>
        <xdr:cNvPr id="6496" name="Picture 53" descr="bomaerke">
          <a:extLst>
            <a:ext uri="{FF2B5EF4-FFF2-40B4-BE49-F238E27FC236}">
              <a16:creationId xmlns:a16="http://schemas.microsoft.com/office/drawing/2014/main" id="{00000000-0008-0000-0000-000060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6687502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435</xdr:row>
      <xdr:rowOff>76200</xdr:rowOff>
    </xdr:from>
    <xdr:to>
      <xdr:col>7</xdr:col>
      <xdr:colOff>152400</xdr:colOff>
      <xdr:row>444</xdr:row>
      <xdr:rowOff>142876</xdr:rowOff>
    </xdr:to>
    <xdr:pic>
      <xdr:nvPicPr>
        <xdr:cNvPr id="6497" name="Picture 54" descr="Kegle 2">
          <a:extLst>
            <a:ext uri="{FF2B5EF4-FFF2-40B4-BE49-F238E27FC236}">
              <a16:creationId xmlns:a16="http://schemas.microsoft.com/office/drawing/2014/main" id="{00000000-0008-0000-0000-000061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68046600"/>
          <a:ext cx="14478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451</xdr:row>
      <xdr:rowOff>19050</xdr:rowOff>
    </xdr:from>
    <xdr:to>
      <xdr:col>7</xdr:col>
      <xdr:colOff>47625</xdr:colOff>
      <xdr:row>462</xdr:row>
      <xdr:rowOff>142875</xdr:rowOff>
    </xdr:to>
    <xdr:pic>
      <xdr:nvPicPr>
        <xdr:cNvPr id="6498" name="Picture 56" descr="Keglestub 2">
          <a:extLst>
            <a:ext uri="{FF2B5EF4-FFF2-40B4-BE49-F238E27FC236}">
              <a16:creationId xmlns:a16="http://schemas.microsoft.com/office/drawing/2014/main" id="{00000000-0008-0000-0000-000062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3" r="23906" b="3847"/>
        <a:stretch>
          <a:fillRect/>
        </a:stretch>
      </xdr:blipFill>
      <xdr:spPr bwMode="auto">
        <a:xfrm>
          <a:off x="238125" y="70580250"/>
          <a:ext cx="13430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470</xdr:row>
      <xdr:rowOff>38100</xdr:rowOff>
    </xdr:from>
    <xdr:to>
      <xdr:col>25</xdr:col>
      <xdr:colOff>109334</xdr:colOff>
      <xdr:row>474</xdr:row>
      <xdr:rowOff>1429</xdr:rowOff>
    </xdr:to>
    <xdr:pic>
      <xdr:nvPicPr>
        <xdr:cNvPr id="6499" name="Picture 57" descr="Pyramider">
          <a:extLst>
            <a:ext uri="{FF2B5EF4-FFF2-40B4-BE49-F238E27FC236}">
              <a16:creationId xmlns:a16="http://schemas.microsoft.com/office/drawing/2014/main" id="{00000000-0008-0000-0000-000063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72" b="18182"/>
        <a:stretch>
          <a:fillRect/>
        </a:stretch>
      </xdr:blipFill>
      <xdr:spPr bwMode="auto">
        <a:xfrm>
          <a:off x="1866900" y="73675875"/>
          <a:ext cx="37242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487</xdr:row>
      <xdr:rowOff>38100</xdr:rowOff>
    </xdr:from>
    <xdr:to>
      <xdr:col>22</xdr:col>
      <xdr:colOff>0</xdr:colOff>
      <xdr:row>491</xdr:row>
      <xdr:rowOff>3540</xdr:rowOff>
    </xdr:to>
    <xdr:pic>
      <xdr:nvPicPr>
        <xdr:cNvPr id="6500" name="Picture 59" descr="bomaerke">
          <a:extLst>
            <a:ext uri="{FF2B5EF4-FFF2-40B4-BE49-F238E27FC236}">
              <a16:creationId xmlns:a16="http://schemas.microsoft.com/office/drawing/2014/main" id="{00000000-0008-0000-0000-000064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764286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470</xdr:row>
      <xdr:rowOff>0</xdr:rowOff>
    </xdr:from>
    <xdr:to>
      <xdr:col>8</xdr:col>
      <xdr:colOff>114300</xdr:colOff>
      <xdr:row>479</xdr:row>
      <xdr:rowOff>57151</xdr:rowOff>
    </xdr:to>
    <xdr:pic>
      <xdr:nvPicPr>
        <xdr:cNvPr id="6501" name="Picture 61" descr="Pyramide">
          <a:extLst>
            <a:ext uri="{FF2B5EF4-FFF2-40B4-BE49-F238E27FC236}">
              <a16:creationId xmlns:a16="http://schemas.microsoft.com/office/drawing/2014/main" id="{00000000-0008-0000-0000-000065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621"/>
        <a:stretch>
          <a:fillRect/>
        </a:stretch>
      </xdr:blipFill>
      <xdr:spPr bwMode="auto">
        <a:xfrm>
          <a:off x="47625" y="73637775"/>
          <a:ext cx="1819275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492</xdr:row>
      <xdr:rowOff>104775</xdr:rowOff>
    </xdr:from>
    <xdr:to>
      <xdr:col>10</xdr:col>
      <xdr:colOff>9525</xdr:colOff>
      <xdr:row>504</xdr:row>
      <xdr:rowOff>768</xdr:rowOff>
    </xdr:to>
    <xdr:pic>
      <xdr:nvPicPr>
        <xdr:cNvPr id="6502" name="Picture 62" descr="Pyramidestub 3">
          <a:extLst>
            <a:ext uri="{FF2B5EF4-FFF2-40B4-BE49-F238E27FC236}">
              <a16:creationId xmlns:a16="http://schemas.microsoft.com/office/drawing/2014/main" id="{00000000-0008-0000-0000-000066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65" r="20717" b="10081"/>
        <a:stretch>
          <a:fillRect/>
        </a:stretch>
      </xdr:blipFill>
      <xdr:spPr bwMode="auto">
        <a:xfrm>
          <a:off x="238125" y="77304900"/>
          <a:ext cx="196215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161925</xdr:colOff>
      <xdr:row>500</xdr:row>
      <xdr:rowOff>95250</xdr:rowOff>
    </xdr:from>
    <xdr:to>
      <xdr:col>16</xdr:col>
      <xdr:colOff>180975</xdr:colOff>
      <xdr:row>500</xdr:row>
      <xdr:rowOff>95250</xdr:rowOff>
    </xdr:to>
    <xdr:sp macro="" textlink="">
      <xdr:nvSpPr>
        <xdr:cNvPr id="6503" name="Line 63">
          <a:extLst>
            <a:ext uri="{FF2B5EF4-FFF2-40B4-BE49-F238E27FC236}">
              <a16:creationId xmlns:a16="http://schemas.microsoft.com/office/drawing/2014/main" id="{00000000-0008-0000-0000-000067190000}"/>
            </a:ext>
          </a:extLst>
        </xdr:cNvPr>
        <xdr:cNvSpPr>
          <a:spLocks noChangeShapeType="1"/>
        </xdr:cNvSpPr>
      </xdr:nvSpPr>
      <xdr:spPr bwMode="auto">
        <a:xfrm>
          <a:off x="3448050" y="7859077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190500</xdr:colOff>
      <xdr:row>515</xdr:row>
      <xdr:rowOff>0</xdr:rowOff>
    </xdr:from>
    <xdr:to>
      <xdr:col>10</xdr:col>
      <xdr:colOff>142875</xdr:colOff>
      <xdr:row>527</xdr:row>
      <xdr:rowOff>95250</xdr:rowOff>
    </xdr:to>
    <xdr:pic>
      <xdr:nvPicPr>
        <xdr:cNvPr id="6504" name="Picture 64" descr="Prismatoide">
          <a:extLst>
            <a:ext uri="{FF2B5EF4-FFF2-40B4-BE49-F238E27FC236}">
              <a16:creationId xmlns:a16="http://schemas.microsoft.com/office/drawing/2014/main" id="{00000000-0008-0000-0000-000068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73" r="10701"/>
        <a:stretch>
          <a:fillRect/>
        </a:stretch>
      </xdr:blipFill>
      <xdr:spPr bwMode="auto">
        <a:xfrm>
          <a:off x="190500" y="80838675"/>
          <a:ext cx="21431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534</xdr:row>
      <xdr:rowOff>0</xdr:rowOff>
    </xdr:from>
    <xdr:to>
      <xdr:col>9</xdr:col>
      <xdr:colOff>209550</xdr:colOff>
      <xdr:row>541</xdr:row>
      <xdr:rowOff>57151</xdr:rowOff>
    </xdr:to>
    <xdr:pic>
      <xdr:nvPicPr>
        <xdr:cNvPr id="6505" name="Picture 65" descr="Skæv prismatoide">
          <a:extLst>
            <a:ext uri="{FF2B5EF4-FFF2-40B4-BE49-F238E27FC236}">
              <a16:creationId xmlns:a16="http://schemas.microsoft.com/office/drawing/2014/main" id="{00000000-0008-0000-0000-000069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3829525"/>
          <a:ext cx="20288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548</xdr:row>
      <xdr:rowOff>38100</xdr:rowOff>
    </xdr:from>
    <xdr:to>
      <xdr:col>22</xdr:col>
      <xdr:colOff>0</xdr:colOff>
      <xdr:row>552</xdr:row>
      <xdr:rowOff>771</xdr:rowOff>
    </xdr:to>
    <xdr:pic>
      <xdr:nvPicPr>
        <xdr:cNvPr id="6506" name="Picture 67" descr="bomaerke">
          <a:extLst>
            <a:ext uri="{FF2B5EF4-FFF2-40B4-BE49-F238E27FC236}">
              <a16:creationId xmlns:a16="http://schemas.microsoft.com/office/drawing/2014/main" id="{00000000-0008-0000-0000-00006A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8604885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554</xdr:row>
      <xdr:rowOff>0</xdr:rowOff>
    </xdr:from>
    <xdr:to>
      <xdr:col>9</xdr:col>
      <xdr:colOff>57150</xdr:colOff>
      <xdr:row>563</xdr:row>
      <xdr:rowOff>771</xdr:rowOff>
    </xdr:to>
    <xdr:pic>
      <xdr:nvPicPr>
        <xdr:cNvPr id="6507" name="Picture 68" descr="Kile">
          <a:extLst>
            <a:ext uri="{FF2B5EF4-FFF2-40B4-BE49-F238E27FC236}">
              <a16:creationId xmlns:a16="http://schemas.microsoft.com/office/drawing/2014/main" id="{00000000-0008-0000-0000-00006B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877" b="5507"/>
        <a:stretch>
          <a:fillRect/>
        </a:stretch>
      </xdr:blipFill>
      <xdr:spPr bwMode="auto">
        <a:xfrm>
          <a:off x="209550" y="86982300"/>
          <a:ext cx="181927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10</xdr:col>
      <xdr:colOff>180975</xdr:colOff>
      <xdr:row>581</xdr:row>
      <xdr:rowOff>7640</xdr:rowOff>
    </xdr:to>
    <xdr:pic>
      <xdr:nvPicPr>
        <xdr:cNvPr id="6508" name="Picture 69" descr="Kile afskaret">
          <a:extLst>
            <a:ext uri="{FF2B5EF4-FFF2-40B4-BE49-F238E27FC236}">
              <a16:creationId xmlns:a16="http://schemas.microsoft.com/office/drawing/2014/main" id="{00000000-0008-0000-0000-00006C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3" t="12079" r="11546" b="7022"/>
        <a:stretch>
          <a:fillRect/>
        </a:stretch>
      </xdr:blipFill>
      <xdr:spPr bwMode="auto">
        <a:xfrm>
          <a:off x="219075" y="89649300"/>
          <a:ext cx="215265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589</xdr:row>
      <xdr:rowOff>152400</xdr:rowOff>
    </xdr:from>
    <xdr:to>
      <xdr:col>8</xdr:col>
      <xdr:colOff>161925</xdr:colOff>
      <xdr:row>601</xdr:row>
      <xdr:rowOff>76200</xdr:rowOff>
    </xdr:to>
    <xdr:pic>
      <xdr:nvPicPr>
        <xdr:cNvPr id="6509" name="Picture 70" descr="Kugle 2">
          <a:extLst>
            <a:ext uri="{FF2B5EF4-FFF2-40B4-BE49-F238E27FC236}">
              <a16:creationId xmlns:a16="http://schemas.microsoft.com/office/drawing/2014/main" id="{00000000-0008-0000-0000-00006D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92716350"/>
          <a:ext cx="1685925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607</xdr:row>
      <xdr:rowOff>38100</xdr:rowOff>
    </xdr:from>
    <xdr:to>
      <xdr:col>22</xdr:col>
      <xdr:colOff>0</xdr:colOff>
      <xdr:row>611</xdr:row>
      <xdr:rowOff>772</xdr:rowOff>
    </xdr:to>
    <xdr:pic>
      <xdr:nvPicPr>
        <xdr:cNvPr id="6510" name="Picture 71" descr="bomaerke">
          <a:extLst>
            <a:ext uri="{FF2B5EF4-FFF2-40B4-BE49-F238E27FC236}">
              <a16:creationId xmlns:a16="http://schemas.microsoft.com/office/drawing/2014/main" id="{00000000-0008-0000-0000-00006E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955167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612</xdr:row>
      <xdr:rowOff>28575</xdr:rowOff>
    </xdr:from>
    <xdr:to>
      <xdr:col>9</xdr:col>
      <xdr:colOff>152400</xdr:colOff>
      <xdr:row>623</xdr:row>
      <xdr:rowOff>2</xdr:rowOff>
    </xdr:to>
    <xdr:pic>
      <xdr:nvPicPr>
        <xdr:cNvPr id="6511" name="Picture 72" descr="Kuglekalot 2">
          <a:extLst>
            <a:ext uri="{FF2B5EF4-FFF2-40B4-BE49-F238E27FC236}">
              <a16:creationId xmlns:a16="http://schemas.microsoft.com/office/drawing/2014/main" id="{00000000-0008-0000-0000-00006F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8000"/>
        <a:stretch>
          <a:fillRect/>
        </a:stretch>
      </xdr:blipFill>
      <xdr:spPr bwMode="auto">
        <a:xfrm>
          <a:off x="66675" y="96316800"/>
          <a:ext cx="205740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611</xdr:row>
      <xdr:rowOff>19050</xdr:rowOff>
    </xdr:from>
    <xdr:to>
      <xdr:col>11</xdr:col>
      <xdr:colOff>114300</xdr:colOff>
      <xdr:row>614</xdr:row>
      <xdr:rowOff>85723</xdr:rowOff>
    </xdr:to>
    <xdr:pic>
      <xdr:nvPicPr>
        <xdr:cNvPr id="6512" name="Picture 73" descr="Kuglekalot 3">
          <a:extLst>
            <a:ext uri="{FF2B5EF4-FFF2-40B4-BE49-F238E27FC236}">
              <a16:creationId xmlns:a16="http://schemas.microsoft.com/office/drawing/2014/main" id="{00000000-0008-0000-0000-000070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96145350"/>
          <a:ext cx="5524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180975</xdr:colOff>
      <xdr:row>632</xdr:row>
      <xdr:rowOff>0</xdr:rowOff>
    </xdr:from>
    <xdr:to>
      <xdr:col>11</xdr:col>
      <xdr:colOff>190500</xdr:colOff>
      <xdr:row>636</xdr:row>
      <xdr:rowOff>0</xdr:rowOff>
    </xdr:to>
    <xdr:pic>
      <xdr:nvPicPr>
        <xdr:cNvPr id="6513" name="Picture 74" descr="Kugleudsnit 3">
          <a:extLst>
            <a:ext uri="{FF2B5EF4-FFF2-40B4-BE49-F238E27FC236}">
              <a16:creationId xmlns:a16="http://schemas.microsoft.com/office/drawing/2014/main" id="{00000000-0008-0000-0000-000071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11" b="12675"/>
        <a:stretch>
          <a:fillRect/>
        </a:stretch>
      </xdr:blipFill>
      <xdr:spPr bwMode="auto">
        <a:xfrm>
          <a:off x="1933575" y="99355275"/>
          <a:ext cx="6667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634</xdr:row>
      <xdr:rowOff>0</xdr:rowOff>
    </xdr:from>
    <xdr:to>
      <xdr:col>9</xdr:col>
      <xdr:colOff>47625</xdr:colOff>
      <xdr:row>644</xdr:row>
      <xdr:rowOff>57151</xdr:rowOff>
    </xdr:to>
    <xdr:pic>
      <xdr:nvPicPr>
        <xdr:cNvPr id="6514" name="Picture 75" descr="Kugleudsnit">
          <a:extLst>
            <a:ext uri="{FF2B5EF4-FFF2-40B4-BE49-F238E27FC236}">
              <a16:creationId xmlns:a16="http://schemas.microsoft.com/office/drawing/2014/main" id="{00000000-0008-0000-0000-000072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871"/>
        <a:stretch>
          <a:fillRect/>
        </a:stretch>
      </xdr:blipFill>
      <xdr:spPr bwMode="auto">
        <a:xfrm>
          <a:off x="152400" y="99679125"/>
          <a:ext cx="18669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655</xdr:row>
      <xdr:rowOff>0</xdr:rowOff>
    </xdr:from>
    <xdr:to>
      <xdr:col>12</xdr:col>
      <xdr:colOff>2201</xdr:colOff>
      <xdr:row>659</xdr:row>
      <xdr:rowOff>0</xdr:rowOff>
    </xdr:to>
    <xdr:pic>
      <xdr:nvPicPr>
        <xdr:cNvPr id="6515" name="Picture 76" descr="Kugleudsnit 4">
          <a:extLst>
            <a:ext uri="{FF2B5EF4-FFF2-40B4-BE49-F238E27FC236}">
              <a16:creationId xmlns:a16="http://schemas.microsoft.com/office/drawing/2014/main" id="{00000000-0008-0000-0000-000073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024"/>
        <a:stretch>
          <a:fillRect/>
        </a:stretch>
      </xdr:blipFill>
      <xdr:spPr bwMode="auto">
        <a:xfrm>
          <a:off x="1971675" y="1026509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657</xdr:row>
      <xdr:rowOff>9525</xdr:rowOff>
    </xdr:from>
    <xdr:to>
      <xdr:col>8</xdr:col>
      <xdr:colOff>19050</xdr:colOff>
      <xdr:row>665</xdr:row>
      <xdr:rowOff>47623</xdr:rowOff>
    </xdr:to>
    <xdr:pic>
      <xdr:nvPicPr>
        <xdr:cNvPr id="6516" name="Picture 77" descr="Kugleudsnit 2">
          <a:extLst>
            <a:ext uri="{FF2B5EF4-FFF2-40B4-BE49-F238E27FC236}">
              <a16:creationId xmlns:a16="http://schemas.microsoft.com/office/drawing/2014/main" id="{00000000-0008-0000-0000-000074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7483" b="5443"/>
        <a:stretch>
          <a:fillRect/>
        </a:stretch>
      </xdr:blipFill>
      <xdr:spPr bwMode="auto">
        <a:xfrm>
          <a:off x="114300" y="102984300"/>
          <a:ext cx="16573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671</xdr:row>
      <xdr:rowOff>38100</xdr:rowOff>
    </xdr:from>
    <xdr:to>
      <xdr:col>22</xdr:col>
      <xdr:colOff>0</xdr:colOff>
      <xdr:row>675</xdr:row>
      <xdr:rowOff>771</xdr:rowOff>
    </xdr:to>
    <xdr:pic>
      <xdr:nvPicPr>
        <xdr:cNvPr id="6517" name="Picture 78" descr="bomaerke">
          <a:extLst>
            <a:ext uri="{FF2B5EF4-FFF2-40B4-BE49-F238E27FC236}">
              <a16:creationId xmlns:a16="http://schemas.microsoft.com/office/drawing/2014/main" id="{00000000-0008-0000-0000-000075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0510837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0</xdr:colOff>
      <xdr:row>682</xdr:row>
      <xdr:rowOff>0</xdr:rowOff>
    </xdr:from>
    <xdr:to>
      <xdr:col>21</xdr:col>
      <xdr:colOff>0</xdr:colOff>
      <xdr:row>683</xdr:row>
      <xdr:rowOff>152400</xdr:rowOff>
    </xdr:to>
    <xdr:sp macro="" textlink="">
      <xdr:nvSpPr>
        <xdr:cNvPr id="6518" name="Line 80">
          <a:extLst>
            <a:ext uri="{FF2B5EF4-FFF2-40B4-BE49-F238E27FC236}">
              <a16:creationId xmlns:a16="http://schemas.microsoft.com/office/drawing/2014/main" id="{00000000-0008-0000-0000-000076190000}"/>
            </a:ext>
          </a:extLst>
        </xdr:cNvPr>
        <xdr:cNvSpPr>
          <a:spLocks noChangeShapeType="1"/>
        </xdr:cNvSpPr>
      </xdr:nvSpPr>
      <xdr:spPr bwMode="auto">
        <a:xfrm flipV="1">
          <a:off x="1971675" y="106851450"/>
          <a:ext cx="262890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684</xdr:row>
      <xdr:rowOff>152400</xdr:rowOff>
    </xdr:from>
    <xdr:to>
      <xdr:col>21</xdr:col>
      <xdr:colOff>0</xdr:colOff>
      <xdr:row>686</xdr:row>
      <xdr:rowOff>0</xdr:rowOff>
    </xdr:to>
    <xdr:sp macro="" textlink="">
      <xdr:nvSpPr>
        <xdr:cNvPr id="6519" name="Line 81">
          <a:extLst>
            <a:ext uri="{FF2B5EF4-FFF2-40B4-BE49-F238E27FC236}">
              <a16:creationId xmlns:a16="http://schemas.microsoft.com/office/drawing/2014/main" id="{00000000-0008-0000-0000-000077190000}"/>
            </a:ext>
          </a:extLst>
        </xdr:cNvPr>
        <xdr:cNvSpPr>
          <a:spLocks noChangeShapeType="1"/>
        </xdr:cNvSpPr>
      </xdr:nvSpPr>
      <xdr:spPr bwMode="auto">
        <a:xfrm flipV="1">
          <a:off x="1971675" y="107327700"/>
          <a:ext cx="26289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28575</xdr:colOff>
      <xdr:row>703</xdr:row>
      <xdr:rowOff>85725</xdr:rowOff>
    </xdr:from>
    <xdr:to>
      <xdr:col>17</xdr:col>
      <xdr:colOff>122223</xdr:colOff>
      <xdr:row>715</xdr:row>
      <xdr:rowOff>57151</xdr:rowOff>
    </xdr:to>
    <xdr:pic>
      <xdr:nvPicPr>
        <xdr:cNvPr id="6520" name="Picture 82" descr="Grøft">
          <a:extLst>
            <a:ext uri="{FF2B5EF4-FFF2-40B4-BE49-F238E27FC236}">
              <a16:creationId xmlns:a16="http://schemas.microsoft.com/office/drawing/2014/main" id="{00000000-0008-0000-0000-000078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0"/>
        <a:stretch>
          <a:fillRect/>
        </a:stretch>
      </xdr:blipFill>
      <xdr:spPr bwMode="auto">
        <a:xfrm>
          <a:off x="247650" y="110109000"/>
          <a:ext cx="3600450" cy="191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0</xdr:colOff>
      <xdr:row>739</xdr:row>
      <xdr:rowOff>0</xdr:rowOff>
    </xdr:from>
    <xdr:to>
      <xdr:col>21</xdr:col>
      <xdr:colOff>0</xdr:colOff>
      <xdr:row>740</xdr:row>
      <xdr:rowOff>152400</xdr:rowOff>
    </xdr:to>
    <xdr:sp macro="" textlink="">
      <xdr:nvSpPr>
        <xdr:cNvPr id="6521" name="Line 83">
          <a:extLst>
            <a:ext uri="{FF2B5EF4-FFF2-40B4-BE49-F238E27FC236}">
              <a16:creationId xmlns:a16="http://schemas.microsoft.com/office/drawing/2014/main" id="{00000000-0008-0000-0000-000079190000}"/>
            </a:ext>
          </a:extLst>
        </xdr:cNvPr>
        <xdr:cNvSpPr>
          <a:spLocks noChangeShapeType="1"/>
        </xdr:cNvSpPr>
      </xdr:nvSpPr>
      <xdr:spPr bwMode="auto">
        <a:xfrm flipV="1">
          <a:off x="1971675" y="115966875"/>
          <a:ext cx="262890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741</xdr:row>
      <xdr:rowOff>152400</xdr:rowOff>
    </xdr:from>
    <xdr:to>
      <xdr:col>21</xdr:col>
      <xdr:colOff>0</xdr:colOff>
      <xdr:row>743</xdr:row>
      <xdr:rowOff>0</xdr:rowOff>
    </xdr:to>
    <xdr:sp macro="" textlink="">
      <xdr:nvSpPr>
        <xdr:cNvPr id="6522" name="Line 84">
          <a:extLst>
            <a:ext uri="{FF2B5EF4-FFF2-40B4-BE49-F238E27FC236}">
              <a16:creationId xmlns:a16="http://schemas.microsoft.com/office/drawing/2014/main" id="{00000000-0008-0000-0000-00007A190000}"/>
            </a:ext>
          </a:extLst>
        </xdr:cNvPr>
        <xdr:cNvSpPr>
          <a:spLocks noChangeShapeType="1"/>
        </xdr:cNvSpPr>
      </xdr:nvSpPr>
      <xdr:spPr bwMode="auto">
        <a:xfrm flipV="1">
          <a:off x="1971675" y="116443125"/>
          <a:ext cx="26289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85725</xdr:colOff>
      <xdr:row>741</xdr:row>
      <xdr:rowOff>0</xdr:rowOff>
    </xdr:from>
    <xdr:to>
      <xdr:col>5</xdr:col>
      <xdr:colOff>142875</xdr:colOff>
      <xdr:row>741</xdr:row>
      <xdr:rowOff>0</xdr:rowOff>
    </xdr:to>
    <xdr:sp macro="" textlink="">
      <xdr:nvSpPr>
        <xdr:cNvPr id="6523" name="Line 85">
          <a:extLst>
            <a:ext uri="{FF2B5EF4-FFF2-40B4-BE49-F238E27FC236}">
              <a16:creationId xmlns:a16="http://schemas.microsoft.com/office/drawing/2014/main" id="{00000000-0008-0000-0000-00007B190000}"/>
            </a:ext>
          </a:extLst>
        </xdr:cNvPr>
        <xdr:cNvSpPr>
          <a:spLocks noChangeShapeType="1"/>
        </xdr:cNvSpPr>
      </xdr:nvSpPr>
      <xdr:spPr bwMode="auto">
        <a:xfrm flipH="1">
          <a:off x="1181100" y="116290725"/>
          <a:ext cx="57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741</xdr:row>
      <xdr:rowOff>0</xdr:rowOff>
    </xdr:from>
    <xdr:to>
      <xdr:col>5</xdr:col>
      <xdr:colOff>76200</xdr:colOff>
      <xdr:row>741</xdr:row>
      <xdr:rowOff>142875</xdr:rowOff>
    </xdr:to>
    <xdr:sp macro="" textlink="">
      <xdr:nvSpPr>
        <xdr:cNvPr id="6524" name="Line 86">
          <a:extLst>
            <a:ext uri="{FF2B5EF4-FFF2-40B4-BE49-F238E27FC236}">
              <a16:creationId xmlns:a16="http://schemas.microsoft.com/office/drawing/2014/main" id="{00000000-0008-0000-0000-00007C190000}"/>
            </a:ext>
          </a:extLst>
        </xdr:cNvPr>
        <xdr:cNvSpPr>
          <a:spLocks noChangeShapeType="1"/>
        </xdr:cNvSpPr>
      </xdr:nvSpPr>
      <xdr:spPr bwMode="auto">
        <a:xfrm>
          <a:off x="1171575" y="11629072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19</xdr:col>
      <xdr:colOff>66675</xdr:colOff>
      <xdr:row>731</xdr:row>
      <xdr:rowOff>38100</xdr:rowOff>
    </xdr:from>
    <xdr:to>
      <xdr:col>22</xdr:col>
      <xdr:colOff>0</xdr:colOff>
      <xdr:row>735</xdr:row>
      <xdr:rowOff>1</xdr:rowOff>
    </xdr:to>
    <xdr:pic>
      <xdr:nvPicPr>
        <xdr:cNvPr id="6525" name="Picture 87" descr="bomaerke">
          <a:extLst>
            <a:ext uri="{FF2B5EF4-FFF2-40B4-BE49-F238E27FC236}">
              <a16:creationId xmlns:a16="http://schemas.microsoft.com/office/drawing/2014/main" id="{00000000-0008-0000-0000-00007D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1470957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0</xdr:colOff>
      <xdr:row>740</xdr:row>
      <xdr:rowOff>0</xdr:rowOff>
    </xdr:from>
    <xdr:to>
      <xdr:col>15</xdr:col>
      <xdr:colOff>0</xdr:colOff>
      <xdr:row>742</xdr:row>
      <xdr:rowOff>76200</xdr:rowOff>
    </xdr:to>
    <xdr:sp macro="" textlink="">
      <xdr:nvSpPr>
        <xdr:cNvPr id="6526" name="Line 88">
          <a:extLst>
            <a:ext uri="{FF2B5EF4-FFF2-40B4-BE49-F238E27FC236}">
              <a16:creationId xmlns:a16="http://schemas.microsoft.com/office/drawing/2014/main" id="{00000000-0008-0000-0000-00007E190000}"/>
            </a:ext>
          </a:extLst>
        </xdr:cNvPr>
        <xdr:cNvSpPr>
          <a:spLocks noChangeShapeType="1"/>
        </xdr:cNvSpPr>
      </xdr:nvSpPr>
      <xdr:spPr bwMode="auto">
        <a:xfrm flipV="1">
          <a:off x="3286125" y="116128800"/>
          <a:ext cx="0" cy="40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133350</xdr:colOff>
      <xdr:row>793</xdr:row>
      <xdr:rowOff>0</xdr:rowOff>
    </xdr:from>
    <xdr:to>
      <xdr:col>27</xdr:col>
      <xdr:colOff>22006</xdr:colOff>
      <xdr:row>801</xdr:row>
      <xdr:rowOff>772</xdr:rowOff>
    </xdr:to>
    <xdr:pic>
      <xdr:nvPicPr>
        <xdr:cNvPr id="6527" name="Picture 91" descr="3d">
          <a:extLst>
            <a:ext uri="{FF2B5EF4-FFF2-40B4-BE49-F238E27FC236}">
              <a16:creationId xmlns:a16="http://schemas.microsoft.com/office/drawing/2014/main" id="{00000000-0008-0000-0000-00007F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36" t="30493" r="10281" b="31628"/>
        <a:stretch>
          <a:fillRect/>
        </a:stretch>
      </xdr:blipFill>
      <xdr:spPr bwMode="auto">
        <a:xfrm>
          <a:off x="1666875" y="125006100"/>
          <a:ext cx="42767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</xdr:colOff>
      <xdr:row>800</xdr:row>
      <xdr:rowOff>28575</xdr:rowOff>
    </xdr:from>
    <xdr:to>
      <xdr:col>26</xdr:col>
      <xdr:colOff>200024</xdr:colOff>
      <xdr:row>802</xdr:row>
      <xdr:rowOff>142874</xdr:rowOff>
    </xdr:to>
    <xdr:pic>
      <xdr:nvPicPr>
        <xdr:cNvPr id="6528" name="Picture 92" descr="side">
          <a:extLst>
            <a:ext uri="{FF2B5EF4-FFF2-40B4-BE49-F238E27FC236}">
              <a16:creationId xmlns:a16="http://schemas.microsoft.com/office/drawing/2014/main" id="{00000000-0008-0000-0000-000080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333" b="34848"/>
        <a:stretch>
          <a:fillRect/>
        </a:stretch>
      </xdr:blipFill>
      <xdr:spPr bwMode="auto">
        <a:xfrm>
          <a:off x="3743325" y="126168150"/>
          <a:ext cx="215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788</xdr:row>
      <xdr:rowOff>38100</xdr:rowOff>
    </xdr:from>
    <xdr:to>
      <xdr:col>22</xdr:col>
      <xdr:colOff>0</xdr:colOff>
      <xdr:row>792</xdr:row>
      <xdr:rowOff>3802</xdr:rowOff>
    </xdr:to>
    <xdr:pic>
      <xdr:nvPicPr>
        <xdr:cNvPr id="6529" name="Picture 93" descr="bomaerke">
          <a:extLst>
            <a:ext uri="{FF2B5EF4-FFF2-40B4-BE49-F238E27FC236}">
              <a16:creationId xmlns:a16="http://schemas.microsoft.com/office/drawing/2014/main" id="{00000000-0008-0000-0000-000081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2423457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803</xdr:row>
      <xdr:rowOff>85725</xdr:rowOff>
    </xdr:from>
    <xdr:to>
      <xdr:col>27</xdr:col>
      <xdr:colOff>2956</xdr:colOff>
      <xdr:row>815</xdr:row>
      <xdr:rowOff>95250</xdr:rowOff>
    </xdr:to>
    <xdr:pic>
      <xdr:nvPicPr>
        <xdr:cNvPr id="6530" name="Picture 94" descr="top">
          <a:extLst>
            <a:ext uri="{FF2B5EF4-FFF2-40B4-BE49-F238E27FC236}">
              <a16:creationId xmlns:a16="http://schemas.microsoft.com/office/drawing/2014/main" id="{00000000-0008-0000-0000-000082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954" t="14204" r="15178" b="13257"/>
        <a:stretch>
          <a:fillRect/>
        </a:stretch>
      </xdr:blipFill>
      <xdr:spPr bwMode="auto">
        <a:xfrm>
          <a:off x="2971800" y="126711075"/>
          <a:ext cx="2952750" cy="195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0</xdr:colOff>
      <xdr:row>800</xdr:row>
      <xdr:rowOff>85725</xdr:rowOff>
    </xdr:from>
    <xdr:to>
      <xdr:col>22</xdr:col>
      <xdr:colOff>0</xdr:colOff>
      <xdr:row>802</xdr:row>
      <xdr:rowOff>95250</xdr:rowOff>
    </xdr:to>
    <xdr:sp macro="" textlink="">
      <xdr:nvSpPr>
        <xdr:cNvPr id="6531" name="Line 95">
          <a:extLst>
            <a:ext uri="{FF2B5EF4-FFF2-40B4-BE49-F238E27FC236}">
              <a16:creationId xmlns:a16="http://schemas.microsoft.com/office/drawing/2014/main" id="{00000000-0008-0000-0000-000083190000}"/>
            </a:ext>
          </a:extLst>
        </xdr:cNvPr>
        <xdr:cNvSpPr>
          <a:spLocks noChangeShapeType="1"/>
        </xdr:cNvSpPr>
      </xdr:nvSpPr>
      <xdr:spPr bwMode="auto">
        <a:xfrm flipV="1">
          <a:off x="4819650" y="126225300"/>
          <a:ext cx="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19</xdr:col>
      <xdr:colOff>66675</xdr:colOff>
      <xdr:row>847</xdr:row>
      <xdr:rowOff>38100</xdr:rowOff>
    </xdr:from>
    <xdr:to>
      <xdr:col>22</xdr:col>
      <xdr:colOff>0</xdr:colOff>
      <xdr:row>851</xdr:row>
      <xdr:rowOff>313</xdr:rowOff>
    </xdr:to>
    <xdr:pic>
      <xdr:nvPicPr>
        <xdr:cNvPr id="6532" name="Picture 96" descr="bomaerke">
          <a:extLst>
            <a:ext uri="{FF2B5EF4-FFF2-40B4-BE49-F238E27FC236}">
              <a16:creationId xmlns:a16="http://schemas.microsoft.com/office/drawing/2014/main" id="{00000000-0008-0000-0000-000084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3378815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171450</xdr:colOff>
      <xdr:row>850</xdr:row>
      <xdr:rowOff>104775</xdr:rowOff>
    </xdr:from>
    <xdr:to>
      <xdr:col>27</xdr:col>
      <xdr:colOff>185533</xdr:colOff>
      <xdr:row>864</xdr:row>
      <xdr:rowOff>57151</xdr:rowOff>
    </xdr:to>
    <xdr:pic>
      <xdr:nvPicPr>
        <xdr:cNvPr id="6533" name="Picture 97" descr="rampe">
          <a:extLst>
            <a:ext uri="{FF2B5EF4-FFF2-40B4-BE49-F238E27FC236}">
              <a16:creationId xmlns:a16="http://schemas.microsoft.com/office/drawing/2014/main" id="{00000000-0008-0000-0000-000085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54" t="14394" r="16898" b="19507"/>
        <a:stretch>
          <a:fillRect/>
        </a:stretch>
      </xdr:blipFill>
      <xdr:spPr bwMode="auto">
        <a:xfrm>
          <a:off x="2581275" y="134340600"/>
          <a:ext cx="3524250" cy="2219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862</xdr:row>
      <xdr:rowOff>47625</xdr:rowOff>
    </xdr:from>
    <xdr:to>
      <xdr:col>21</xdr:col>
      <xdr:colOff>147433</xdr:colOff>
      <xdr:row>876</xdr:row>
      <xdr:rowOff>104775</xdr:rowOff>
    </xdr:to>
    <xdr:pic>
      <xdr:nvPicPr>
        <xdr:cNvPr id="6534" name="Picture 98" descr="Rampe">
          <a:extLst>
            <a:ext uri="{FF2B5EF4-FFF2-40B4-BE49-F238E27FC236}">
              <a16:creationId xmlns:a16="http://schemas.microsoft.com/office/drawing/2014/main" id="{00000000-0008-0000-0000-000086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96" r="8640"/>
        <a:stretch>
          <a:fillRect/>
        </a:stretch>
      </xdr:blipFill>
      <xdr:spPr bwMode="auto">
        <a:xfrm>
          <a:off x="2676525" y="136226550"/>
          <a:ext cx="2076450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28575</xdr:colOff>
      <xdr:row>859</xdr:row>
      <xdr:rowOff>9525</xdr:rowOff>
    </xdr:from>
    <xdr:to>
      <xdr:col>4</xdr:col>
      <xdr:colOff>114300</xdr:colOff>
      <xdr:row>861</xdr:row>
      <xdr:rowOff>19050</xdr:rowOff>
    </xdr:to>
    <xdr:sp macro="" textlink="">
      <xdr:nvSpPr>
        <xdr:cNvPr id="6535" name="AutoShape 101">
          <a:extLst>
            <a:ext uri="{FF2B5EF4-FFF2-40B4-BE49-F238E27FC236}">
              <a16:creationId xmlns:a16="http://schemas.microsoft.com/office/drawing/2014/main" id="{00000000-0008-0000-0000-000087190000}"/>
            </a:ext>
          </a:extLst>
        </xdr:cNvPr>
        <xdr:cNvSpPr>
          <a:spLocks/>
        </xdr:cNvSpPr>
      </xdr:nvSpPr>
      <xdr:spPr bwMode="auto">
        <a:xfrm>
          <a:off x="904875" y="135702675"/>
          <a:ext cx="85725" cy="333375"/>
        </a:xfrm>
        <a:prstGeom prst="leftBracket">
          <a:avLst>
            <a:gd name="adj" fmla="val 3240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171450</xdr:colOff>
      <xdr:row>859</xdr:row>
      <xdr:rowOff>9525</xdr:rowOff>
    </xdr:from>
    <xdr:to>
      <xdr:col>9</xdr:col>
      <xdr:colOff>28575</xdr:colOff>
      <xdr:row>860</xdr:row>
      <xdr:rowOff>152400</xdr:rowOff>
    </xdr:to>
    <xdr:sp macro="" textlink="">
      <xdr:nvSpPr>
        <xdr:cNvPr id="6536" name="AutoShape 102">
          <a:extLst>
            <a:ext uri="{FF2B5EF4-FFF2-40B4-BE49-F238E27FC236}">
              <a16:creationId xmlns:a16="http://schemas.microsoft.com/office/drawing/2014/main" id="{00000000-0008-0000-0000-000088190000}"/>
            </a:ext>
          </a:extLst>
        </xdr:cNvPr>
        <xdr:cNvSpPr>
          <a:spLocks/>
        </xdr:cNvSpPr>
      </xdr:nvSpPr>
      <xdr:spPr bwMode="auto">
        <a:xfrm>
          <a:off x="1924050" y="135702675"/>
          <a:ext cx="76200" cy="304800"/>
        </a:xfrm>
        <a:prstGeom prst="rightBracket">
          <a:avLst>
            <a:gd name="adj" fmla="val 33333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66675</xdr:colOff>
      <xdr:row>907</xdr:row>
      <xdr:rowOff>38100</xdr:rowOff>
    </xdr:from>
    <xdr:to>
      <xdr:col>22</xdr:col>
      <xdr:colOff>0</xdr:colOff>
      <xdr:row>911</xdr:row>
      <xdr:rowOff>3538</xdr:rowOff>
    </xdr:to>
    <xdr:pic>
      <xdr:nvPicPr>
        <xdr:cNvPr id="6537" name="Picture 106" descr="bomaerke">
          <a:extLst>
            <a:ext uri="{FF2B5EF4-FFF2-40B4-BE49-F238E27FC236}">
              <a16:creationId xmlns:a16="http://schemas.microsoft.com/office/drawing/2014/main" id="{00000000-0008-0000-0000-000089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433703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913</xdr:row>
      <xdr:rowOff>123825</xdr:rowOff>
    </xdr:from>
    <xdr:to>
      <xdr:col>27</xdr:col>
      <xdr:colOff>80758</xdr:colOff>
      <xdr:row>940</xdr:row>
      <xdr:rowOff>47623</xdr:rowOff>
    </xdr:to>
    <xdr:pic>
      <xdr:nvPicPr>
        <xdr:cNvPr id="6538" name="Picture 108" descr="Sand 2">
          <a:extLst>
            <a:ext uri="{FF2B5EF4-FFF2-40B4-BE49-F238E27FC236}">
              <a16:creationId xmlns:a16="http://schemas.microsoft.com/office/drawing/2014/main" id="{00000000-0008-0000-0000-00008A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24" r="7098" b="13121"/>
        <a:stretch>
          <a:fillRect/>
        </a:stretch>
      </xdr:blipFill>
      <xdr:spPr bwMode="auto">
        <a:xfrm>
          <a:off x="95250" y="144427575"/>
          <a:ext cx="5905500" cy="421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967</xdr:row>
      <xdr:rowOff>38100</xdr:rowOff>
    </xdr:from>
    <xdr:to>
      <xdr:col>22</xdr:col>
      <xdr:colOff>0</xdr:colOff>
      <xdr:row>971</xdr:row>
      <xdr:rowOff>771</xdr:rowOff>
    </xdr:to>
    <xdr:pic>
      <xdr:nvPicPr>
        <xdr:cNvPr id="6539" name="Picture 109" descr="bomaerke">
          <a:extLst>
            <a:ext uri="{FF2B5EF4-FFF2-40B4-BE49-F238E27FC236}">
              <a16:creationId xmlns:a16="http://schemas.microsoft.com/office/drawing/2014/main" id="{00000000-0008-0000-0000-00008B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5298102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171450</xdr:colOff>
      <xdr:row>943</xdr:row>
      <xdr:rowOff>57150</xdr:rowOff>
    </xdr:from>
    <xdr:to>
      <xdr:col>21</xdr:col>
      <xdr:colOff>99808</xdr:colOff>
      <xdr:row>958</xdr:row>
      <xdr:rowOff>142877</xdr:rowOff>
    </xdr:to>
    <xdr:pic>
      <xdr:nvPicPr>
        <xdr:cNvPr id="6540" name="Picture 110" descr="Ler">
          <a:extLst>
            <a:ext uri="{FF2B5EF4-FFF2-40B4-BE49-F238E27FC236}">
              <a16:creationId xmlns:a16="http://schemas.microsoft.com/office/drawing/2014/main" id="{00000000-0008-0000-0000-00008C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49047200"/>
          <a:ext cx="4533900" cy="251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972</xdr:row>
      <xdr:rowOff>85725</xdr:rowOff>
    </xdr:from>
    <xdr:to>
      <xdr:col>27</xdr:col>
      <xdr:colOff>52183</xdr:colOff>
      <xdr:row>992</xdr:row>
      <xdr:rowOff>47625</xdr:rowOff>
    </xdr:to>
    <xdr:pic>
      <xdr:nvPicPr>
        <xdr:cNvPr id="6541" name="Picture 113" descr="Ler 2">
          <a:extLst>
            <a:ext uri="{FF2B5EF4-FFF2-40B4-BE49-F238E27FC236}">
              <a16:creationId xmlns:a16="http://schemas.microsoft.com/office/drawing/2014/main" id="{00000000-0008-0000-0000-00008D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53904950"/>
          <a:ext cx="5829300" cy="320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1027</xdr:row>
      <xdr:rowOff>38100</xdr:rowOff>
    </xdr:from>
    <xdr:to>
      <xdr:col>22</xdr:col>
      <xdr:colOff>0</xdr:colOff>
      <xdr:row>1031</xdr:row>
      <xdr:rowOff>2</xdr:rowOff>
    </xdr:to>
    <xdr:pic>
      <xdr:nvPicPr>
        <xdr:cNvPr id="6542" name="Picture 114" descr="bomaerke">
          <a:extLst>
            <a:ext uri="{FF2B5EF4-FFF2-40B4-BE49-F238E27FC236}">
              <a16:creationId xmlns:a16="http://schemas.microsoft.com/office/drawing/2014/main" id="{00000000-0008-0000-0000-00008E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624965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0</xdr:colOff>
      <xdr:row>1038</xdr:row>
      <xdr:rowOff>0</xdr:rowOff>
    </xdr:from>
    <xdr:to>
      <xdr:col>12</xdr:col>
      <xdr:colOff>0</xdr:colOff>
      <xdr:row>1042</xdr:row>
      <xdr:rowOff>19050</xdr:rowOff>
    </xdr:to>
    <xdr:sp macro="" textlink="">
      <xdr:nvSpPr>
        <xdr:cNvPr id="6543" name="AutoShape 115">
          <a:extLst>
            <a:ext uri="{FF2B5EF4-FFF2-40B4-BE49-F238E27FC236}">
              <a16:creationId xmlns:a16="http://schemas.microsoft.com/office/drawing/2014/main" id="{00000000-0008-0000-0000-00008F190000}"/>
            </a:ext>
          </a:extLst>
        </xdr:cNvPr>
        <xdr:cNvSpPr>
          <a:spLocks noChangeArrowheads="1"/>
        </xdr:cNvSpPr>
      </xdr:nvSpPr>
      <xdr:spPr bwMode="auto">
        <a:xfrm>
          <a:off x="1971675" y="164239575"/>
          <a:ext cx="657225" cy="66675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0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3163 w 21600"/>
            <a:gd name="T25" fmla="*/ 3163 h 21600"/>
            <a:gd name="T26" fmla="*/ 18437 w 21600"/>
            <a:gd name="T27" fmla="*/ 18437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5400" y="10800"/>
              </a:moveTo>
              <a:cubicBezTo>
                <a:pt x="5400" y="13782"/>
                <a:pt x="7818" y="16200"/>
                <a:pt x="10800" y="16200"/>
              </a:cubicBezTo>
              <a:cubicBezTo>
                <a:pt x="13782" y="16200"/>
                <a:pt x="16200" y="13782"/>
                <a:pt x="16200" y="10800"/>
              </a:cubicBezTo>
              <a:cubicBezTo>
                <a:pt x="16200" y="7818"/>
                <a:pt x="13782" y="5400"/>
                <a:pt x="10800" y="5400"/>
              </a:cubicBezTo>
              <a:cubicBezTo>
                <a:pt x="7818" y="5400"/>
                <a:pt x="5400" y="7818"/>
                <a:pt x="5400" y="10800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209550</xdr:colOff>
      <xdr:row>1040</xdr:row>
      <xdr:rowOff>123825</xdr:rowOff>
    </xdr:from>
    <xdr:to>
      <xdr:col>17</xdr:col>
      <xdr:colOff>47625</xdr:colOff>
      <xdr:row>1042</xdr:row>
      <xdr:rowOff>28575</xdr:rowOff>
    </xdr:to>
    <xdr:sp macro="" textlink="">
      <xdr:nvSpPr>
        <xdr:cNvPr id="1142" name="AutoShape 118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/>
        </xdr:cNvSpPr>
      </xdr:nvSpPr>
      <xdr:spPr bwMode="auto">
        <a:xfrm>
          <a:off x="3057525" y="164725350"/>
          <a:ext cx="714375" cy="228600"/>
        </a:xfrm>
        <a:prstGeom prst="borderCallout2">
          <a:avLst>
            <a:gd name="adj1" fmla="val 50000"/>
            <a:gd name="adj2" fmla="val -10667"/>
            <a:gd name="adj3" fmla="val 50000"/>
            <a:gd name="adj4" fmla="val -53333"/>
            <a:gd name="adj5" fmla="val -12500"/>
            <a:gd name="adj6" fmla="val -84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Brønd</a:t>
          </a:r>
        </a:p>
      </xdr:txBody>
    </xdr:sp>
    <xdr:clientData/>
  </xdr:twoCellAnchor>
  <xdr:twoCellAnchor>
    <xdr:from>
      <xdr:col>13</xdr:col>
      <xdr:colOff>66675</xdr:colOff>
      <xdr:row>1035</xdr:row>
      <xdr:rowOff>123825</xdr:rowOff>
    </xdr:from>
    <xdr:to>
      <xdr:col>17</xdr:col>
      <xdr:colOff>104775</xdr:colOff>
      <xdr:row>1038</xdr:row>
      <xdr:rowOff>19050</xdr:rowOff>
    </xdr:to>
    <xdr:sp macro="" textlink="">
      <xdr:nvSpPr>
        <xdr:cNvPr id="1143" name="AutoShape 119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/>
        </xdr:cNvSpPr>
      </xdr:nvSpPr>
      <xdr:spPr bwMode="auto">
        <a:xfrm>
          <a:off x="2914650" y="163915725"/>
          <a:ext cx="914400" cy="381000"/>
        </a:xfrm>
        <a:prstGeom prst="borderCallout1">
          <a:avLst>
            <a:gd name="adj1" fmla="val 30000"/>
            <a:gd name="adj2" fmla="val -8333"/>
            <a:gd name="adj3" fmla="val 105000"/>
            <a:gd name="adj4" fmla="val -4687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Udgravning for brønd</a:t>
          </a:r>
        </a:p>
      </xdr:txBody>
    </xdr:sp>
    <xdr:clientData/>
  </xdr:twoCellAnchor>
  <xdr:twoCellAnchor>
    <xdr:from>
      <xdr:col>10</xdr:col>
      <xdr:colOff>190500</xdr:colOff>
      <xdr:row>1058</xdr:row>
      <xdr:rowOff>123825</xdr:rowOff>
    </xdr:from>
    <xdr:to>
      <xdr:col>11</xdr:col>
      <xdr:colOff>47625</xdr:colOff>
      <xdr:row>1059</xdr:row>
      <xdr:rowOff>38100</xdr:rowOff>
    </xdr:to>
    <xdr:sp macro="" textlink="">
      <xdr:nvSpPr>
        <xdr:cNvPr id="6546" name="Oval 120">
          <a:extLst>
            <a:ext uri="{FF2B5EF4-FFF2-40B4-BE49-F238E27FC236}">
              <a16:creationId xmlns:a16="http://schemas.microsoft.com/office/drawing/2014/main" id="{00000000-0008-0000-0000-000092190000}"/>
            </a:ext>
          </a:extLst>
        </xdr:cNvPr>
        <xdr:cNvSpPr>
          <a:spLocks noChangeArrowheads="1"/>
        </xdr:cNvSpPr>
      </xdr:nvSpPr>
      <xdr:spPr bwMode="auto">
        <a:xfrm>
          <a:off x="2381250" y="167601900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1072</xdr:row>
      <xdr:rowOff>0</xdr:rowOff>
    </xdr:from>
    <xdr:to>
      <xdr:col>12</xdr:col>
      <xdr:colOff>9525</xdr:colOff>
      <xdr:row>1076</xdr:row>
      <xdr:rowOff>19050</xdr:rowOff>
    </xdr:to>
    <xdr:sp macro="" textlink="">
      <xdr:nvSpPr>
        <xdr:cNvPr id="6547" name="AutoShape 121">
          <a:extLst>
            <a:ext uri="{FF2B5EF4-FFF2-40B4-BE49-F238E27FC236}">
              <a16:creationId xmlns:a16="http://schemas.microsoft.com/office/drawing/2014/main" id="{00000000-0008-0000-0000-000093190000}"/>
            </a:ext>
          </a:extLst>
        </xdr:cNvPr>
        <xdr:cNvSpPr>
          <a:spLocks noChangeArrowheads="1"/>
        </xdr:cNvSpPr>
      </xdr:nvSpPr>
      <xdr:spPr bwMode="auto">
        <a:xfrm>
          <a:off x="1981200" y="169745025"/>
          <a:ext cx="657225" cy="66675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0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3163 w 21600"/>
            <a:gd name="T25" fmla="*/ 3163 h 21600"/>
            <a:gd name="T26" fmla="*/ 18437 w 21600"/>
            <a:gd name="T27" fmla="*/ 18437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5400" y="10800"/>
              </a:moveTo>
              <a:cubicBezTo>
                <a:pt x="5400" y="13782"/>
                <a:pt x="7818" y="16200"/>
                <a:pt x="10800" y="16200"/>
              </a:cubicBezTo>
              <a:cubicBezTo>
                <a:pt x="13782" y="16200"/>
                <a:pt x="16200" y="13782"/>
                <a:pt x="16200" y="10800"/>
              </a:cubicBezTo>
              <a:cubicBezTo>
                <a:pt x="16200" y="7818"/>
                <a:pt x="13782" y="5400"/>
                <a:pt x="10800" y="5400"/>
              </a:cubicBezTo>
              <a:cubicBezTo>
                <a:pt x="7818" y="5400"/>
                <a:pt x="5400" y="7818"/>
                <a:pt x="5400" y="10800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123825</xdr:colOff>
      <xdr:row>1077</xdr:row>
      <xdr:rowOff>57150</xdr:rowOff>
    </xdr:from>
    <xdr:to>
      <xdr:col>9</xdr:col>
      <xdr:colOff>133350</xdr:colOff>
      <xdr:row>1077</xdr:row>
      <xdr:rowOff>66675</xdr:rowOff>
    </xdr:to>
    <xdr:sp macro="" textlink="">
      <xdr:nvSpPr>
        <xdr:cNvPr id="6548" name="Line 122">
          <a:extLst>
            <a:ext uri="{FF2B5EF4-FFF2-40B4-BE49-F238E27FC236}">
              <a16:creationId xmlns:a16="http://schemas.microsoft.com/office/drawing/2014/main" id="{00000000-0008-0000-0000-000094190000}"/>
            </a:ext>
          </a:extLst>
        </xdr:cNvPr>
        <xdr:cNvSpPr>
          <a:spLocks noChangeShapeType="1"/>
        </xdr:cNvSpPr>
      </xdr:nvSpPr>
      <xdr:spPr bwMode="auto">
        <a:xfrm rot="-1800000">
          <a:off x="561975" y="170611800"/>
          <a:ext cx="1543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</xdr:colOff>
      <xdr:row>1070</xdr:row>
      <xdr:rowOff>85725</xdr:rowOff>
    </xdr:from>
    <xdr:to>
      <xdr:col>9</xdr:col>
      <xdr:colOff>161925</xdr:colOff>
      <xdr:row>1070</xdr:row>
      <xdr:rowOff>85725</xdr:rowOff>
    </xdr:to>
    <xdr:sp macro="" textlink="">
      <xdr:nvSpPr>
        <xdr:cNvPr id="6549" name="Line 123">
          <a:extLst>
            <a:ext uri="{FF2B5EF4-FFF2-40B4-BE49-F238E27FC236}">
              <a16:creationId xmlns:a16="http://schemas.microsoft.com/office/drawing/2014/main" id="{00000000-0008-0000-0000-000095190000}"/>
            </a:ext>
          </a:extLst>
        </xdr:cNvPr>
        <xdr:cNvSpPr>
          <a:spLocks noChangeShapeType="1"/>
        </xdr:cNvSpPr>
      </xdr:nvSpPr>
      <xdr:spPr bwMode="auto">
        <a:xfrm rot="1800000" flipV="1">
          <a:off x="552450" y="169506900"/>
          <a:ext cx="158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19</xdr:col>
      <xdr:colOff>66675</xdr:colOff>
      <xdr:row>1086</xdr:row>
      <xdr:rowOff>38100</xdr:rowOff>
    </xdr:from>
    <xdr:to>
      <xdr:col>22</xdr:col>
      <xdr:colOff>0</xdr:colOff>
      <xdr:row>1090</xdr:row>
      <xdr:rowOff>312</xdr:rowOff>
    </xdr:to>
    <xdr:pic>
      <xdr:nvPicPr>
        <xdr:cNvPr id="6550" name="Picture 124" descr="bomaerke">
          <a:extLst>
            <a:ext uri="{FF2B5EF4-FFF2-40B4-BE49-F238E27FC236}">
              <a16:creationId xmlns:a16="http://schemas.microsoft.com/office/drawing/2014/main" id="{00000000-0008-0000-0000-000096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7205007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</xdr:colOff>
      <xdr:row>1097</xdr:row>
      <xdr:rowOff>0</xdr:rowOff>
    </xdr:from>
    <xdr:to>
      <xdr:col>12</xdr:col>
      <xdr:colOff>9525</xdr:colOff>
      <xdr:row>1101</xdr:row>
      <xdr:rowOff>19050</xdr:rowOff>
    </xdr:to>
    <xdr:sp macro="" textlink="">
      <xdr:nvSpPr>
        <xdr:cNvPr id="6551" name="AutoShape 125">
          <a:extLst>
            <a:ext uri="{FF2B5EF4-FFF2-40B4-BE49-F238E27FC236}">
              <a16:creationId xmlns:a16="http://schemas.microsoft.com/office/drawing/2014/main" id="{00000000-0008-0000-0000-000097190000}"/>
            </a:ext>
          </a:extLst>
        </xdr:cNvPr>
        <xdr:cNvSpPr>
          <a:spLocks noChangeArrowheads="1"/>
        </xdr:cNvSpPr>
      </xdr:nvSpPr>
      <xdr:spPr bwMode="auto">
        <a:xfrm>
          <a:off x="1981200" y="173869350"/>
          <a:ext cx="657225" cy="66675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0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3163 w 21600"/>
            <a:gd name="T25" fmla="*/ 3163 h 21600"/>
            <a:gd name="T26" fmla="*/ 18437 w 21600"/>
            <a:gd name="T27" fmla="*/ 18437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5400" y="10800"/>
              </a:moveTo>
              <a:cubicBezTo>
                <a:pt x="5400" y="13782"/>
                <a:pt x="7818" y="16200"/>
                <a:pt x="10800" y="16200"/>
              </a:cubicBezTo>
              <a:cubicBezTo>
                <a:pt x="13782" y="16200"/>
                <a:pt x="16200" y="13782"/>
                <a:pt x="16200" y="10800"/>
              </a:cubicBezTo>
              <a:cubicBezTo>
                <a:pt x="16200" y="7818"/>
                <a:pt x="13782" y="5400"/>
                <a:pt x="10800" y="5400"/>
              </a:cubicBezTo>
              <a:cubicBezTo>
                <a:pt x="7818" y="5400"/>
                <a:pt x="5400" y="7818"/>
                <a:pt x="5400" y="10800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123825</xdr:colOff>
      <xdr:row>1102</xdr:row>
      <xdr:rowOff>57150</xdr:rowOff>
    </xdr:from>
    <xdr:to>
      <xdr:col>9</xdr:col>
      <xdr:colOff>133350</xdr:colOff>
      <xdr:row>1102</xdr:row>
      <xdr:rowOff>66675</xdr:rowOff>
    </xdr:to>
    <xdr:sp macro="" textlink="">
      <xdr:nvSpPr>
        <xdr:cNvPr id="6552" name="Line 126">
          <a:extLst>
            <a:ext uri="{FF2B5EF4-FFF2-40B4-BE49-F238E27FC236}">
              <a16:creationId xmlns:a16="http://schemas.microsoft.com/office/drawing/2014/main" id="{00000000-0008-0000-0000-000098190000}"/>
            </a:ext>
          </a:extLst>
        </xdr:cNvPr>
        <xdr:cNvSpPr>
          <a:spLocks noChangeShapeType="1"/>
        </xdr:cNvSpPr>
      </xdr:nvSpPr>
      <xdr:spPr bwMode="auto">
        <a:xfrm rot="-1800000">
          <a:off x="561975" y="174736125"/>
          <a:ext cx="1543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</xdr:colOff>
      <xdr:row>1096</xdr:row>
      <xdr:rowOff>0</xdr:rowOff>
    </xdr:from>
    <xdr:to>
      <xdr:col>11</xdr:col>
      <xdr:colOff>19050</xdr:colOff>
      <xdr:row>1096</xdr:row>
      <xdr:rowOff>0</xdr:rowOff>
    </xdr:to>
    <xdr:sp macro="" textlink="">
      <xdr:nvSpPr>
        <xdr:cNvPr id="6553" name="Line 127">
          <a:extLst>
            <a:ext uri="{FF2B5EF4-FFF2-40B4-BE49-F238E27FC236}">
              <a16:creationId xmlns:a16="http://schemas.microsoft.com/office/drawing/2014/main" id="{00000000-0008-0000-0000-000099190000}"/>
            </a:ext>
          </a:extLst>
        </xdr:cNvPr>
        <xdr:cNvSpPr>
          <a:spLocks noChangeShapeType="1"/>
        </xdr:cNvSpPr>
      </xdr:nvSpPr>
      <xdr:spPr bwMode="auto">
        <a:xfrm rot="1800000" flipV="1">
          <a:off x="523875" y="173707425"/>
          <a:ext cx="190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1098</xdr:row>
      <xdr:rowOff>123825</xdr:rowOff>
    </xdr:from>
    <xdr:to>
      <xdr:col>10</xdr:col>
      <xdr:colOff>152400</xdr:colOff>
      <xdr:row>1099</xdr:row>
      <xdr:rowOff>38100</xdr:rowOff>
    </xdr:to>
    <xdr:sp macro="" textlink="">
      <xdr:nvSpPr>
        <xdr:cNvPr id="6554" name="Oval 129">
          <a:extLst>
            <a:ext uri="{FF2B5EF4-FFF2-40B4-BE49-F238E27FC236}">
              <a16:creationId xmlns:a16="http://schemas.microsoft.com/office/drawing/2014/main" id="{00000000-0008-0000-0000-00009A190000}"/>
            </a:ext>
          </a:extLst>
        </xdr:cNvPr>
        <xdr:cNvSpPr>
          <a:spLocks noChangeArrowheads="1"/>
        </xdr:cNvSpPr>
      </xdr:nvSpPr>
      <xdr:spPr bwMode="auto">
        <a:xfrm>
          <a:off x="2266950" y="174155100"/>
          <a:ext cx="76200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1099</xdr:row>
      <xdr:rowOff>0</xdr:rowOff>
    </xdr:from>
    <xdr:to>
      <xdr:col>10</xdr:col>
      <xdr:colOff>104775</xdr:colOff>
      <xdr:row>1099</xdr:row>
      <xdr:rowOff>0</xdr:rowOff>
    </xdr:to>
    <xdr:sp macro="" textlink="">
      <xdr:nvSpPr>
        <xdr:cNvPr id="6555" name="Line 130">
          <a:extLst>
            <a:ext uri="{FF2B5EF4-FFF2-40B4-BE49-F238E27FC236}">
              <a16:creationId xmlns:a16="http://schemas.microsoft.com/office/drawing/2014/main" id="{00000000-0008-0000-0000-00009B190000}"/>
            </a:ext>
          </a:extLst>
        </xdr:cNvPr>
        <xdr:cNvSpPr>
          <a:spLocks noChangeShapeType="1"/>
        </xdr:cNvSpPr>
      </xdr:nvSpPr>
      <xdr:spPr bwMode="auto">
        <a:xfrm>
          <a:off x="666750" y="174193200"/>
          <a:ext cx="1628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1133</xdr:row>
      <xdr:rowOff>104775</xdr:rowOff>
    </xdr:from>
    <xdr:to>
      <xdr:col>11</xdr:col>
      <xdr:colOff>9525</xdr:colOff>
      <xdr:row>1136</xdr:row>
      <xdr:rowOff>66675</xdr:rowOff>
    </xdr:to>
    <xdr:sp macro="" textlink="">
      <xdr:nvSpPr>
        <xdr:cNvPr id="6556" name="AutoShape 131">
          <a:extLst>
            <a:ext uri="{FF2B5EF4-FFF2-40B4-BE49-F238E27FC236}">
              <a16:creationId xmlns:a16="http://schemas.microsoft.com/office/drawing/2014/main" id="{00000000-0008-0000-0000-00009C190000}"/>
            </a:ext>
          </a:extLst>
        </xdr:cNvPr>
        <xdr:cNvSpPr>
          <a:spLocks noChangeArrowheads="1"/>
        </xdr:cNvSpPr>
      </xdr:nvSpPr>
      <xdr:spPr bwMode="auto">
        <a:xfrm>
          <a:off x="1962150" y="179451000"/>
          <a:ext cx="457200" cy="44767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0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3163 w 21600"/>
            <a:gd name="T25" fmla="*/ 3163 h 21600"/>
            <a:gd name="T26" fmla="*/ 18437 w 21600"/>
            <a:gd name="T27" fmla="*/ 18437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5400" y="10800"/>
              </a:moveTo>
              <a:cubicBezTo>
                <a:pt x="5400" y="13782"/>
                <a:pt x="7818" y="16200"/>
                <a:pt x="10800" y="16200"/>
              </a:cubicBezTo>
              <a:cubicBezTo>
                <a:pt x="13782" y="16200"/>
                <a:pt x="16200" y="13782"/>
                <a:pt x="16200" y="10800"/>
              </a:cubicBezTo>
              <a:cubicBezTo>
                <a:pt x="16200" y="7818"/>
                <a:pt x="13782" y="5400"/>
                <a:pt x="10800" y="5400"/>
              </a:cubicBezTo>
              <a:cubicBezTo>
                <a:pt x="7818" y="5400"/>
                <a:pt x="5400" y="7818"/>
                <a:pt x="5400" y="10800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9525</xdr:colOff>
      <xdr:row>1132</xdr:row>
      <xdr:rowOff>9525</xdr:rowOff>
    </xdr:from>
    <xdr:to>
      <xdr:col>10</xdr:col>
      <xdr:colOff>0</xdr:colOff>
      <xdr:row>1135</xdr:row>
      <xdr:rowOff>0</xdr:rowOff>
    </xdr:to>
    <xdr:sp macro="" textlink="">
      <xdr:nvSpPr>
        <xdr:cNvPr id="6557" name="Line 132">
          <a:extLst>
            <a:ext uri="{FF2B5EF4-FFF2-40B4-BE49-F238E27FC236}">
              <a16:creationId xmlns:a16="http://schemas.microsoft.com/office/drawing/2014/main" id="{00000000-0008-0000-0000-00009D190000}"/>
            </a:ext>
          </a:extLst>
        </xdr:cNvPr>
        <xdr:cNvSpPr>
          <a:spLocks noChangeShapeType="1"/>
        </xdr:cNvSpPr>
      </xdr:nvSpPr>
      <xdr:spPr bwMode="auto">
        <a:xfrm flipH="1" flipV="1">
          <a:off x="1104900" y="179193825"/>
          <a:ext cx="108585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19</xdr:col>
      <xdr:colOff>66675</xdr:colOff>
      <xdr:row>1147</xdr:row>
      <xdr:rowOff>38100</xdr:rowOff>
    </xdr:from>
    <xdr:to>
      <xdr:col>22</xdr:col>
      <xdr:colOff>0</xdr:colOff>
      <xdr:row>1151</xdr:row>
      <xdr:rowOff>1</xdr:rowOff>
    </xdr:to>
    <xdr:pic>
      <xdr:nvPicPr>
        <xdr:cNvPr id="6558" name="Picture 133" descr="bomaerke">
          <a:extLst>
            <a:ext uri="{FF2B5EF4-FFF2-40B4-BE49-F238E27FC236}">
              <a16:creationId xmlns:a16="http://schemas.microsoft.com/office/drawing/2014/main" id="{00000000-0008-0000-0000-00009E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8165127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28575</xdr:rowOff>
    </xdr:from>
    <xdr:to>
      <xdr:col>26</xdr:col>
      <xdr:colOff>109333</xdr:colOff>
      <xdr:row>1190</xdr:row>
      <xdr:rowOff>123827</xdr:rowOff>
    </xdr:to>
    <xdr:pic>
      <xdr:nvPicPr>
        <xdr:cNvPr id="6559" name="Picture 134" descr="Aftrapning">
          <a:extLst>
            <a:ext uri="{FF2B5EF4-FFF2-40B4-BE49-F238E27FC236}">
              <a16:creationId xmlns:a16="http://schemas.microsoft.com/office/drawing/2014/main" id="{00000000-0008-0000-0000-00009F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73" r="19034"/>
        <a:stretch>
          <a:fillRect/>
        </a:stretch>
      </xdr:blipFill>
      <xdr:spPr bwMode="auto">
        <a:xfrm>
          <a:off x="219075" y="182613300"/>
          <a:ext cx="5591175" cy="608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1206</xdr:row>
      <xdr:rowOff>38100</xdr:rowOff>
    </xdr:from>
    <xdr:to>
      <xdr:col>22</xdr:col>
      <xdr:colOff>0</xdr:colOff>
      <xdr:row>1209</xdr:row>
      <xdr:rowOff>161924</xdr:rowOff>
    </xdr:to>
    <xdr:pic>
      <xdr:nvPicPr>
        <xdr:cNvPr id="6560" name="Picture 135" descr="bomaerke">
          <a:extLst>
            <a:ext uri="{FF2B5EF4-FFF2-40B4-BE49-F238E27FC236}">
              <a16:creationId xmlns:a16="http://schemas.microsoft.com/office/drawing/2014/main" id="{00000000-0008-0000-0000-0000A0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9117627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1249</xdr:row>
      <xdr:rowOff>38100</xdr:rowOff>
    </xdr:from>
    <xdr:to>
      <xdr:col>22</xdr:col>
      <xdr:colOff>0</xdr:colOff>
      <xdr:row>1253</xdr:row>
      <xdr:rowOff>2</xdr:rowOff>
    </xdr:to>
    <xdr:pic>
      <xdr:nvPicPr>
        <xdr:cNvPr id="6561" name="Picture 148" descr="bomaerke">
          <a:extLst>
            <a:ext uri="{FF2B5EF4-FFF2-40B4-BE49-F238E27FC236}">
              <a16:creationId xmlns:a16="http://schemas.microsoft.com/office/drawing/2014/main" id="{00000000-0008-0000-0000-0000A1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006346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1254</xdr:row>
      <xdr:rowOff>66675</xdr:rowOff>
    </xdr:from>
    <xdr:to>
      <xdr:col>26</xdr:col>
      <xdr:colOff>137908</xdr:colOff>
      <xdr:row>1277</xdr:row>
      <xdr:rowOff>133349</xdr:rowOff>
    </xdr:to>
    <xdr:pic>
      <xdr:nvPicPr>
        <xdr:cNvPr id="6562" name="Picture 149" descr="ror_fald">
          <a:extLst>
            <a:ext uri="{FF2B5EF4-FFF2-40B4-BE49-F238E27FC236}">
              <a16:creationId xmlns:a16="http://schemas.microsoft.com/office/drawing/2014/main" id="{00000000-0008-0000-0000-0000A2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076" t="9091" r="15054" b="11363"/>
        <a:stretch>
          <a:fillRect/>
        </a:stretch>
      </xdr:blipFill>
      <xdr:spPr bwMode="auto">
        <a:xfrm>
          <a:off x="328893" y="197872910"/>
          <a:ext cx="5636074" cy="37197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1315</xdr:row>
      <xdr:rowOff>38100</xdr:rowOff>
    </xdr:from>
    <xdr:to>
      <xdr:col>7</xdr:col>
      <xdr:colOff>152400</xdr:colOff>
      <xdr:row>1322</xdr:row>
      <xdr:rowOff>66676</xdr:rowOff>
    </xdr:to>
    <xdr:pic>
      <xdr:nvPicPr>
        <xdr:cNvPr id="6563" name="Picture 150" descr="Spidsbundet rør">
          <a:extLst>
            <a:ext uri="{FF2B5EF4-FFF2-40B4-BE49-F238E27FC236}">
              <a16:creationId xmlns:a16="http://schemas.microsoft.com/office/drawing/2014/main" id="{00000000-0008-0000-0000-0000A3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87" b="17424"/>
        <a:stretch>
          <a:fillRect/>
        </a:stretch>
      </xdr:blipFill>
      <xdr:spPr bwMode="auto">
        <a:xfrm>
          <a:off x="295275" y="211550250"/>
          <a:ext cx="13906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1290</xdr:row>
      <xdr:rowOff>133350</xdr:rowOff>
    </xdr:from>
    <xdr:to>
      <xdr:col>17</xdr:col>
      <xdr:colOff>103173</xdr:colOff>
      <xdr:row>1299</xdr:row>
      <xdr:rowOff>133349</xdr:rowOff>
    </xdr:to>
    <xdr:pic>
      <xdr:nvPicPr>
        <xdr:cNvPr id="6564" name="Picture 151" descr="fit_vinkler">
          <a:extLst>
            <a:ext uri="{FF2B5EF4-FFF2-40B4-BE49-F238E27FC236}">
              <a16:creationId xmlns:a16="http://schemas.microsoft.com/office/drawing/2014/main" id="{00000000-0008-0000-0000-0000A4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0" t="25954" r="4285" b="22728"/>
        <a:stretch>
          <a:fillRect/>
        </a:stretch>
      </xdr:blipFill>
      <xdr:spPr bwMode="auto">
        <a:xfrm>
          <a:off x="142875" y="207483075"/>
          <a:ext cx="368617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1307</xdr:row>
      <xdr:rowOff>38100</xdr:rowOff>
    </xdr:from>
    <xdr:to>
      <xdr:col>22</xdr:col>
      <xdr:colOff>0</xdr:colOff>
      <xdr:row>1311</xdr:row>
      <xdr:rowOff>770</xdr:rowOff>
    </xdr:to>
    <xdr:pic>
      <xdr:nvPicPr>
        <xdr:cNvPr id="6565" name="Picture 152" descr="bomaerke">
          <a:extLst>
            <a:ext uri="{FF2B5EF4-FFF2-40B4-BE49-F238E27FC236}">
              <a16:creationId xmlns:a16="http://schemas.microsoft.com/office/drawing/2014/main" id="{00000000-0008-0000-0000-0000A5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1021675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38100</xdr:colOff>
      <xdr:row>1315</xdr:row>
      <xdr:rowOff>9525</xdr:rowOff>
    </xdr:from>
    <xdr:to>
      <xdr:col>17</xdr:col>
      <xdr:colOff>207948</xdr:colOff>
      <xdr:row>1322</xdr:row>
      <xdr:rowOff>38101</xdr:rowOff>
    </xdr:to>
    <xdr:pic>
      <xdr:nvPicPr>
        <xdr:cNvPr id="6566" name="Picture 153" descr="Grenrør">
          <a:extLst>
            <a:ext uri="{FF2B5EF4-FFF2-40B4-BE49-F238E27FC236}">
              <a16:creationId xmlns:a16="http://schemas.microsoft.com/office/drawing/2014/main" id="{00000000-0008-0000-0000-0000A6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829"/>
        <a:stretch>
          <a:fillRect/>
        </a:stretch>
      </xdr:blipFill>
      <xdr:spPr bwMode="auto">
        <a:xfrm>
          <a:off x="2447925" y="211521675"/>
          <a:ext cx="14859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57150</xdr:colOff>
      <xdr:row>1317</xdr:row>
      <xdr:rowOff>47625</xdr:rowOff>
    </xdr:from>
    <xdr:to>
      <xdr:col>25</xdr:col>
      <xdr:colOff>95251</xdr:colOff>
      <xdr:row>1322</xdr:row>
      <xdr:rowOff>770</xdr:rowOff>
    </xdr:to>
    <xdr:pic>
      <xdr:nvPicPr>
        <xdr:cNvPr id="6567" name="Picture 154" descr="Reduktion ekcentrisk">
          <a:extLst>
            <a:ext uri="{FF2B5EF4-FFF2-40B4-BE49-F238E27FC236}">
              <a16:creationId xmlns:a16="http://schemas.microsoft.com/office/drawing/2014/main" id="{00000000-0008-0000-0000-0000A7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740000">
          <a:off x="4219575" y="211883625"/>
          <a:ext cx="1352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1365</xdr:row>
      <xdr:rowOff>38100</xdr:rowOff>
    </xdr:from>
    <xdr:to>
      <xdr:col>22</xdr:col>
      <xdr:colOff>0</xdr:colOff>
      <xdr:row>1369</xdr:row>
      <xdr:rowOff>771</xdr:rowOff>
    </xdr:to>
    <xdr:pic>
      <xdr:nvPicPr>
        <xdr:cNvPr id="6568" name="Picture 155" descr="bomaerke">
          <a:extLst>
            <a:ext uri="{FF2B5EF4-FFF2-40B4-BE49-F238E27FC236}">
              <a16:creationId xmlns:a16="http://schemas.microsoft.com/office/drawing/2014/main" id="{00000000-0008-0000-0000-0000A8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197989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1393</xdr:row>
      <xdr:rowOff>0</xdr:rowOff>
    </xdr:from>
    <xdr:to>
      <xdr:col>4</xdr:col>
      <xdr:colOff>85725</xdr:colOff>
      <xdr:row>1398</xdr:row>
      <xdr:rowOff>142876</xdr:rowOff>
    </xdr:to>
    <xdr:pic>
      <xdr:nvPicPr>
        <xdr:cNvPr id="6569" name="Picture 156" descr="Urianl">
          <a:extLst>
            <a:ext uri="{FF2B5EF4-FFF2-40B4-BE49-F238E27FC236}">
              <a16:creationId xmlns:a16="http://schemas.microsoft.com/office/drawing/2014/main" id="{00000000-0008-0000-0000-0000A9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24399475"/>
          <a:ext cx="7429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1393</xdr:row>
      <xdr:rowOff>9525</xdr:rowOff>
    </xdr:from>
    <xdr:to>
      <xdr:col>11</xdr:col>
      <xdr:colOff>114300</xdr:colOff>
      <xdr:row>1398</xdr:row>
      <xdr:rowOff>142876</xdr:rowOff>
    </xdr:to>
    <xdr:pic>
      <xdr:nvPicPr>
        <xdr:cNvPr id="6570" name="Picture 157" descr="Urinal - flere">
          <a:extLst>
            <a:ext uri="{FF2B5EF4-FFF2-40B4-BE49-F238E27FC236}">
              <a16:creationId xmlns:a16="http://schemas.microsoft.com/office/drawing/2014/main" id="{00000000-0008-0000-0000-0000AA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78" b="5357"/>
        <a:stretch>
          <a:fillRect/>
        </a:stretch>
      </xdr:blipFill>
      <xdr:spPr bwMode="auto">
        <a:xfrm>
          <a:off x="1095375" y="224409000"/>
          <a:ext cx="14287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1403</xdr:row>
      <xdr:rowOff>0</xdr:rowOff>
    </xdr:from>
    <xdr:to>
      <xdr:col>10</xdr:col>
      <xdr:colOff>2200</xdr:colOff>
      <xdr:row>1408</xdr:row>
      <xdr:rowOff>770</xdr:rowOff>
    </xdr:to>
    <xdr:pic>
      <xdr:nvPicPr>
        <xdr:cNvPr id="6571" name="Picture 158">
          <a:extLst>
            <a:ext uri="{FF2B5EF4-FFF2-40B4-BE49-F238E27FC236}">
              <a16:creationId xmlns:a16="http://schemas.microsoft.com/office/drawing/2014/main" id="{00000000-0008-0000-0000-0000AB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26056825"/>
          <a:ext cx="1971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1423</xdr:row>
      <xdr:rowOff>38100</xdr:rowOff>
    </xdr:from>
    <xdr:to>
      <xdr:col>22</xdr:col>
      <xdr:colOff>0</xdr:colOff>
      <xdr:row>1427</xdr:row>
      <xdr:rowOff>3538</xdr:rowOff>
    </xdr:to>
    <xdr:pic>
      <xdr:nvPicPr>
        <xdr:cNvPr id="6572" name="Picture 160" descr="bomaerke">
          <a:extLst>
            <a:ext uri="{FF2B5EF4-FFF2-40B4-BE49-F238E27FC236}">
              <a16:creationId xmlns:a16="http://schemas.microsoft.com/office/drawing/2014/main" id="{00000000-0008-0000-0000-0000AC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2933342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1762</xdr:row>
      <xdr:rowOff>38100</xdr:rowOff>
    </xdr:from>
    <xdr:to>
      <xdr:col>22</xdr:col>
      <xdr:colOff>0</xdr:colOff>
      <xdr:row>1766</xdr:row>
      <xdr:rowOff>28576</xdr:rowOff>
    </xdr:to>
    <xdr:pic>
      <xdr:nvPicPr>
        <xdr:cNvPr id="6573" name="Picture 161" descr="bomaerke">
          <a:extLst>
            <a:ext uri="{FF2B5EF4-FFF2-40B4-BE49-F238E27FC236}">
              <a16:creationId xmlns:a16="http://schemas.microsoft.com/office/drawing/2014/main" id="{00000000-0008-0000-0000-0000AD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86731075"/>
          <a:ext cx="5905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209550</xdr:colOff>
      <xdr:row>1794</xdr:row>
      <xdr:rowOff>76200</xdr:rowOff>
    </xdr:from>
    <xdr:to>
      <xdr:col>26</xdr:col>
      <xdr:colOff>147433</xdr:colOff>
      <xdr:row>1808</xdr:row>
      <xdr:rowOff>47624</xdr:rowOff>
    </xdr:to>
    <xdr:pic>
      <xdr:nvPicPr>
        <xdr:cNvPr id="6574" name="Picture 162" descr="Faskine 05">
          <a:extLst>
            <a:ext uri="{FF2B5EF4-FFF2-40B4-BE49-F238E27FC236}">
              <a16:creationId xmlns:a16="http://schemas.microsoft.com/office/drawing/2014/main" id="{00000000-0008-0000-0000-0000AE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7" t="15433" r="9294"/>
        <a:stretch>
          <a:fillRect/>
        </a:stretch>
      </xdr:blipFill>
      <xdr:spPr bwMode="auto">
        <a:xfrm>
          <a:off x="3276600" y="292598475"/>
          <a:ext cx="2571750" cy="269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1819</xdr:row>
      <xdr:rowOff>38100</xdr:rowOff>
    </xdr:from>
    <xdr:to>
      <xdr:col>22</xdr:col>
      <xdr:colOff>0</xdr:colOff>
      <xdr:row>1823</xdr:row>
      <xdr:rowOff>312</xdr:rowOff>
    </xdr:to>
    <xdr:pic>
      <xdr:nvPicPr>
        <xdr:cNvPr id="6575" name="Picture 163" descr="bomaerke">
          <a:extLst>
            <a:ext uri="{FF2B5EF4-FFF2-40B4-BE49-F238E27FC236}">
              <a16:creationId xmlns:a16="http://schemas.microsoft.com/office/drawing/2014/main" id="{00000000-0008-0000-0000-0000AF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969514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19050</xdr:colOff>
      <xdr:row>1836</xdr:row>
      <xdr:rowOff>28575</xdr:rowOff>
    </xdr:from>
    <xdr:to>
      <xdr:col>25</xdr:col>
      <xdr:colOff>211809</xdr:colOff>
      <xdr:row>1848</xdr:row>
      <xdr:rowOff>1</xdr:rowOff>
    </xdr:to>
    <xdr:pic>
      <xdr:nvPicPr>
        <xdr:cNvPr id="6576" name="Picture 165">
          <a:extLst>
            <a:ext uri="{FF2B5EF4-FFF2-40B4-BE49-F238E27FC236}">
              <a16:creationId xmlns:a16="http://schemas.microsoft.com/office/drawing/2014/main" id="{00000000-0008-0000-0000-0000B0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300161325"/>
          <a:ext cx="2390775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1478</xdr:row>
      <xdr:rowOff>38100</xdr:rowOff>
    </xdr:from>
    <xdr:to>
      <xdr:col>22</xdr:col>
      <xdr:colOff>0</xdr:colOff>
      <xdr:row>1482</xdr:row>
      <xdr:rowOff>19049</xdr:rowOff>
    </xdr:to>
    <xdr:pic>
      <xdr:nvPicPr>
        <xdr:cNvPr id="6577" name="Picture 166" descr="bomaerke">
          <a:extLst>
            <a:ext uri="{FF2B5EF4-FFF2-40B4-BE49-F238E27FC236}">
              <a16:creationId xmlns:a16="http://schemas.microsoft.com/office/drawing/2014/main" id="{00000000-0008-0000-0000-0000B1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38944150"/>
          <a:ext cx="5905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1534</xdr:row>
      <xdr:rowOff>38100</xdr:rowOff>
    </xdr:from>
    <xdr:to>
      <xdr:col>22</xdr:col>
      <xdr:colOff>0</xdr:colOff>
      <xdr:row>1538</xdr:row>
      <xdr:rowOff>771</xdr:rowOff>
    </xdr:to>
    <xdr:pic>
      <xdr:nvPicPr>
        <xdr:cNvPr id="6578" name="Picture 168" descr="bomaerke">
          <a:extLst>
            <a:ext uri="{FF2B5EF4-FFF2-40B4-BE49-F238E27FC236}">
              <a16:creationId xmlns:a16="http://schemas.microsoft.com/office/drawing/2014/main" id="{00000000-0008-0000-0000-0000B2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4854535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1590</xdr:row>
      <xdr:rowOff>38100</xdr:rowOff>
    </xdr:from>
    <xdr:to>
      <xdr:col>22</xdr:col>
      <xdr:colOff>0</xdr:colOff>
      <xdr:row>1594</xdr:row>
      <xdr:rowOff>770</xdr:rowOff>
    </xdr:to>
    <xdr:pic>
      <xdr:nvPicPr>
        <xdr:cNvPr id="6579" name="Picture 169" descr="bomaerke">
          <a:extLst>
            <a:ext uri="{FF2B5EF4-FFF2-40B4-BE49-F238E27FC236}">
              <a16:creationId xmlns:a16="http://schemas.microsoft.com/office/drawing/2014/main" id="{00000000-0008-0000-0000-0000B3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580513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1645</xdr:row>
      <xdr:rowOff>38100</xdr:rowOff>
    </xdr:from>
    <xdr:to>
      <xdr:col>22</xdr:col>
      <xdr:colOff>0</xdr:colOff>
      <xdr:row>1649</xdr:row>
      <xdr:rowOff>770</xdr:rowOff>
    </xdr:to>
    <xdr:pic>
      <xdr:nvPicPr>
        <xdr:cNvPr id="6580" name="Picture 170" descr="bomaerke">
          <a:extLst>
            <a:ext uri="{FF2B5EF4-FFF2-40B4-BE49-F238E27FC236}">
              <a16:creationId xmlns:a16="http://schemas.microsoft.com/office/drawing/2014/main" id="{00000000-0008-0000-0000-0000B4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6763345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1651</xdr:row>
      <xdr:rowOff>38100</xdr:rowOff>
    </xdr:from>
    <xdr:to>
      <xdr:col>27</xdr:col>
      <xdr:colOff>80758</xdr:colOff>
      <xdr:row>1690</xdr:row>
      <xdr:rowOff>114301</xdr:rowOff>
    </xdr:to>
    <xdr:pic>
      <xdr:nvPicPr>
        <xdr:cNvPr id="6581" name="Picture 171" descr="Pileanlag Danmarkskort">
          <a:extLst>
            <a:ext uri="{FF2B5EF4-FFF2-40B4-BE49-F238E27FC236}">
              <a16:creationId xmlns:a16="http://schemas.microsoft.com/office/drawing/2014/main" id="{00000000-0008-0000-0000-0000B5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68605000"/>
          <a:ext cx="5876925" cy="6391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1639</xdr:row>
      <xdr:rowOff>85725</xdr:rowOff>
    </xdr:from>
    <xdr:to>
      <xdr:col>26</xdr:col>
      <xdr:colOff>118858</xdr:colOff>
      <xdr:row>1644</xdr:row>
      <xdr:rowOff>76199</xdr:rowOff>
    </xdr:to>
    <xdr:pic>
      <xdr:nvPicPr>
        <xdr:cNvPr id="6582" name="Picture 172">
          <a:extLst>
            <a:ext uri="{FF2B5EF4-FFF2-40B4-BE49-F238E27FC236}">
              <a16:creationId xmlns:a16="http://schemas.microsoft.com/office/drawing/2014/main" id="{00000000-0008-0000-0000-0000B6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38"/>
        <a:stretch>
          <a:fillRect/>
        </a:stretch>
      </xdr:blipFill>
      <xdr:spPr bwMode="auto">
        <a:xfrm>
          <a:off x="276225" y="266709525"/>
          <a:ext cx="55435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1704</xdr:row>
      <xdr:rowOff>38100</xdr:rowOff>
    </xdr:from>
    <xdr:to>
      <xdr:col>22</xdr:col>
      <xdr:colOff>0</xdr:colOff>
      <xdr:row>1708</xdr:row>
      <xdr:rowOff>314</xdr:rowOff>
    </xdr:to>
    <xdr:pic>
      <xdr:nvPicPr>
        <xdr:cNvPr id="6583" name="Picture 174" descr="bomaerke">
          <a:extLst>
            <a:ext uri="{FF2B5EF4-FFF2-40B4-BE49-F238E27FC236}">
              <a16:creationId xmlns:a16="http://schemas.microsoft.com/office/drawing/2014/main" id="{00000000-0008-0000-0000-0000B7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77187025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1754</xdr:row>
      <xdr:rowOff>9525</xdr:rowOff>
    </xdr:from>
    <xdr:to>
      <xdr:col>13</xdr:col>
      <xdr:colOff>9525</xdr:colOff>
      <xdr:row>1761</xdr:row>
      <xdr:rowOff>104773</xdr:rowOff>
    </xdr:to>
    <xdr:pic>
      <xdr:nvPicPr>
        <xdr:cNvPr id="6584" name="Picture 175">
          <a:extLst>
            <a:ext uri="{FF2B5EF4-FFF2-40B4-BE49-F238E27FC236}">
              <a16:creationId xmlns:a16="http://schemas.microsoft.com/office/drawing/2014/main" id="{00000000-0008-0000-0000-0000B8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407100"/>
          <a:ext cx="2619375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133350</xdr:colOff>
      <xdr:row>1751</xdr:row>
      <xdr:rowOff>19050</xdr:rowOff>
    </xdr:from>
    <xdr:to>
      <xdr:col>27</xdr:col>
      <xdr:colOff>28574</xdr:colOff>
      <xdr:row>1761</xdr:row>
      <xdr:rowOff>133350</xdr:rowOff>
    </xdr:to>
    <xdr:pic>
      <xdr:nvPicPr>
        <xdr:cNvPr id="6585" name="Picture 177" descr="beplantet filteranlæg 20 PE">
          <a:extLst>
            <a:ext uri="{FF2B5EF4-FFF2-40B4-BE49-F238E27FC236}">
              <a16:creationId xmlns:a16="http://schemas.microsoft.com/office/drawing/2014/main" id="{00000000-0008-0000-0000-0000B9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284921325"/>
          <a:ext cx="186690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138545</xdr:colOff>
      <xdr:row>395</xdr:row>
      <xdr:rowOff>19544</xdr:rowOff>
    </xdr:from>
    <xdr:ext cx="302614" cy="250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fel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009034" y="62789294"/>
              <a:ext cx="302614" cy="250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da-DK" sz="8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da-DK" sz="8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da-DK" sz="800" b="0" i="1">
                                <a:latin typeface="Cambria Math" panose="02040503050406030204" pitchFamily="18" charset="0"/>
                              </a:rPr>
                              <m:t>     </m:t>
                            </m:r>
                          </m:e>
                          <m:e>
                            <m:r>
                              <a:rPr lang="da-DK" sz="8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eqArr>
                      </m:e>
                    </m:rad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3" name="Tekstfelt 2"/>
            <xdr:cNvSpPr txBox="1"/>
          </xdr:nvSpPr>
          <xdr:spPr>
            <a:xfrm>
              <a:off x="3009034" y="62789294"/>
              <a:ext cx="302614" cy="250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a-DK" sz="800" i="0">
                  <a:latin typeface="Cambria Math" panose="02040503050406030204" pitchFamily="18" charset="0"/>
                </a:rPr>
                <a:t>√(</a:t>
              </a:r>
              <a:r>
                <a:rPr lang="da-DK" sz="800" b="0" i="0">
                  <a:latin typeface="Cambria Math" panose="02040503050406030204" pitchFamily="18" charset="0"/>
                </a:rPr>
                <a:t>█(     @               ))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26</xdr:col>
      <xdr:colOff>195943</xdr:colOff>
      <xdr:row>395</xdr:row>
      <xdr:rowOff>0</xdr:rowOff>
    </xdr:from>
    <xdr:ext cx="707570" cy="2665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kstfelt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SpPr txBox="1"/>
          </xdr:nvSpPr>
          <xdr:spPr>
            <a:xfrm>
              <a:off x="6048891" y="64389000"/>
              <a:ext cx="707570" cy="266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da-DK" sz="8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da-DK" sz="8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da-DK" sz="800" b="0" i="1">
                                <a:latin typeface="Cambria Math" panose="02040503050406030204" pitchFamily="18" charset="0"/>
                              </a:rPr>
                              <m:t>                           </m:t>
                            </m:r>
                          </m:e>
                          <m:e>
                            <m:r>
                              <a:rPr lang="da-DK" sz="8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eqArr>
                      </m:e>
                    </m:rad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141" name="Tekstfelt 140"/>
            <xdr:cNvSpPr txBox="1"/>
          </xdr:nvSpPr>
          <xdr:spPr>
            <a:xfrm>
              <a:off x="6048891" y="64389000"/>
              <a:ext cx="707570" cy="266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a-DK" sz="800" i="0">
                  <a:latin typeface="Cambria Math" panose="02040503050406030204" pitchFamily="18" charset="0"/>
                </a:rPr>
                <a:t>√(</a:t>
              </a:r>
              <a:r>
                <a:rPr lang="da-DK" sz="800" b="0" i="0">
                  <a:latin typeface="Cambria Math" panose="02040503050406030204" pitchFamily="18" charset="0"/>
                </a:rPr>
                <a:t>█(                           @               ))</a:t>
              </a:r>
              <a:endParaRPr lang="da-DK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</xdr:colOff>
      <xdr:row>10</xdr:row>
      <xdr:rowOff>38100</xdr:rowOff>
    </xdr:from>
    <xdr:to>
      <xdr:col>20</xdr:col>
      <xdr:colOff>47625</xdr:colOff>
      <xdr:row>14</xdr:row>
      <xdr:rowOff>0</xdr:rowOff>
    </xdr:to>
    <xdr:pic>
      <xdr:nvPicPr>
        <xdr:cNvPr id="4114" name="Picture 1" descr="bomaerke">
          <a:extLst>
            <a:ext uri="{FF2B5EF4-FFF2-40B4-BE49-F238E27FC236}">
              <a16:creationId xmlns:a16="http://schemas.microsoft.com/office/drawing/2014/main" id="{00000000-0008-0000-0100-00001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3575" y="4533900"/>
          <a:ext cx="590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21</xdr:row>
      <xdr:rowOff>152400</xdr:rowOff>
    </xdr:from>
    <xdr:to>
      <xdr:col>21</xdr:col>
      <xdr:colOff>47625</xdr:colOff>
      <xdr:row>39</xdr:row>
      <xdr:rowOff>133350</xdr:rowOff>
    </xdr:to>
    <xdr:pic>
      <xdr:nvPicPr>
        <xdr:cNvPr id="2066" name="Picture 1" descr="entrepenoer_kloakmester_log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25"/>
        <a:stretch>
          <a:fillRect/>
        </a:stretch>
      </xdr:blipFill>
      <xdr:spPr bwMode="auto">
        <a:xfrm>
          <a:off x="1314450" y="3552825"/>
          <a:ext cx="3333750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EH1853"/>
  <sheetViews>
    <sheetView tabSelected="1" topLeftCell="A1256" zoomScale="115" zoomScaleNormal="115" workbookViewId="0">
      <selection activeCell="AG1269" sqref="AG1269"/>
    </sheetView>
  </sheetViews>
  <sheetFormatPr defaultColWidth="8.85546875" defaultRowHeight="12.75" x14ac:dyDescent="0.2"/>
  <cols>
    <col min="1" max="102" width="3.28515625" customWidth="1"/>
    <col min="103" max="138" width="3.28515625" hidden="1" customWidth="1"/>
    <col min="139" max="247" width="3.28515625" customWidth="1"/>
  </cols>
  <sheetData>
    <row r="1" spans="1:28" x14ac:dyDescent="0.2">
      <c r="A1" s="423" t="s">
        <v>0</v>
      </c>
      <c r="B1" s="378"/>
      <c r="C1" s="378"/>
      <c r="D1" s="378"/>
      <c r="E1" s="378"/>
      <c r="F1" s="378"/>
      <c r="G1" s="374" t="s">
        <v>1</v>
      </c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8"/>
      <c r="V1" s="8"/>
      <c r="W1" s="9"/>
      <c r="X1" s="9"/>
      <c r="Y1" s="378" t="s">
        <v>2</v>
      </c>
      <c r="Z1" s="378"/>
      <c r="AA1" s="378"/>
      <c r="AB1" s="1"/>
    </row>
    <row r="2" spans="1:28" x14ac:dyDescent="0.2">
      <c r="A2" s="382"/>
      <c r="B2" s="379"/>
      <c r="C2" s="379"/>
      <c r="D2" s="379"/>
      <c r="E2" s="379"/>
      <c r="F2" s="379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6"/>
      <c r="V2" s="6"/>
      <c r="W2" s="10"/>
      <c r="X2" s="13">
        <v>2</v>
      </c>
      <c r="Y2" s="379"/>
      <c r="Z2" s="379"/>
      <c r="AA2" s="379"/>
      <c r="AB2" s="4"/>
    </row>
    <row r="3" spans="1:28" x14ac:dyDescent="0.2">
      <c r="A3" s="380" t="s">
        <v>3</v>
      </c>
      <c r="B3" s="381"/>
      <c r="C3" s="381"/>
      <c r="D3" s="381"/>
      <c r="E3" s="381"/>
      <c r="F3" s="381"/>
      <c r="G3" s="383" t="s">
        <v>5</v>
      </c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5"/>
      <c r="V3" s="5"/>
      <c r="W3" s="2"/>
      <c r="X3" s="384" t="s">
        <v>4</v>
      </c>
      <c r="Y3" s="384"/>
      <c r="Z3" s="384"/>
      <c r="AA3" s="384"/>
      <c r="AB3" s="385"/>
    </row>
    <row r="4" spans="1:28" x14ac:dyDescent="0.2">
      <c r="A4" s="382"/>
      <c r="B4" s="379"/>
      <c r="C4" s="379"/>
      <c r="D4" s="379"/>
      <c r="E4" s="379"/>
      <c r="F4" s="379"/>
      <c r="G4" s="388" t="s">
        <v>8</v>
      </c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7"/>
      <c r="V4" s="7"/>
      <c r="W4" s="3"/>
      <c r="X4" s="386"/>
      <c r="Y4" s="386"/>
      <c r="Z4" s="386"/>
      <c r="AA4" s="386"/>
      <c r="AB4" s="387"/>
    </row>
    <row r="6" spans="1:28" x14ac:dyDescent="0.2">
      <c r="B6" s="577" t="s">
        <v>8</v>
      </c>
      <c r="C6" s="577"/>
      <c r="D6" s="577"/>
      <c r="E6" s="577"/>
      <c r="F6" s="577"/>
      <c r="G6" s="577"/>
      <c r="H6" s="577"/>
    </row>
    <row r="7" spans="1:28" x14ac:dyDescent="0.2">
      <c r="B7" s="577"/>
      <c r="C7" s="577"/>
      <c r="D7" s="577"/>
      <c r="E7" s="577"/>
      <c r="F7" s="577"/>
      <c r="G7" s="577"/>
      <c r="H7" s="577"/>
    </row>
    <row r="9" spans="1:28" ht="15.75" x14ac:dyDescent="0.25">
      <c r="B9" s="70" t="str">
        <f>B63</f>
        <v>Arealer</v>
      </c>
      <c r="C9" s="70"/>
      <c r="D9" s="70"/>
      <c r="E9" s="70"/>
      <c r="F9" s="70"/>
      <c r="G9" s="3"/>
      <c r="H9" s="3"/>
      <c r="I9" s="3"/>
      <c r="J9" s="3"/>
      <c r="K9" s="70"/>
      <c r="L9" s="70">
        <f>X59</f>
        <v>3</v>
      </c>
      <c r="P9" s="70" t="str">
        <f>G1253</f>
        <v>Koter, fald og højdetab</v>
      </c>
      <c r="Q9" s="70"/>
      <c r="R9" s="70"/>
      <c r="S9" s="70"/>
      <c r="T9" s="70"/>
      <c r="U9" s="3"/>
      <c r="V9" s="3"/>
      <c r="W9" s="3"/>
      <c r="X9" s="3"/>
      <c r="Y9" s="583">
        <f>X1251</f>
        <v>23</v>
      </c>
      <c r="Z9" s="583"/>
    </row>
    <row r="10" spans="1:28" x14ac:dyDescent="0.2">
      <c r="B10" s="584" t="str">
        <f>B67</f>
        <v>Trekanter</v>
      </c>
      <c r="C10" s="584"/>
      <c r="D10" s="584"/>
      <c r="E10" s="584"/>
      <c r="F10" s="584"/>
      <c r="G10" s="584"/>
      <c r="H10" s="584"/>
      <c r="I10" s="584"/>
      <c r="J10" s="584"/>
      <c r="K10" s="584"/>
      <c r="L10" s="71">
        <f>X59</f>
        <v>3</v>
      </c>
      <c r="P10" s="584" t="str">
        <f>B1254</f>
        <v>Koter og fald</v>
      </c>
      <c r="Q10" s="584"/>
      <c r="R10" s="584"/>
      <c r="S10" s="584"/>
      <c r="T10" s="584"/>
      <c r="U10" s="584"/>
      <c r="V10" s="584"/>
      <c r="W10" s="584"/>
      <c r="X10" s="584"/>
      <c r="Y10" s="584"/>
      <c r="Z10">
        <f>X1251</f>
        <v>23</v>
      </c>
    </row>
    <row r="11" spans="1:28" x14ac:dyDescent="0.2">
      <c r="B11" s="585" t="str">
        <f>B124</f>
        <v>Retvinklet trekant</v>
      </c>
      <c r="C11" s="585"/>
      <c r="D11" s="585"/>
      <c r="E11" s="585"/>
      <c r="F11" s="585"/>
      <c r="G11" s="585"/>
      <c r="H11" s="585"/>
      <c r="I11" s="585"/>
      <c r="J11" s="585"/>
      <c r="K11" s="585"/>
      <c r="L11" s="71">
        <f>X120</f>
        <v>4</v>
      </c>
      <c r="P11" s="585" t="str">
        <f>B1290</f>
        <v>Beregning af promille</v>
      </c>
      <c r="Q11" s="585"/>
      <c r="R11" s="585"/>
      <c r="S11" s="585"/>
      <c r="T11" s="585"/>
      <c r="U11" s="585"/>
      <c r="V11" s="585"/>
      <c r="W11" s="585"/>
      <c r="X11" s="585"/>
      <c r="Y11" s="585"/>
      <c r="Z11">
        <f>X1251</f>
        <v>23</v>
      </c>
    </row>
    <row r="12" spans="1:28" x14ac:dyDescent="0.2">
      <c r="B12" s="585" t="str">
        <f>B183</f>
        <v>Firkant</v>
      </c>
      <c r="C12" s="585"/>
      <c r="D12" s="585"/>
      <c r="E12" s="585"/>
      <c r="F12" s="585"/>
      <c r="G12" s="585"/>
      <c r="H12" s="585"/>
      <c r="I12" s="585"/>
      <c r="J12" s="585"/>
      <c r="K12" s="585"/>
      <c r="L12" s="71">
        <f>X179</f>
        <v>5</v>
      </c>
      <c r="P12" s="585" t="str">
        <f>B1312</f>
        <v>Højdetab</v>
      </c>
      <c r="Q12" s="585"/>
      <c r="R12" s="585"/>
      <c r="S12" s="585"/>
      <c r="T12" s="585"/>
      <c r="U12" s="585"/>
      <c r="V12" s="585"/>
      <c r="W12" s="585"/>
      <c r="X12" s="585"/>
      <c r="Y12" s="585"/>
      <c r="Z12">
        <f>X1309</f>
        <v>24</v>
      </c>
    </row>
    <row r="13" spans="1:28" x14ac:dyDescent="0.2">
      <c r="B13" s="585" t="str">
        <f>B211</f>
        <v>Femkant</v>
      </c>
      <c r="C13" s="585"/>
      <c r="D13" s="585"/>
      <c r="E13" s="585"/>
      <c r="F13" s="585"/>
      <c r="G13" s="585"/>
      <c r="H13" s="585"/>
      <c r="I13" s="585"/>
      <c r="J13" s="585"/>
      <c r="K13" s="585"/>
      <c r="L13">
        <f>X179</f>
        <v>5</v>
      </c>
    </row>
    <row r="14" spans="1:28" ht="15.75" x14ac:dyDescent="0.25">
      <c r="B14" s="585" t="str">
        <f>B242</f>
        <v>Polygoner</v>
      </c>
      <c r="C14" s="585"/>
      <c r="D14" s="585"/>
      <c r="E14" s="585"/>
      <c r="F14" s="585"/>
      <c r="G14" s="585"/>
      <c r="H14" s="585"/>
      <c r="I14" s="585"/>
      <c r="J14" s="585"/>
      <c r="K14" s="585"/>
      <c r="L14" s="71">
        <f>X239</f>
        <v>6</v>
      </c>
      <c r="P14" s="70" t="str">
        <f>G1369</f>
        <v>Rør - dimensionering</v>
      </c>
      <c r="Q14" s="70"/>
      <c r="R14" s="70"/>
      <c r="S14" s="70"/>
      <c r="T14" s="70"/>
      <c r="U14" s="3"/>
      <c r="V14" s="3"/>
      <c r="W14" s="3"/>
      <c r="X14" s="3"/>
      <c r="Y14" s="583">
        <f>X1367</f>
        <v>25</v>
      </c>
      <c r="Z14" s="583"/>
    </row>
    <row r="15" spans="1:28" x14ac:dyDescent="0.2">
      <c r="B15" s="585" t="str">
        <f>B278</f>
        <v>Cirkel</v>
      </c>
      <c r="C15" s="585"/>
      <c r="D15" s="585"/>
      <c r="E15" s="585"/>
      <c r="F15" s="585"/>
      <c r="G15" s="585"/>
      <c r="H15" s="585"/>
      <c r="I15" s="585"/>
      <c r="J15" s="585"/>
      <c r="K15" s="585"/>
      <c r="L15" s="71">
        <f>X239</f>
        <v>6</v>
      </c>
      <c r="P15" s="584" t="s">
        <v>689</v>
      </c>
      <c r="Q15" s="584"/>
      <c r="R15" s="584"/>
      <c r="S15" s="584"/>
      <c r="T15" s="584"/>
      <c r="U15" s="584"/>
      <c r="V15" s="584"/>
      <c r="W15" s="584"/>
      <c r="X15" s="584"/>
      <c r="Y15" s="584"/>
      <c r="Z15">
        <f>X1367</f>
        <v>25</v>
      </c>
    </row>
    <row r="16" spans="1:28" x14ac:dyDescent="0.2">
      <c r="B16" s="585" t="str">
        <f>B302</f>
        <v>Cirkeludsnit</v>
      </c>
      <c r="C16" s="585"/>
      <c r="D16" s="585"/>
      <c r="E16" s="585"/>
      <c r="F16" s="585"/>
      <c r="G16" s="585"/>
      <c r="H16" s="585"/>
      <c r="I16" s="585"/>
      <c r="J16" s="585"/>
      <c r="K16" s="585"/>
      <c r="L16" s="71">
        <f>X299</f>
        <v>7</v>
      </c>
    </row>
    <row r="17" spans="2:26" ht="15.75" x14ac:dyDescent="0.25">
      <c r="B17" s="585" t="str">
        <f>B327</f>
        <v>Ellipse</v>
      </c>
      <c r="C17" s="585"/>
      <c r="D17" s="585"/>
      <c r="E17" s="585"/>
      <c r="F17" s="585"/>
      <c r="G17" s="585"/>
      <c r="H17" s="585"/>
      <c r="I17" s="585"/>
      <c r="J17" s="585"/>
      <c r="K17" s="585"/>
      <c r="L17" s="71">
        <f>X299</f>
        <v>7</v>
      </c>
      <c r="P17" s="70" t="s">
        <v>578</v>
      </c>
      <c r="Q17" s="3"/>
      <c r="R17" s="3"/>
      <c r="S17" s="3"/>
      <c r="T17" s="3"/>
      <c r="U17" s="3"/>
      <c r="V17" s="3"/>
      <c r="W17" s="3"/>
      <c r="X17" s="3"/>
      <c r="Y17" s="583">
        <f>X1425</f>
        <v>26</v>
      </c>
      <c r="Z17" s="583"/>
    </row>
    <row r="18" spans="2:26" x14ac:dyDescent="0.2">
      <c r="B18" s="253"/>
      <c r="C18" s="253"/>
      <c r="D18" s="253"/>
      <c r="E18" s="253"/>
      <c r="F18" s="253"/>
      <c r="G18" s="253"/>
      <c r="H18" s="253"/>
      <c r="I18" s="253"/>
      <c r="J18" s="253"/>
      <c r="K18" s="253"/>
      <c r="P18" s="584" t="str">
        <f>B1428</f>
        <v>Nedsivningsanlæg</v>
      </c>
      <c r="Q18" s="584"/>
      <c r="R18" s="584"/>
      <c r="S18" s="584"/>
      <c r="T18" s="584"/>
      <c r="U18" s="584"/>
      <c r="V18" s="584"/>
      <c r="W18" s="584"/>
      <c r="X18" s="584"/>
      <c r="Y18" s="584"/>
      <c r="Z18">
        <f>X1425</f>
        <v>26</v>
      </c>
    </row>
    <row r="19" spans="2:26" ht="15.75" x14ac:dyDescent="0.25">
      <c r="B19" s="70" t="str">
        <f>B362</f>
        <v>Volumen</v>
      </c>
      <c r="C19" s="3"/>
      <c r="D19" s="3"/>
      <c r="E19" s="3"/>
      <c r="F19" s="3"/>
      <c r="G19" s="3"/>
      <c r="H19" s="3"/>
      <c r="I19" s="3"/>
      <c r="J19" s="3"/>
      <c r="K19" s="3"/>
      <c r="L19" s="70">
        <f>X358</f>
        <v>8</v>
      </c>
      <c r="P19" s="585" t="str">
        <f>B1483</f>
        <v>Rodzoneanlæg</v>
      </c>
      <c r="Q19" s="585"/>
      <c r="R19" s="585"/>
      <c r="S19" s="585"/>
      <c r="T19" s="585"/>
      <c r="U19" s="585"/>
      <c r="V19" s="585"/>
      <c r="W19" s="585"/>
      <c r="X19" s="585"/>
      <c r="Y19" s="585"/>
      <c r="Z19">
        <f>X1480</f>
        <v>27</v>
      </c>
    </row>
    <row r="20" spans="2:26" x14ac:dyDescent="0.2">
      <c r="B20" s="584" t="str">
        <f>B365</f>
        <v>Kasse</v>
      </c>
      <c r="C20" s="584"/>
      <c r="D20" s="584"/>
      <c r="E20" s="584"/>
      <c r="F20" s="584"/>
      <c r="G20" s="584"/>
      <c r="H20" s="584"/>
      <c r="I20" s="584"/>
      <c r="J20" s="584"/>
      <c r="K20" s="584"/>
      <c r="L20">
        <f>X358</f>
        <v>8</v>
      </c>
      <c r="P20" s="585" t="str">
        <f>B1539</f>
        <v>Biologisk sandfilter</v>
      </c>
      <c r="Q20" s="585"/>
      <c r="R20" s="585"/>
      <c r="S20" s="585"/>
      <c r="T20" s="585"/>
      <c r="U20" s="585"/>
      <c r="V20" s="585"/>
      <c r="W20" s="585"/>
      <c r="X20" s="585"/>
      <c r="Y20" s="585"/>
      <c r="Z20">
        <f>X1536</f>
        <v>28</v>
      </c>
    </row>
    <row r="21" spans="2:26" x14ac:dyDescent="0.2">
      <c r="B21" s="585" t="str">
        <f>B383</f>
        <v>Cylinder</v>
      </c>
      <c r="C21" s="585"/>
      <c r="D21" s="585"/>
      <c r="E21" s="585"/>
      <c r="F21" s="585"/>
      <c r="G21" s="585"/>
      <c r="H21" s="585"/>
      <c r="I21" s="585"/>
      <c r="J21" s="585"/>
      <c r="K21" s="585"/>
      <c r="L21">
        <f>X358</f>
        <v>8</v>
      </c>
      <c r="P21" s="585" t="str">
        <f>B1595</f>
        <v>Pileanlæg</v>
      </c>
      <c r="Q21" s="585"/>
      <c r="R21" s="585"/>
      <c r="S21" s="585"/>
      <c r="T21" s="585"/>
      <c r="U21" s="585"/>
      <c r="V21" s="585"/>
      <c r="W21" s="585"/>
      <c r="X21" s="585"/>
      <c r="Y21" s="585"/>
      <c r="Z21">
        <f>X1592</f>
        <v>29</v>
      </c>
    </row>
    <row r="22" spans="2:26" x14ac:dyDescent="0.2">
      <c r="B22" s="585" t="str">
        <f>B411</f>
        <v>Rør</v>
      </c>
      <c r="C22" s="585"/>
      <c r="D22" s="585"/>
      <c r="E22" s="585"/>
      <c r="F22" s="585"/>
      <c r="G22" s="585"/>
      <c r="H22" s="585"/>
      <c r="I22" s="585"/>
      <c r="J22" s="585"/>
      <c r="K22" s="585"/>
      <c r="L22">
        <f>X358</f>
        <v>8</v>
      </c>
      <c r="P22" s="585" t="str">
        <f>B1709</f>
        <v>Beplantet filteranlæg</v>
      </c>
      <c r="Q22" s="585"/>
      <c r="R22" s="585"/>
      <c r="S22" s="585"/>
      <c r="T22" s="585"/>
      <c r="U22" s="585"/>
      <c r="V22" s="585"/>
      <c r="W22" s="585"/>
      <c r="X22" s="585"/>
      <c r="Y22" s="585"/>
      <c r="Z22">
        <f>X1706</f>
        <v>31</v>
      </c>
    </row>
    <row r="23" spans="2:26" x14ac:dyDescent="0.2">
      <c r="B23" s="585" t="str">
        <f>B434</f>
        <v>Kegle</v>
      </c>
      <c r="C23" s="585"/>
      <c r="D23" s="585"/>
      <c r="E23" s="585"/>
      <c r="F23" s="585"/>
      <c r="G23" s="585"/>
      <c r="H23" s="585"/>
      <c r="I23" s="585"/>
      <c r="J23" s="585"/>
      <c r="K23" s="585"/>
      <c r="L23">
        <f>X430</f>
        <v>9</v>
      </c>
    </row>
    <row r="24" spans="2:26" ht="15.75" x14ac:dyDescent="0.25">
      <c r="B24" s="585" t="str">
        <f>B450</f>
        <v>Keglestub</v>
      </c>
      <c r="C24" s="585"/>
      <c r="D24" s="585"/>
      <c r="E24" s="585"/>
      <c r="F24" s="585"/>
      <c r="G24" s="585"/>
      <c r="H24" s="585"/>
      <c r="I24" s="585"/>
      <c r="J24" s="585"/>
      <c r="K24" s="585"/>
      <c r="L24">
        <f>X430</f>
        <v>9</v>
      </c>
      <c r="P24" s="70" t="s">
        <v>579</v>
      </c>
      <c r="Q24" s="3"/>
      <c r="R24" s="3"/>
      <c r="S24" s="3"/>
      <c r="T24" s="3"/>
      <c r="U24" s="3"/>
      <c r="V24" s="3"/>
      <c r="W24" s="3"/>
      <c r="X24" s="3"/>
      <c r="Y24" s="583">
        <f>X1764</f>
        <v>32</v>
      </c>
      <c r="Z24" s="583"/>
    </row>
    <row r="25" spans="2:26" x14ac:dyDescent="0.2">
      <c r="B25" s="585" t="str">
        <f>B469</f>
        <v>Pyramide</v>
      </c>
      <c r="C25" s="585"/>
      <c r="D25" s="585"/>
      <c r="E25" s="585"/>
      <c r="F25" s="585"/>
      <c r="G25" s="585"/>
      <c r="H25" s="585"/>
      <c r="I25" s="585"/>
      <c r="J25" s="585"/>
      <c r="K25" s="585"/>
      <c r="L25">
        <f>X430</f>
        <v>9</v>
      </c>
      <c r="P25" s="584" t="str">
        <f>B1767</f>
        <v>Regnvand - afløbskoefficient</v>
      </c>
      <c r="Q25" s="584"/>
      <c r="R25" s="584"/>
      <c r="S25" s="584"/>
      <c r="T25" s="584"/>
      <c r="U25" s="584"/>
      <c r="V25" s="584"/>
      <c r="W25" s="584"/>
      <c r="X25" s="584"/>
      <c r="Y25" s="584"/>
      <c r="Z25">
        <f>X1764</f>
        <v>32</v>
      </c>
    </row>
    <row r="26" spans="2:26" x14ac:dyDescent="0.2">
      <c r="B26" s="585" t="str">
        <f>B492</f>
        <v>Pyramidestub</v>
      </c>
      <c r="C26" s="585"/>
      <c r="D26" s="585"/>
      <c r="E26" s="585"/>
      <c r="F26" s="585"/>
      <c r="G26" s="585"/>
      <c r="H26" s="585"/>
      <c r="I26" s="585"/>
      <c r="J26" s="585"/>
      <c r="K26" s="585"/>
      <c r="L26">
        <f>X489</f>
        <v>10</v>
      </c>
      <c r="P26" s="585" t="str">
        <f>B1789</f>
        <v>Regnvandsfaskiner</v>
      </c>
      <c r="Q26" s="585"/>
      <c r="R26" s="585"/>
      <c r="S26" s="585"/>
      <c r="T26" s="585"/>
      <c r="U26" s="585"/>
      <c r="V26" s="585"/>
      <c r="W26" s="585"/>
      <c r="X26" s="585"/>
      <c r="Y26" s="585"/>
      <c r="Z26">
        <f>X1764</f>
        <v>32</v>
      </c>
    </row>
    <row r="27" spans="2:26" x14ac:dyDescent="0.2">
      <c r="B27" s="585" t="str">
        <f>B514</f>
        <v>Retvinklet prismatoide</v>
      </c>
      <c r="C27" s="585"/>
      <c r="D27" s="585"/>
      <c r="E27" s="585"/>
      <c r="F27" s="585"/>
      <c r="G27" s="585"/>
      <c r="H27" s="585"/>
      <c r="I27" s="585"/>
      <c r="J27" s="585"/>
      <c r="K27" s="585"/>
      <c r="L27">
        <f>X489</f>
        <v>10</v>
      </c>
      <c r="P27" s="585" t="str">
        <f>B1824</f>
        <v>Regnvandskasetter</v>
      </c>
      <c r="Q27" s="585"/>
      <c r="R27" s="585"/>
      <c r="S27" s="585"/>
      <c r="T27" s="585"/>
      <c r="U27" s="585"/>
      <c r="V27" s="585"/>
      <c r="W27" s="585"/>
      <c r="X27" s="585"/>
      <c r="Y27" s="585"/>
      <c r="Z27">
        <f>X1821</f>
        <v>33</v>
      </c>
    </row>
    <row r="28" spans="2:26" x14ac:dyDescent="0.2">
      <c r="B28" s="585" t="str">
        <f>B533</f>
        <v>Ikke retvinklet prismatoide</v>
      </c>
      <c r="C28" s="585"/>
      <c r="D28" s="585"/>
      <c r="E28" s="585"/>
      <c r="F28" s="585"/>
      <c r="G28" s="585"/>
      <c r="H28" s="585"/>
      <c r="I28" s="585"/>
      <c r="J28" s="585"/>
      <c r="K28" s="585"/>
      <c r="L28">
        <f>X489</f>
        <v>10</v>
      </c>
    </row>
    <row r="29" spans="2:26" x14ac:dyDescent="0.2">
      <c r="B29" s="585" t="str">
        <f>B553</f>
        <v>Kile</v>
      </c>
      <c r="C29" s="585"/>
      <c r="D29" s="585"/>
      <c r="E29" s="585"/>
      <c r="F29" s="585"/>
      <c r="G29" s="585"/>
      <c r="H29" s="585"/>
      <c r="I29" s="585"/>
      <c r="J29" s="585"/>
      <c r="K29" s="585"/>
      <c r="L29">
        <f>X550</f>
        <v>11</v>
      </c>
    </row>
    <row r="30" spans="2:26" x14ac:dyDescent="0.2">
      <c r="B30" s="585" t="str">
        <f>B570</f>
        <v>Afskåret kile</v>
      </c>
      <c r="C30" s="585"/>
      <c r="D30" s="585"/>
      <c r="E30" s="585"/>
      <c r="F30" s="585"/>
      <c r="G30" s="585"/>
      <c r="H30" s="585"/>
      <c r="I30" s="585"/>
      <c r="J30" s="585"/>
      <c r="K30" s="585"/>
      <c r="L30">
        <f>X550</f>
        <v>11</v>
      </c>
    </row>
    <row r="31" spans="2:26" x14ac:dyDescent="0.2">
      <c r="B31" s="585" t="str">
        <f>B589</f>
        <v>Kugle</v>
      </c>
      <c r="C31" s="585"/>
      <c r="D31" s="585"/>
      <c r="E31" s="585"/>
      <c r="F31" s="585"/>
      <c r="G31" s="585"/>
      <c r="H31" s="585"/>
      <c r="I31" s="585"/>
      <c r="J31" s="585"/>
      <c r="K31" s="585"/>
      <c r="L31">
        <f>X550</f>
        <v>11</v>
      </c>
    </row>
    <row r="32" spans="2:26" x14ac:dyDescent="0.2">
      <c r="B32" s="585" t="str">
        <f>B612</f>
        <v>Kuglekalot</v>
      </c>
      <c r="C32" s="585"/>
      <c r="D32" s="585"/>
      <c r="E32" s="585"/>
      <c r="F32" s="585"/>
      <c r="G32" s="585"/>
      <c r="H32" s="585"/>
      <c r="I32" s="585"/>
      <c r="J32" s="585"/>
      <c r="K32" s="585"/>
      <c r="L32">
        <f>$X$609</f>
        <v>12</v>
      </c>
    </row>
    <row r="33" spans="2:12" x14ac:dyDescent="0.2">
      <c r="B33" s="585" t="str">
        <f>B633</f>
        <v>Kugleudsnit</v>
      </c>
      <c r="C33" s="585"/>
      <c r="D33" s="585"/>
      <c r="E33" s="585"/>
      <c r="F33" s="585"/>
      <c r="G33" s="585"/>
      <c r="H33" s="585"/>
      <c r="I33" s="585"/>
      <c r="J33" s="585"/>
      <c r="K33" s="585"/>
      <c r="L33">
        <f>$X$609</f>
        <v>12</v>
      </c>
    </row>
    <row r="34" spans="2:12" x14ac:dyDescent="0.2">
      <c r="B34" s="585" t="str">
        <f>B656</f>
        <v>Kuglebælte</v>
      </c>
      <c r="C34" s="585"/>
      <c r="D34" s="585"/>
      <c r="E34" s="585"/>
      <c r="F34" s="585"/>
      <c r="G34" s="585"/>
      <c r="H34" s="585"/>
      <c r="I34" s="585"/>
      <c r="J34" s="585"/>
      <c r="K34" s="585"/>
      <c r="L34">
        <f>X609</f>
        <v>12</v>
      </c>
    </row>
    <row r="35" spans="2:12" x14ac:dyDescent="0.2">
      <c r="B35" s="253"/>
      <c r="C35" s="253"/>
      <c r="D35" s="253"/>
      <c r="E35" s="253"/>
      <c r="F35" s="253"/>
      <c r="G35" s="253"/>
      <c r="H35" s="253"/>
      <c r="I35" s="253"/>
      <c r="J35" s="253"/>
      <c r="K35" s="253"/>
    </row>
    <row r="36" spans="2:12" ht="15.75" x14ac:dyDescent="0.25">
      <c r="B36" s="70" t="str">
        <f>B677</f>
        <v>Jordarbejde</v>
      </c>
      <c r="C36" s="70"/>
      <c r="D36" s="70"/>
      <c r="E36" s="70"/>
      <c r="F36" s="70"/>
      <c r="G36" s="3"/>
      <c r="H36" s="3"/>
      <c r="I36" s="3"/>
      <c r="J36" s="3"/>
      <c r="K36" s="583">
        <f>X673</f>
        <v>13</v>
      </c>
      <c r="L36" s="583"/>
    </row>
    <row r="37" spans="2:12" x14ac:dyDescent="0.2">
      <c r="B37" s="584" t="str">
        <f>B680</f>
        <v>Rektangulær grøft</v>
      </c>
      <c r="C37" s="584"/>
      <c r="D37" s="584"/>
      <c r="E37" s="584"/>
      <c r="F37" s="584"/>
      <c r="G37" s="584"/>
      <c r="H37" s="584"/>
      <c r="I37" s="584"/>
      <c r="J37" s="584"/>
      <c r="K37" s="584"/>
      <c r="L37">
        <f>X673</f>
        <v>13</v>
      </c>
    </row>
    <row r="38" spans="2:12" x14ac:dyDescent="0.2">
      <c r="B38" s="585" t="str">
        <f>B702</f>
        <v>Grøft med anlæg</v>
      </c>
      <c r="C38" s="585"/>
      <c r="D38" s="585"/>
      <c r="E38" s="585"/>
      <c r="F38" s="585"/>
      <c r="G38" s="585"/>
      <c r="H38" s="585"/>
      <c r="I38" s="585"/>
      <c r="J38" s="585"/>
      <c r="K38" s="585"/>
      <c r="L38">
        <f>X673</f>
        <v>13</v>
      </c>
    </row>
    <row r="39" spans="2:12" x14ac:dyDescent="0.2">
      <c r="B39" s="585" t="str">
        <f>B736</f>
        <v>Volumen af grøft med anlæg</v>
      </c>
      <c r="C39" s="585"/>
      <c r="D39" s="585"/>
      <c r="E39" s="585"/>
      <c r="F39" s="585"/>
      <c r="G39" s="585"/>
      <c r="H39" s="585"/>
      <c r="I39" s="585"/>
      <c r="J39" s="585"/>
      <c r="K39" s="585"/>
      <c r="L39">
        <f>X733</f>
        <v>14</v>
      </c>
    </row>
    <row r="40" spans="2:12" x14ac:dyDescent="0.2">
      <c r="B40" s="729" t="str">
        <f>B770</f>
        <v>Bundbredder jf. DS475</v>
      </c>
      <c r="C40" s="729"/>
      <c r="D40" s="729"/>
      <c r="E40" s="729"/>
      <c r="F40" s="729"/>
      <c r="G40" s="729"/>
      <c r="H40" s="729"/>
      <c r="I40" s="729"/>
      <c r="J40" s="729"/>
      <c r="K40" s="729"/>
      <c r="L40">
        <f>X733</f>
        <v>14</v>
      </c>
    </row>
    <row r="41" spans="2:12" x14ac:dyDescent="0.2">
      <c r="B41" s="585" t="str">
        <f>B794</f>
        <v>Udgravning skrå sider</v>
      </c>
      <c r="C41" s="585"/>
      <c r="D41" s="585"/>
      <c r="E41" s="585"/>
      <c r="F41" s="585"/>
      <c r="G41" s="585"/>
      <c r="H41" s="585"/>
      <c r="I41" s="585"/>
      <c r="J41" s="585"/>
      <c r="K41" s="585"/>
      <c r="L41">
        <f>X790</f>
        <v>15</v>
      </c>
    </row>
    <row r="42" spans="2:12" x14ac:dyDescent="0.2">
      <c r="B42" s="585" t="str">
        <f>B853</f>
        <v>Rampe</v>
      </c>
      <c r="C42" s="585"/>
      <c r="D42" s="585"/>
      <c r="E42" s="585"/>
      <c r="F42" s="585"/>
      <c r="G42" s="585"/>
      <c r="H42" s="585"/>
      <c r="I42" s="585"/>
      <c r="J42" s="585"/>
      <c r="K42" s="585"/>
      <c r="L42">
        <f>X849</f>
        <v>16</v>
      </c>
    </row>
    <row r="44" spans="2:12" ht="15.75" x14ac:dyDescent="0.25">
      <c r="B44" s="70" t="str">
        <f>B913</f>
        <v>Fundamenter</v>
      </c>
      <c r="C44" s="3"/>
      <c r="D44" s="3"/>
      <c r="E44" s="3"/>
      <c r="F44" s="3"/>
      <c r="G44" s="3"/>
      <c r="H44" s="3"/>
      <c r="I44" s="3"/>
      <c r="J44" s="3"/>
      <c r="K44" s="583">
        <f>X909</f>
        <v>17</v>
      </c>
      <c r="L44" s="583"/>
    </row>
    <row r="45" spans="2:12" x14ac:dyDescent="0.2">
      <c r="B45" s="584" t="str">
        <f>B915</f>
        <v>Fundamenter i Sandjord</v>
      </c>
      <c r="C45" s="584"/>
      <c r="D45" s="584"/>
      <c r="E45" s="584"/>
      <c r="F45" s="584"/>
      <c r="G45" s="584"/>
      <c r="H45" s="584"/>
      <c r="I45" s="584"/>
      <c r="J45" s="584"/>
      <c r="K45" s="584"/>
      <c r="L45">
        <f>X909</f>
        <v>17</v>
      </c>
    </row>
    <row r="46" spans="2:12" x14ac:dyDescent="0.2">
      <c r="B46" s="585" t="str">
        <f>B942</f>
        <v>Fundamenter i Lerjord</v>
      </c>
      <c r="C46" s="585"/>
      <c r="D46" s="585"/>
      <c r="E46" s="585"/>
      <c r="F46" s="585"/>
      <c r="G46" s="585"/>
      <c r="H46" s="585"/>
      <c r="I46" s="585"/>
      <c r="J46" s="585"/>
      <c r="K46" s="585"/>
      <c r="L46">
        <f>X909</f>
        <v>17</v>
      </c>
    </row>
    <row r="47" spans="2:12" x14ac:dyDescent="0.2">
      <c r="B47" s="585" t="str">
        <f>B972</f>
        <v>Fundamenter - afstand &amp; dybde</v>
      </c>
      <c r="C47" s="585"/>
      <c r="D47" s="585"/>
      <c r="E47" s="585"/>
      <c r="F47" s="585"/>
      <c r="G47" s="585"/>
      <c r="H47" s="585"/>
      <c r="I47" s="585"/>
      <c r="J47" s="585"/>
      <c r="K47" s="585"/>
      <c r="L47">
        <f>X969</f>
        <v>18</v>
      </c>
    </row>
    <row r="48" spans="2:12" x14ac:dyDescent="0.2">
      <c r="B48" s="585" t="str">
        <f>B1032</f>
        <v>Udgravning for brønde</v>
      </c>
      <c r="C48" s="585"/>
      <c r="D48" s="585"/>
      <c r="E48" s="585"/>
      <c r="F48" s="585"/>
      <c r="G48" s="585"/>
      <c r="H48" s="585"/>
      <c r="I48" s="585"/>
      <c r="J48" s="585"/>
      <c r="K48" s="585"/>
      <c r="L48">
        <f>X1029</f>
        <v>19</v>
      </c>
    </row>
    <row r="52" spans="1:28" ht="15.75" x14ac:dyDescent="0.25">
      <c r="B52" s="70" t="s">
        <v>346</v>
      </c>
      <c r="C52" s="3"/>
      <c r="D52" s="3"/>
      <c r="E52" s="3"/>
      <c r="F52" s="3"/>
      <c r="G52" s="3"/>
      <c r="H52" s="3"/>
      <c r="I52" s="3"/>
      <c r="J52" s="3"/>
      <c r="K52" s="583">
        <f>L53</f>
        <v>22</v>
      </c>
      <c r="L52" s="583"/>
    </row>
    <row r="53" spans="1:28" x14ac:dyDescent="0.2">
      <c r="B53" s="584" t="str">
        <f>G1210</f>
        <v>Nivellement</v>
      </c>
      <c r="C53" s="584"/>
      <c r="D53" s="584"/>
      <c r="E53" s="584"/>
      <c r="F53" s="584"/>
      <c r="G53" s="584"/>
      <c r="H53" s="584"/>
      <c r="I53" s="584"/>
      <c r="J53" s="584"/>
      <c r="K53" s="584"/>
      <c r="L53">
        <f>X1208</f>
        <v>22</v>
      </c>
    </row>
    <row r="58" spans="1:28" x14ac:dyDescent="0.2">
      <c r="A58" s="423" t="s">
        <v>0</v>
      </c>
      <c r="B58" s="378"/>
      <c r="C58" s="378"/>
      <c r="D58" s="378"/>
      <c r="E58" s="378"/>
      <c r="F58" s="378"/>
      <c r="G58" s="374" t="s">
        <v>1</v>
      </c>
      <c r="H58" s="374"/>
      <c r="I58" s="374"/>
      <c r="J58" s="374"/>
      <c r="K58" s="374"/>
      <c r="L58" s="374"/>
      <c r="M58" s="374"/>
      <c r="N58" s="374"/>
      <c r="O58" s="374"/>
      <c r="P58" s="374"/>
      <c r="Q58" s="374"/>
      <c r="R58" s="374"/>
      <c r="S58" s="374"/>
      <c r="T58" s="374"/>
      <c r="U58" s="8"/>
      <c r="V58" s="8"/>
      <c r="W58" s="9"/>
      <c r="X58" s="9"/>
      <c r="Y58" s="378" t="s">
        <v>2</v>
      </c>
      <c r="Z58" s="378"/>
      <c r="AA58" s="378"/>
      <c r="AB58" s="1"/>
    </row>
    <row r="59" spans="1:28" x14ac:dyDescent="0.2">
      <c r="A59" s="382"/>
      <c r="B59" s="379"/>
      <c r="C59" s="379"/>
      <c r="D59" s="379"/>
      <c r="E59" s="379"/>
      <c r="F59" s="379"/>
      <c r="G59" s="375"/>
      <c r="H59" s="375"/>
      <c r="I59" s="375"/>
      <c r="J59" s="375"/>
      <c r="K59" s="375"/>
      <c r="L59" s="375"/>
      <c r="M59" s="375"/>
      <c r="N59" s="375"/>
      <c r="O59" s="375"/>
      <c r="P59" s="375"/>
      <c r="Q59" s="375"/>
      <c r="R59" s="375"/>
      <c r="S59" s="375"/>
      <c r="T59" s="375"/>
      <c r="U59" s="6"/>
      <c r="V59" s="6"/>
      <c r="W59" s="10"/>
      <c r="X59" s="14">
        <f>X2+1</f>
        <v>3</v>
      </c>
      <c r="Y59" s="379"/>
      <c r="Z59" s="379"/>
      <c r="AA59" s="379"/>
      <c r="AB59" s="4"/>
    </row>
    <row r="60" spans="1:28" x14ac:dyDescent="0.2">
      <c r="A60" s="380" t="s">
        <v>3</v>
      </c>
      <c r="B60" s="381"/>
      <c r="C60" s="381"/>
      <c r="D60" s="381"/>
      <c r="E60" s="381"/>
      <c r="F60" s="381"/>
      <c r="G60" s="383" t="s">
        <v>5</v>
      </c>
      <c r="H60" s="383"/>
      <c r="I60" s="383"/>
      <c r="J60" s="383"/>
      <c r="K60" s="383"/>
      <c r="L60" s="383"/>
      <c r="M60" s="383"/>
      <c r="N60" s="383"/>
      <c r="O60" s="383"/>
      <c r="P60" s="383"/>
      <c r="Q60" s="383"/>
      <c r="R60" s="383"/>
      <c r="S60" s="383"/>
      <c r="T60" s="383"/>
      <c r="U60" s="5"/>
      <c r="V60" s="5"/>
      <c r="W60" s="2"/>
      <c r="X60" s="384" t="s">
        <v>4</v>
      </c>
      <c r="Y60" s="384"/>
      <c r="Z60" s="384"/>
      <c r="AA60" s="384"/>
      <c r="AB60" s="385"/>
    </row>
    <row r="61" spans="1:28" x14ac:dyDescent="0.2">
      <c r="A61" s="382"/>
      <c r="B61" s="379"/>
      <c r="C61" s="379"/>
      <c r="D61" s="379"/>
      <c r="E61" s="379"/>
      <c r="F61" s="379"/>
      <c r="G61" s="388" t="s">
        <v>6</v>
      </c>
      <c r="H61" s="388"/>
      <c r="I61" s="388"/>
      <c r="J61" s="388"/>
      <c r="K61" s="388"/>
      <c r="L61" s="388"/>
      <c r="M61" s="388"/>
      <c r="N61" s="388"/>
      <c r="O61" s="388"/>
      <c r="P61" s="388"/>
      <c r="Q61" s="388"/>
      <c r="R61" s="388"/>
      <c r="S61" s="388"/>
      <c r="T61" s="388"/>
      <c r="U61" s="7"/>
      <c r="V61" s="7"/>
      <c r="W61" s="3"/>
      <c r="X61" s="386"/>
      <c r="Y61" s="386"/>
      <c r="Z61" s="386"/>
      <c r="AA61" s="386"/>
      <c r="AB61" s="387"/>
    </row>
    <row r="63" spans="1:28" x14ac:dyDescent="0.2">
      <c r="B63" s="492" t="s">
        <v>6</v>
      </c>
      <c r="C63" s="492"/>
      <c r="D63" s="492"/>
      <c r="E63" s="492"/>
      <c r="F63" s="492"/>
    </row>
    <row r="64" spans="1:28" x14ac:dyDescent="0.2">
      <c r="B64" s="492"/>
      <c r="C64" s="492"/>
      <c r="D64" s="492"/>
      <c r="E64" s="492"/>
      <c r="F64" s="492"/>
    </row>
    <row r="67" spans="2:34" x14ac:dyDescent="0.2">
      <c r="B67" s="436" t="s">
        <v>49</v>
      </c>
      <c r="C67" s="436"/>
      <c r="D67" s="436"/>
      <c r="E67" s="436"/>
      <c r="R67" s="19" t="s">
        <v>23</v>
      </c>
    </row>
    <row r="68" spans="2:34" x14ac:dyDescent="0.2">
      <c r="B68" s="436"/>
      <c r="C68" s="436"/>
      <c r="D68" s="436"/>
      <c r="E68" s="436"/>
    </row>
    <row r="69" spans="2:34" x14ac:dyDescent="0.2">
      <c r="E69" s="521" t="s">
        <v>12</v>
      </c>
      <c r="F69" s="521"/>
    </row>
    <row r="70" spans="2:34" x14ac:dyDescent="0.2">
      <c r="D70" s="578" t="s">
        <v>15</v>
      </c>
      <c r="E70" s="579"/>
      <c r="F70" s="16"/>
      <c r="G70" s="582" t="s">
        <v>14</v>
      </c>
      <c r="H70" s="582"/>
      <c r="I70" s="17"/>
    </row>
    <row r="71" spans="2:34" x14ac:dyDescent="0.2">
      <c r="D71" s="578"/>
      <c r="E71" s="579"/>
      <c r="F71" s="16" t="s">
        <v>9</v>
      </c>
      <c r="G71" s="582"/>
      <c r="H71" s="582"/>
      <c r="I71" s="17"/>
    </row>
    <row r="72" spans="2:34" ht="13.5" thickBot="1" x14ac:dyDescent="0.25">
      <c r="D72" s="580"/>
      <c r="E72" s="581"/>
      <c r="F72" s="23"/>
      <c r="G72" s="25"/>
      <c r="H72" s="25"/>
      <c r="I72" s="25"/>
    </row>
    <row r="73" spans="2:34" x14ac:dyDescent="0.2">
      <c r="C73" t="s">
        <v>11</v>
      </c>
      <c r="F73" t="s">
        <v>13</v>
      </c>
      <c r="J73" t="s">
        <v>10</v>
      </c>
    </row>
    <row r="76" spans="2:34" x14ac:dyDescent="0.2">
      <c r="B76" t="s">
        <v>51</v>
      </c>
      <c r="C76" t="s">
        <v>16</v>
      </c>
    </row>
    <row r="77" spans="2:34" ht="6" customHeight="1" x14ac:dyDescent="0.2"/>
    <row r="78" spans="2:34" x14ac:dyDescent="0.2">
      <c r="B78" t="s">
        <v>52</v>
      </c>
      <c r="C78" t="s">
        <v>21</v>
      </c>
      <c r="AD78" s="294" t="s">
        <v>690</v>
      </c>
      <c r="AE78" s="294"/>
      <c r="AF78" s="294"/>
      <c r="AG78" s="294"/>
      <c r="AH78" s="294"/>
    </row>
    <row r="79" spans="2:34" ht="6" customHeight="1" x14ac:dyDescent="0.2"/>
    <row r="80" spans="2:34" x14ac:dyDescent="0.2">
      <c r="B80" t="s">
        <v>53</v>
      </c>
      <c r="C80" t="s">
        <v>17</v>
      </c>
    </row>
    <row r="81" spans="2:27" ht="6" customHeight="1" x14ac:dyDescent="0.2"/>
    <row r="82" spans="2:27" x14ac:dyDescent="0.2">
      <c r="C82" t="s">
        <v>18</v>
      </c>
    </row>
    <row r="84" spans="2:27" x14ac:dyDescent="0.2">
      <c r="B84" s="107" t="str">
        <f>B67&amp;" - arealberegning"</f>
        <v>Trekanter - arealberegning</v>
      </c>
      <c r="C84" s="84"/>
      <c r="D84" s="94"/>
      <c r="E84" s="94"/>
      <c r="F84" s="94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 t="s">
        <v>54</v>
      </c>
      <c r="W84" s="85"/>
      <c r="X84" s="85"/>
      <c r="Y84" s="85"/>
      <c r="Z84" s="85"/>
      <c r="AA84" s="82">
        <v>3</v>
      </c>
    </row>
    <row r="85" spans="2:27" x14ac:dyDescent="0.2">
      <c r="B85" s="34" t="s">
        <v>51</v>
      </c>
      <c r="C85" s="59" t="s">
        <v>9</v>
      </c>
      <c r="D85" s="473">
        <v>2</v>
      </c>
      <c r="E85" s="473"/>
      <c r="F85" s="473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6"/>
    </row>
    <row r="86" spans="2:27" x14ac:dyDescent="0.2">
      <c r="B86" s="37"/>
      <c r="C86" s="60" t="s">
        <v>13</v>
      </c>
      <c r="D86" s="520">
        <v>8</v>
      </c>
      <c r="E86" s="520"/>
      <c r="F86" s="520"/>
      <c r="G86" s="3"/>
      <c r="H86" s="3"/>
      <c r="I86" s="3"/>
      <c r="J86" s="3" t="str">
        <f>"A  = ½∙"&amp;D86&amp;"∙"&amp;D85&amp;" = "&amp;0.5*D86*D85</f>
        <v>A  = ½∙8∙2 = 8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8"/>
    </row>
    <row r="87" spans="2:27" ht="6" customHeight="1" x14ac:dyDescent="0.2">
      <c r="B87" s="2"/>
      <c r="C87" s="61"/>
      <c r="D87" s="61"/>
      <c r="E87" s="61"/>
      <c r="F87" s="6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">
      <c r="B88" s="34" t="s">
        <v>52</v>
      </c>
      <c r="C88" s="59" t="s">
        <v>15</v>
      </c>
      <c r="D88" s="473">
        <v>4</v>
      </c>
      <c r="E88" s="473"/>
      <c r="F88" s="473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6"/>
    </row>
    <row r="89" spans="2:27" x14ac:dyDescent="0.2">
      <c r="B89" s="39"/>
      <c r="C89" s="61" t="s">
        <v>14</v>
      </c>
      <c r="D89" s="447">
        <v>3</v>
      </c>
      <c r="E89" s="447"/>
      <c r="F89" s="44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51"/>
      <c r="AA89" s="40"/>
    </row>
    <row r="90" spans="2:27" x14ac:dyDescent="0.2">
      <c r="B90" s="37"/>
      <c r="C90" s="60" t="s">
        <v>12</v>
      </c>
      <c r="D90" s="520">
        <v>45</v>
      </c>
      <c r="E90" s="520"/>
      <c r="F90" s="520"/>
      <c r="G90" s="41" t="s">
        <v>50</v>
      </c>
      <c r="H90" s="3"/>
      <c r="I90" s="3"/>
      <c r="J90" s="3" t="str">
        <f>"A  = ½∙"&amp;D88&amp;"∙"&amp;D89&amp;"∙sin("&amp;D90&amp;") = "&amp;ROUND(0.5*D88*D89*SIN(D90/180*PI()),AA84)</f>
        <v>A  = ½∙4∙3∙sin(45) = 4,243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8"/>
    </row>
    <row r="91" spans="2:27" ht="6" customHeight="1" x14ac:dyDescent="0.2">
      <c r="C91" s="19"/>
      <c r="D91" s="19"/>
      <c r="E91" s="19"/>
      <c r="F91" s="19"/>
    </row>
    <row r="92" spans="2:27" x14ac:dyDescent="0.2">
      <c r="B92" s="34" t="s">
        <v>53</v>
      </c>
      <c r="C92" s="59" t="s">
        <v>15</v>
      </c>
      <c r="D92" s="473">
        <v>3</v>
      </c>
      <c r="E92" s="473"/>
      <c r="F92" s="473"/>
      <c r="G92" s="35"/>
      <c r="H92" s="35"/>
      <c r="I92" s="35"/>
      <c r="J92" s="42"/>
      <c r="K92" s="42"/>
      <c r="L92" s="42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6"/>
    </row>
    <row r="93" spans="2:27" x14ac:dyDescent="0.2">
      <c r="B93" s="39"/>
      <c r="C93" s="61" t="s">
        <v>14</v>
      </c>
      <c r="D93" s="447">
        <v>4</v>
      </c>
      <c r="E93" s="447"/>
      <c r="F93" s="447"/>
      <c r="G93" s="2"/>
      <c r="H93" s="2"/>
      <c r="I93" s="43">
        <f>0.5*(D92+D93+D94)</f>
        <v>6</v>
      </c>
      <c r="J93" s="2" t="str">
        <f>"s = ½("&amp;D92&amp;" + "&amp;D93&amp;" + "&amp;D94&amp;") = "&amp;0.5*(D92+D93+D94)</f>
        <v>s = ½(3 + 4 + 5) = 6</v>
      </c>
      <c r="K93" s="2"/>
      <c r="L93" s="2"/>
      <c r="M93" s="2"/>
      <c r="N93" s="2"/>
      <c r="O93" s="2"/>
      <c r="P93" s="2"/>
      <c r="Q93" s="2"/>
      <c r="R93" s="2">
        <f>I93</f>
        <v>6</v>
      </c>
      <c r="S93" s="2"/>
      <c r="T93" s="2"/>
      <c r="U93" s="2"/>
      <c r="V93" s="2"/>
      <c r="W93" s="2"/>
      <c r="X93" s="2"/>
      <c r="Y93" s="2"/>
      <c r="AA93" s="40"/>
    </row>
    <row r="94" spans="2:27" x14ac:dyDescent="0.2">
      <c r="B94" s="37"/>
      <c r="C94" s="60" t="s">
        <v>13</v>
      </c>
      <c r="D94" s="520">
        <v>5</v>
      </c>
      <c r="E94" s="520"/>
      <c r="F94" s="520"/>
      <c r="G94" s="41"/>
      <c r="H94" s="3"/>
      <c r="I94" s="3"/>
      <c r="J94" s="3" t="str">
        <f>"A  = √"&amp;I93&amp;"("&amp;I93&amp;"-"&amp;D93&amp;")("&amp;I93&amp;"-"&amp;D93&amp;")("&amp;I93&amp;"-"&amp;D94&amp;") = "&amp;ROUND((I93*(I93-D92)*(I93-D93)*(I93-D94))^0.5,AA84)</f>
        <v>A  = √6(6-4)(6-4)(6-5) = 6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8"/>
    </row>
    <row r="97" spans="2:23" ht="18" x14ac:dyDescent="0.25">
      <c r="B97" s="44" t="s">
        <v>55</v>
      </c>
      <c r="P97" s="587">
        <v>16.8</v>
      </c>
      <c r="Q97" s="587"/>
    </row>
    <row r="98" spans="2:23" x14ac:dyDescent="0.2">
      <c r="P98" s="587"/>
      <c r="Q98" s="587"/>
    </row>
    <row r="99" spans="2:23" x14ac:dyDescent="0.2">
      <c r="V99" s="588">
        <v>18.399999999999999</v>
      </c>
      <c r="W99" s="588"/>
    </row>
    <row r="100" spans="2:23" x14ac:dyDescent="0.2">
      <c r="P100" t="s">
        <v>51</v>
      </c>
      <c r="R100" s="590">
        <v>18</v>
      </c>
      <c r="S100" s="590"/>
      <c r="V100" s="588"/>
      <c r="W100" s="588"/>
    </row>
    <row r="101" spans="2:23" x14ac:dyDescent="0.2">
      <c r="N101" s="594">
        <v>14</v>
      </c>
      <c r="O101" s="594"/>
      <c r="R101" s="590"/>
      <c r="S101" s="590"/>
      <c r="U101" t="s">
        <v>52</v>
      </c>
    </row>
    <row r="102" spans="2:23" x14ac:dyDescent="0.2">
      <c r="N102" s="594"/>
      <c r="O102" s="594"/>
    </row>
    <row r="103" spans="2:23" x14ac:dyDescent="0.2">
      <c r="T103" s="589">
        <v>25.6</v>
      </c>
      <c r="U103" s="589"/>
    </row>
    <row r="104" spans="2:23" ht="12.75" customHeight="1" x14ac:dyDescent="0.2">
      <c r="T104" s="589"/>
      <c r="U104" s="589"/>
    </row>
    <row r="106" spans="2:23" x14ac:dyDescent="0.2">
      <c r="B106" s="107" t="s">
        <v>248</v>
      </c>
      <c r="C106" s="84"/>
      <c r="D106" s="94"/>
      <c r="E106" s="94"/>
      <c r="F106" s="94"/>
      <c r="G106" s="85"/>
      <c r="H106" s="85"/>
      <c r="I106" s="85" t="s">
        <v>54</v>
      </c>
      <c r="J106" s="85"/>
      <c r="K106" s="85"/>
      <c r="L106" s="85"/>
      <c r="M106" s="85"/>
      <c r="N106" s="82">
        <v>3</v>
      </c>
    </row>
    <row r="107" spans="2:23" x14ac:dyDescent="0.2">
      <c r="B107" s="45"/>
      <c r="C107" s="592" t="s">
        <v>15</v>
      </c>
      <c r="D107" s="592"/>
      <c r="E107" s="592" t="s">
        <v>14</v>
      </c>
      <c r="F107" s="592"/>
      <c r="G107" s="592" t="s">
        <v>13</v>
      </c>
      <c r="H107" s="592"/>
      <c r="I107" s="410" t="s">
        <v>56</v>
      </c>
      <c r="J107" s="410"/>
      <c r="K107" s="410" t="s">
        <v>10</v>
      </c>
      <c r="L107" s="410"/>
      <c r="M107" s="410"/>
      <c r="N107" s="591"/>
      <c r="Q107" s="2"/>
      <c r="R107" s="2"/>
      <c r="S107" s="2"/>
      <c r="T107" s="2"/>
      <c r="U107" s="2"/>
    </row>
    <row r="108" spans="2:23" x14ac:dyDescent="0.2">
      <c r="B108" s="46" t="s">
        <v>51</v>
      </c>
      <c r="C108" s="586">
        <v>14</v>
      </c>
      <c r="D108" s="586"/>
      <c r="E108" s="586">
        <v>16.8</v>
      </c>
      <c r="F108" s="586"/>
      <c r="G108" s="586">
        <v>18</v>
      </c>
      <c r="H108" s="586"/>
      <c r="I108" s="356">
        <f t="shared" ref="I108:I114" si="0">0.5*(C108+E108+G108)</f>
        <v>24.4</v>
      </c>
      <c r="J108" s="356"/>
      <c r="K108" s="356">
        <f>ROUND((I108*(I108-C108)*(I108-E108)*(I108-G108))^0.5,$N$106)</f>
        <v>111.099</v>
      </c>
      <c r="L108" s="356"/>
      <c r="M108" s="356"/>
      <c r="N108" s="593"/>
    </row>
    <row r="109" spans="2:23" x14ac:dyDescent="0.2">
      <c r="B109" s="46" t="s">
        <v>52</v>
      </c>
      <c r="C109" s="586">
        <v>18.399999999999999</v>
      </c>
      <c r="D109" s="586"/>
      <c r="E109" s="586">
        <v>25.6</v>
      </c>
      <c r="F109" s="586"/>
      <c r="G109" s="586">
        <v>18</v>
      </c>
      <c r="H109" s="586"/>
      <c r="I109" s="356">
        <f t="shared" si="0"/>
        <v>31</v>
      </c>
      <c r="J109" s="356"/>
      <c r="K109" s="356">
        <f t="shared" ref="K109:K114" si="1">ROUND((I109*(I109-C109)*(I109-E109)*(I109-G109))^0.5,$N$106)</f>
        <v>165.59</v>
      </c>
      <c r="L109" s="356"/>
      <c r="M109" s="356"/>
      <c r="N109" s="593"/>
    </row>
    <row r="110" spans="2:23" x14ac:dyDescent="0.2">
      <c r="B110" s="46" t="s">
        <v>53</v>
      </c>
      <c r="C110" s="586"/>
      <c r="D110" s="586"/>
      <c r="E110" s="586"/>
      <c r="F110" s="586"/>
      <c r="G110" s="586"/>
      <c r="H110" s="586"/>
      <c r="I110" s="356">
        <f t="shared" si="0"/>
        <v>0</v>
      </c>
      <c r="J110" s="356"/>
      <c r="K110" s="356">
        <f t="shared" si="1"/>
        <v>0</v>
      </c>
      <c r="L110" s="356"/>
      <c r="M110" s="356"/>
      <c r="N110" s="593"/>
    </row>
    <row r="111" spans="2:23" x14ac:dyDescent="0.2">
      <c r="B111" s="46" t="s">
        <v>57</v>
      </c>
      <c r="C111" s="586"/>
      <c r="D111" s="586"/>
      <c r="E111" s="586"/>
      <c r="F111" s="586"/>
      <c r="G111" s="586"/>
      <c r="H111" s="586"/>
      <c r="I111" s="356">
        <f t="shared" si="0"/>
        <v>0</v>
      </c>
      <c r="J111" s="356"/>
      <c r="K111" s="356">
        <f t="shared" si="1"/>
        <v>0</v>
      </c>
      <c r="L111" s="356"/>
      <c r="M111" s="356"/>
      <c r="N111" s="593"/>
    </row>
    <row r="112" spans="2:23" x14ac:dyDescent="0.2">
      <c r="B112" s="46" t="s">
        <v>39</v>
      </c>
      <c r="C112" s="586"/>
      <c r="D112" s="586"/>
      <c r="E112" s="586"/>
      <c r="F112" s="586"/>
      <c r="G112" s="586"/>
      <c r="H112" s="586"/>
      <c r="I112" s="356">
        <f t="shared" si="0"/>
        <v>0</v>
      </c>
      <c r="J112" s="356"/>
      <c r="K112" s="356">
        <f t="shared" si="1"/>
        <v>0</v>
      </c>
      <c r="L112" s="356"/>
      <c r="M112" s="356"/>
      <c r="N112" s="593"/>
    </row>
    <row r="113" spans="1:28" x14ac:dyDescent="0.2">
      <c r="B113" s="46" t="s">
        <v>58</v>
      </c>
      <c r="C113" s="586"/>
      <c r="D113" s="586"/>
      <c r="E113" s="586"/>
      <c r="F113" s="586"/>
      <c r="G113" s="586"/>
      <c r="H113" s="586"/>
      <c r="I113" s="356">
        <f t="shared" si="0"/>
        <v>0</v>
      </c>
      <c r="J113" s="356"/>
      <c r="K113" s="356">
        <f t="shared" si="1"/>
        <v>0</v>
      </c>
      <c r="L113" s="356"/>
      <c r="M113" s="356"/>
      <c r="N113" s="593"/>
    </row>
    <row r="114" spans="1:28" x14ac:dyDescent="0.2">
      <c r="B114" s="47" t="s">
        <v>59</v>
      </c>
      <c r="C114" s="610"/>
      <c r="D114" s="610"/>
      <c r="E114" s="610"/>
      <c r="F114" s="610"/>
      <c r="G114" s="610"/>
      <c r="H114" s="610"/>
      <c r="I114" s="601">
        <f t="shared" si="0"/>
        <v>0</v>
      </c>
      <c r="J114" s="601"/>
      <c r="K114" s="356">
        <f t="shared" si="1"/>
        <v>0</v>
      </c>
      <c r="L114" s="356"/>
      <c r="M114" s="356"/>
      <c r="N114" s="593"/>
    </row>
    <row r="115" spans="1:28" x14ac:dyDescent="0.2">
      <c r="B115" s="48" t="s">
        <v>60</v>
      </c>
      <c r="C115" s="49"/>
      <c r="D115" s="49"/>
      <c r="E115" s="49"/>
      <c r="F115" s="49"/>
      <c r="G115" s="49"/>
      <c r="H115" s="49"/>
      <c r="I115" s="49"/>
      <c r="J115" s="49"/>
      <c r="K115" s="543">
        <f>SUM(K108:N114)</f>
        <v>276.68900000000002</v>
      </c>
      <c r="L115" s="543"/>
      <c r="M115" s="543"/>
      <c r="N115" s="611"/>
    </row>
    <row r="119" spans="1:28" x14ac:dyDescent="0.2">
      <c r="A119" s="423" t="s">
        <v>0</v>
      </c>
      <c r="B119" s="378"/>
      <c r="C119" s="378"/>
      <c r="D119" s="378"/>
      <c r="E119" s="378"/>
      <c r="F119" s="378"/>
      <c r="G119" s="374" t="s">
        <v>1</v>
      </c>
      <c r="H119" s="374"/>
      <c r="I119" s="374"/>
      <c r="J119" s="374"/>
      <c r="K119" s="374"/>
      <c r="L119" s="374"/>
      <c r="M119" s="374"/>
      <c r="N119" s="374"/>
      <c r="O119" s="374"/>
      <c r="P119" s="374"/>
      <c r="Q119" s="374"/>
      <c r="R119" s="374"/>
      <c r="S119" s="374"/>
      <c r="T119" s="374"/>
      <c r="U119" s="8"/>
      <c r="V119" s="8"/>
      <c r="W119" s="9"/>
      <c r="X119" s="9"/>
      <c r="Y119" s="378" t="s">
        <v>2</v>
      </c>
      <c r="Z119" s="378"/>
      <c r="AA119" s="378"/>
      <c r="AB119" s="1"/>
    </row>
    <row r="120" spans="1:28" x14ac:dyDescent="0.2">
      <c r="A120" s="382"/>
      <c r="B120" s="379"/>
      <c r="C120" s="379"/>
      <c r="D120" s="379"/>
      <c r="E120" s="379"/>
      <c r="F120" s="379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6"/>
      <c r="V120" s="6"/>
      <c r="W120" s="10"/>
      <c r="X120" s="14">
        <f>X59+1</f>
        <v>4</v>
      </c>
      <c r="Y120" s="379"/>
      <c r="Z120" s="379"/>
      <c r="AA120" s="379"/>
      <c r="AB120" s="4"/>
    </row>
    <row r="121" spans="1:28" x14ac:dyDescent="0.2">
      <c r="A121" s="380" t="s">
        <v>3</v>
      </c>
      <c r="B121" s="381"/>
      <c r="C121" s="381"/>
      <c r="D121" s="381"/>
      <c r="E121" s="381"/>
      <c r="F121" s="381"/>
      <c r="G121" s="383" t="s">
        <v>5</v>
      </c>
      <c r="H121" s="383"/>
      <c r="I121" s="383"/>
      <c r="J121" s="383"/>
      <c r="K121" s="383"/>
      <c r="L121" s="383"/>
      <c r="M121" s="383"/>
      <c r="N121" s="383"/>
      <c r="O121" s="383"/>
      <c r="P121" s="383"/>
      <c r="Q121" s="383"/>
      <c r="R121" s="383"/>
      <c r="S121" s="383"/>
      <c r="T121" s="383"/>
      <c r="U121" s="5"/>
      <c r="V121" s="5"/>
      <c r="W121" s="2"/>
      <c r="X121" s="384" t="s">
        <v>4</v>
      </c>
      <c r="Y121" s="384"/>
      <c r="Z121" s="384"/>
      <c r="AA121" s="384"/>
      <c r="AB121" s="385"/>
    </row>
    <row r="122" spans="1:28" x14ac:dyDescent="0.2">
      <c r="A122" s="382"/>
      <c r="B122" s="379"/>
      <c r="C122" s="379"/>
      <c r="D122" s="379"/>
      <c r="E122" s="379"/>
      <c r="F122" s="379"/>
      <c r="G122" s="388" t="s">
        <v>6</v>
      </c>
      <c r="H122" s="388"/>
      <c r="I122" s="388"/>
      <c r="J122" s="388"/>
      <c r="K122" s="388"/>
      <c r="L122" s="388"/>
      <c r="M122" s="388"/>
      <c r="N122" s="388"/>
      <c r="O122" s="388"/>
      <c r="P122" s="388"/>
      <c r="Q122" s="388"/>
      <c r="R122" s="388"/>
      <c r="S122" s="388"/>
      <c r="T122" s="388"/>
      <c r="U122" s="7"/>
      <c r="V122" s="7"/>
      <c r="W122" s="3"/>
      <c r="X122" s="386"/>
      <c r="Y122" s="386"/>
      <c r="Z122" s="386"/>
      <c r="AA122" s="386"/>
      <c r="AB122" s="387"/>
    </row>
    <row r="124" spans="1:28" x14ac:dyDescent="0.2">
      <c r="B124" s="19" t="s">
        <v>19</v>
      </c>
      <c r="R124" s="19" t="s">
        <v>23</v>
      </c>
    </row>
    <row r="126" spans="1:28" ht="12.75" customHeight="1" x14ac:dyDescent="0.2">
      <c r="C126" t="s">
        <v>10</v>
      </c>
    </row>
    <row r="127" spans="1:28" ht="12.75" customHeight="1" x14ac:dyDescent="0.2">
      <c r="D127" s="20"/>
      <c r="E127" s="582" t="s">
        <v>13</v>
      </c>
      <c r="F127" s="582"/>
      <c r="G127" s="582"/>
    </row>
    <row r="128" spans="1:28" x14ac:dyDescent="0.2">
      <c r="C128" s="18" t="s">
        <v>14</v>
      </c>
      <c r="D128" s="20"/>
      <c r="E128" s="582"/>
      <c r="F128" s="582"/>
      <c r="G128" s="582"/>
    </row>
    <row r="129" spans="2:27" ht="13.5" thickBot="1" x14ac:dyDescent="0.25">
      <c r="D129" s="21"/>
      <c r="E129" s="22"/>
      <c r="F129" s="22"/>
      <c r="G129" s="22"/>
    </row>
    <row r="130" spans="2:27" x14ac:dyDescent="0.2">
      <c r="C130" t="s">
        <v>12</v>
      </c>
      <c r="F130" t="s">
        <v>15</v>
      </c>
      <c r="H130" t="s">
        <v>11</v>
      </c>
    </row>
    <row r="132" spans="2:27" x14ac:dyDescent="0.2">
      <c r="C132" t="s">
        <v>20</v>
      </c>
    </row>
    <row r="134" spans="2:27" ht="14.25" x14ac:dyDescent="0.2">
      <c r="C134" t="s">
        <v>22</v>
      </c>
    </row>
    <row r="140" spans="2:27" x14ac:dyDescent="0.2">
      <c r="B140" s="107" t="str">
        <f>B124&amp;" - arealberegning"</f>
        <v>Retvinklet trekant - arealberegning</v>
      </c>
      <c r="C140" s="84"/>
      <c r="D140" s="94"/>
      <c r="E140" s="94"/>
      <c r="F140" s="94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108"/>
    </row>
    <row r="141" spans="2:27" x14ac:dyDescent="0.2">
      <c r="B141" s="34"/>
      <c r="C141" s="59" t="s">
        <v>15</v>
      </c>
      <c r="D141" s="473">
        <v>3</v>
      </c>
      <c r="E141" s="473"/>
      <c r="F141" s="473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6"/>
    </row>
    <row r="142" spans="2:27" x14ac:dyDescent="0.2">
      <c r="B142" s="37"/>
      <c r="C142" s="60" t="s">
        <v>14</v>
      </c>
      <c r="D142" s="520">
        <v>5</v>
      </c>
      <c r="E142" s="520"/>
      <c r="F142" s="520"/>
      <c r="G142" s="3"/>
      <c r="H142" s="3"/>
      <c r="I142" s="3"/>
      <c r="J142" s="3" t="str">
        <f>"A  = ½∙"&amp;D142&amp;"∙"&amp;D141&amp;" = "&amp;0.5*D142*D141</f>
        <v>A  = ½∙5∙3 = 7,5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8"/>
    </row>
    <row r="145" spans="2:27" x14ac:dyDescent="0.2">
      <c r="B145" s="107" t="s">
        <v>247</v>
      </c>
      <c r="C145" s="84"/>
      <c r="D145" s="94"/>
      <c r="E145" s="94"/>
      <c r="F145" s="94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 t="s">
        <v>54</v>
      </c>
      <c r="W145" s="85"/>
      <c r="X145" s="85"/>
      <c r="Y145" s="85"/>
      <c r="Z145" s="85"/>
      <c r="AA145" s="82">
        <v>2</v>
      </c>
    </row>
    <row r="146" spans="2:27" x14ac:dyDescent="0.2">
      <c r="B146" s="34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W146" s="35"/>
      <c r="X146" s="35"/>
      <c r="Y146" s="35"/>
      <c r="Z146" s="35"/>
      <c r="AA146" s="36"/>
    </row>
    <row r="147" spans="2:27" x14ac:dyDescent="0.2">
      <c r="B147" s="39"/>
      <c r="C147" s="61" t="s">
        <v>15</v>
      </c>
      <c r="D147" s="447">
        <v>3.5</v>
      </c>
      <c r="E147" s="447"/>
      <c r="F147" s="447"/>
      <c r="G147" s="2"/>
      <c r="H147" s="2" t="str">
        <f>IF(D148*D149,"a² = c² - b² = "&amp;D149&amp;"² - "&amp;D148&amp;"² = "&amp;D149^2-D148^2,"")</f>
        <v/>
      </c>
      <c r="I147" s="2"/>
      <c r="J147" s="2"/>
      <c r="K147" s="2"/>
      <c r="L147" s="2"/>
      <c r="M147" s="2"/>
      <c r="N147" s="2"/>
      <c r="O147" s="2"/>
      <c r="P147" s="2"/>
      <c r="Q147" s="2" t="str">
        <f>IF(D149*D148,"a = "&amp;ROUND((D149^2-D148^2)^0.5,AA145),"")</f>
        <v/>
      </c>
      <c r="R147" s="2"/>
      <c r="S147" s="2"/>
      <c r="T147" s="2"/>
      <c r="U147" s="2"/>
      <c r="V147" s="2"/>
      <c r="W147" s="2"/>
      <c r="X147" s="2"/>
      <c r="Y147" s="2"/>
      <c r="Z147" s="2"/>
      <c r="AA147" s="40"/>
    </row>
    <row r="148" spans="2:27" x14ac:dyDescent="0.2">
      <c r="B148" s="39"/>
      <c r="C148" s="61" t="s">
        <v>14</v>
      </c>
      <c r="D148" s="447">
        <v>3</v>
      </c>
      <c r="E148" s="447"/>
      <c r="F148" s="447"/>
      <c r="G148" s="2"/>
      <c r="H148" s="2" t="str">
        <f>IF(D149*D147,"b² = c² - a² = "&amp;D149&amp;"² - "&amp;D147&amp;"² = "&amp;D149^2-D147^2,"")</f>
        <v/>
      </c>
      <c r="I148" s="2"/>
      <c r="J148" s="2"/>
      <c r="K148" s="2"/>
      <c r="L148" s="2"/>
      <c r="M148" s="2"/>
      <c r="N148" s="2"/>
      <c r="O148" s="2"/>
      <c r="P148" s="2"/>
      <c r="Q148" s="2" t="str">
        <f>IF(D149*D147,"b = "&amp;ROUND((D149^2-D147^2)^0.5,AA145),"")</f>
        <v/>
      </c>
      <c r="R148" s="2"/>
      <c r="S148" s="2"/>
      <c r="T148" s="2"/>
      <c r="U148" s="2"/>
      <c r="V148" s="2"/>
      <c r="W148" s="2"/>
      <c r="X148" s="2"/>
      <c r="Y148" s="2"/>
      <c r="Z148" s="2"/>
      <c r="AA148" s="40"/>
    </row>
    <row r="149" spans="2:27" x14ac:dyDescent="0.2">
      <c r="B149" s="37"/>
      <c r="C149" s="60" t="s">
        <v>13</v>
      </c>
      <c r="D149" s="520"/>
      <c r="E149" s="520"/>
      <c r="F149" s="520"/>
      <c r="G149" s="3"/>
      <c r="H149" s="3" t="str">
        <f>IF(D147*D148,"c² = a² + b² = "&amp;D147&amp;"² + "&amp;D148&amp;"² = "&amp;D147^2+D148^2,"")</f>
        <v>c² = a² + b² = 3,5² + 3² = 21,25</v>
      </c>
      <c r="I149" s="3"/>
      <c r="J149" s="3"/>
      <c r="K149" s="3"/>
      <c r="L149" s="3"/>
      <c r="M149" s="3"/>
      <c r="N149" s="3"/>
      <c r="O149" s="3"/>
      <c r="P149" s="3"/>
      <c r="Q149" s="3" t="str">
        <f>IF(D147*D148,"c = "&amp;ROUND((D147^2+D148^2)^0.5,AA145),"")</f>
        <v>c = 4,61</v>
      </c>
      <c r="R149" s="3"/>
      <c r="S149" s="3"/>
      <c r="T149" s="3"/>
      <c r="U149" s="3"/>
      <c r="V149" s="3"/>
      <c r="W149" s="3"/>
      <c r="X149" s="3"/>
      <c r="Y149" s="3"/>
      <c r="Z149" s="3"/>
      <c r="AA149" s="38"/>
    </row>
    <row r="156" spans="2:27" x14ac:dyDescent="0.2">
      <c r="B156" s="19" t="s">
        <v>24</v>
      </c>
    </row>
    <row r="158" spans="2:27" x14ac:dyDescent="0.2">
      <c r="D158" s="20"/>
      <c r="E158" s="582">
        <v>5</v>
      </c>
      <c r="F158" s="582"/>
      <c r="G158" s="582"/>
    </row>
    <row r="159" spans="2:27" x14ac:dyDescent="0.2">
      <c r="C159" s="18">
        <v>3</v>
      </c>
      <c r="D159" s="20"/>
      <c r="E159" s="582"/>
      <c r="F159" s="582"/>
      <c r="G159" s="582"/>
    </row>
    <row r="160" spans="2:27" ht="13.5" thickBot="1" x14ac:dyDescent="0.25">
      <c r="D160" s="21"/>
      <c r="E160" s="22"/>
      <c r="F160" s="22"/>
      <c r="G160" s="22"/>
    </row>
    <row r="161" spans="2:6" x14ac:dyDescent="0.2">
      <c r="E161" s="595">
        <v>4</v>
      </c>
      <c r="F161" s="595"/>
    </row>
    <row r="168" spans="2:6" x14ac:dyDescent="0.2">
      <c r="B168" t="s">
        <v>25</v>
      </c>
    </row>
    <row r="169" spans="2:6" x14ac:dyDescent="0.2">
      <c r="B169" t="s">
        <v>26</v>
      </c>
    </row>
    <row r="170" spans="2:6" x14ac:dyDescent="0.2">
      <c r="B170" t="s">
        <v>27</v>
      </c>
    </row>
    <row r="171" spans="2:6" x14ac:dyDescent="0.2">
      <c r="B171" t="s">
        <v>28</v>
      </c>
    </row>
    <row r="178" spans="1:28" x14ac:dyDescent="0.2">
      <c r="A178" s="423" t="s">
        <v>0</v>
      </c>
      <c r="B178" s="378"/>
      <c r="C178" s="378"/>
      <c r="D178" s="378"/>
      <c r="E178" s="378"/>
      <c r="F178" s="378"/>
      <c r="G178" s="374" t="s">
        <v>1</v>
      </c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8"/>
      <c r="V178" s="8"/>
      <c r="W178" s="9"/>
      <c r="X178" s="9"/>
      <c r="Y178" s="378" t="s">
        <v>2</v>
      </c>
      <c r="Z178" s="378"/>
      <c r="AA178" s="378"/>
      <c r="AB178" s="1"/>
    </row>
    <row r="179" spans="1:28" x14ac:dyDescent="0.2">
      <c r="A179" s="382"/>
      <c r="B179" s="379"/>
      <c r="C179" s="379"/>
      <c r="D179" s="379"/>
      <c r="E179" s="379"/>
      <c r="F179" s="379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6"/>
      <c r="V179" s="6"/>
      <c r="W179" s="10"/>
      <c r="X179" s="14">
        <f>X120+1</f>
        <v>5</v>
      </c>
      <c r="Y179" s="379"/>
      <c r="Z179" s="379"/>
      <c r="AA179" s="379"/>
      <c r="AB179" s="4"/>
    </row>
    <row r="180" spans="1:28" x14ac:dyDescent="0.2">
      <c r="A180" s="380" t="s">
        <v>3</v>
      </c>
      <c r="B180" s="381"/>
      <c r="C180" s="381"/>
      <c r="D180" s="381"/>
      <c r="E180" s="381"/>
      <c r="F180" s="381"/>
      <c r="G180" s="383" t="s">
        <v>5</v>
      </c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5"/>
      <c r="V180" s="5"/>
      <c r="W180" s="2"/>
      <c r="X180" s="384" t="s">
        <v>4</v>
      </c>
      <c r="Y180" s="384"/>
      <c r="Z180" s="384"/>
      <c r="AA180" s="384"/>
      <c r="AB180" s="385"/>
    </row>
    <row r="181" spans="1:28" x14ac:dyDescent="0.2">
      <c r="A181" s="382"/>
      <c r="B181" s="379"/>
      <c r="C181" s="379"/>
      <c r="D181" s="379"/>
      <c r="E181" s="379"/>
      <c r="F181" s="379"/>
      <c r="G181" s="388" t="s">
        <v>6</v>
      </c>
      <c r="H181" s="388"/>
      <c r="I181" s="388"/>
      <c r="J181" s="388"/>
      <c r="K181" s="388"/>
      <c r="L181" s="388"/>
      <c r="M181" s="388"/>
      <c r="N181" s="388"/>
      <c r="O181" s="388"/>
      <c r="P181" s="388"/>
      <c r="Q181" s="388"/>
      <c r="R181" s="388"/>
      <c r="S181" s="388"/>
      <c r="T181" s="388"/>
      <c r="U181" s="7"/>
      <c r="V181" s="7"/>
      <c r="W181" s="3"/>
      <c r="X181" s="386"/>
      <c r="Y181" s="386"/>
      <c r="Z181" s="386"/>
      <c r="AA181" s="386"/>
      <c r="AB181" s="387"/>
    </row>
    <row r="183" spans="1:28" x14ac:dyDescent="0.2">
      <c r="B183" s="436" t="s">
        <v>29</v>
      </c>
      <c r="C183" s="436"/>
      <c r="D183" s="436"/>
    </row>
    <row r="184" spans="1:28" x14ac:dyDescent="0.2">
      <c r="B184" s="436"/>
      <c r="C184" s="436"/>
      <c r="D184" s="436"/>
    </row>
    <row r="185" spans="1:28" ht="12.75" customHeight="1" x14ac:dyDescent="0.25">
      <c r="B185" s="15"/>
      <c r="C185" s="15"/>
      <c r="D185" s="15"/>
    </row>
    <row r="186" spans="1:28" ht="14.1" customHeight="1" x14ac:dyDescent="0.25">
      <c r="B186" s="15"/>
      <c r="C186" s="15"/>
      <c r="D186" s="12" t="s">
        <v>31</v>
      </c>
      <c r="I186" s="12" t="s">
        <v>33</v>
      </c>
      <c r="S186" s="12" t="s">
        <v>32</v>
      </c>
    </row>
    <row r="187" spans="1:28" ht="13.5" thickBot="1" x14ac:dyDescent="0.25">
      <c r="L187" t="s">
        <v>15</v>
      </c>
    </row>
    <row r="188" spans="1:28" x14ac:dyDescent="0.2">
      <c r="D188" s="27"/>
      <c r="E188" s="28"/>
      <c r="F188" s="28"/>
      <c r="G188" s="29"/>
      <c r="I188" s="565"/>
      <c r="J188" s="565"/>
      <c r="K188" s="28"/>
      <c r="L188" s="28"/>
      <c r="M188" s="28"/>
      <c r="N188" s="567"/>
      <c r="O188" s="567"/>
      <c r="P188" s="567"/>
      <c r="Q188" s="31"/>
      <c r="S188" s="596" t="s">
        <v>35</v>
      </c>
      <c r="T188" s="597"/>
      <c r="U188" s="28"/>
      <c r="V188" s="28"/>
      <c r="W188" s="28"/>
      <c r="X188" s="28"/>
      <c r="Y188" s="599" t="s">
        <v>37</v>
      </c>
      <c r="Z188" s="599"/>
      <c r="AA188" s="31"/>
    </row>
    <row r="189" spans="1:28" x14ac:dyDescent="0.2">
      <c r="C189" t="s">
        <v>14</v>
      </c>
      <c r="D189" s="20"/>
      <c r="E189" s="2"/>
      <c r="F189" s="2"/>
      <c r="G189" s="30"/>
      <c r="I189" s="565"/>
      <c r="J189" s="565"/>
      <c r="K189" s="2"/>
      <c r="L189" s="2"/>
      <c r="M189" s="2"/>
      <c r="N189" s="567"/>
      <c r="O189" s="567"/>
      <c r="P189" s="567"/>
      <c r="Q189" s="58" t="s">
        <v>9</v>
      </c>
      <c r="S189" s="597"/>
      <c r="T189" s="597"/>
      <c r="U189" s="2"/>
      <c r="V189" s="2"/>
      <c r="W189" s="2"/>
      <c r="X189" s="2"/>
      <c r="Y189" s="600"/>
      <c r="Z189" s="600"/>
      <c r="AA189" s="31"/>
      <c r="AB189" t="s">
        <v>9</v>
      </c>
    </row>
    <row r="190" spans="1:28" ht="13.5" thickBot="1" x14ac:dyDescent="0.25">
      <c r="D190" s="21"/>
      <c r="E190" s="22"/>
      <c r="F190" s="22"/>
      <c r="G190" s="24"/>
      <c r="I190" s="566"/>
      <c r="J190" s="566"/>
      <c r="K190" s="22"/>
      <c r="L190" s="22"/>
      <c r="M190" s="22"/>
      <c r="N190" s="568"/>
      <c r="O190" s="568"/>
      <c r="P190" s="568"/>
      <c r="Q190" s="31"/>
      <c r="S190" s="598"/>
      <c r="T190" s="598"/>
      <c r="U190" s="22"/>
      <c r="V190" s="22"/>
      <c r="W190" s="22"/>
      <c r="X190" s="22"/>
      <c r="Y190" s="600"/>
      <c r="Z190" s="600"/>
      <c r="AA190" s="31"/>
    </row>
    <row r="191" spans="1:28" x14ac:dyDescent="0.2">
      <c r="E191" s="595" t="s">
        <v>15</v>
      </c>
      <c r="F191" s="595"/>
      <c r="L191" t="s">
        <v>14</v>
      </c>
      <c r="V191" t="s">
        <v>14</v>
      </c>
    </row>
    <row r="192" spans="1:28" x14ac:dyDescent="0.2">
      <c r="K192" t="s">
        <v>34</v>
      </c>
    </row>
    <row r="193" spans="2:27" x14ac:dyDescent="0.2">
      <c r="E193" t="s">
        <v>61</v>
      </c>
      <c r="U193" t="s">
        <v>36</v>
      </c>
    </row>
    <row r="194" spans="2:27" ht="6" customHeight="1" x14ac:dyDescent="0.2"/>
    <row r="195" spans="2:27" x14ac:dyDescent="0.2">
      <c r="U195" t="s">
        <v>38</v>
      </c>
    </row>
    <row r="197" spans="2:27" x14ac:dyDescent="0.2">
      <c r="B197" s="107" t="str">
        <f>B183&amp;" - arealberegning"</f>
        <v>Firkant - arealberegning</v>
      </c>
      <c r="C197" s="84"/>
      <c r="D197" s="94"/>
      <c r="E197" s="94"/>
      <c r="F197" s="94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 t="s">
        <v>54</v>
      </c>
      <c r="W197" s="85"/>
      <c r="X197" s="85"/>
      <c r="Y197" s="85"/>
      <c r="Z197" s="85"/>
      <c r="AA197" s="82">
        <v>3</v>
      </c>
    </row>
    <row r="198" spans="2:27" x14ac:dyDescent="0.2">
      <c r="B198" s="571" t="s">
        <v>31</v>
      </c>
      <c r="C198" s="572"/>
      <c r="D198" s="572"/>
      <c r="E198" s="572"/>
      <c r="F198" s="572"/>
      <c r="G198" s="572"/>
      <c r="H198" s="59" t="s">
        <v>15</v>
      </c>
      <c r="I198" s="473">
        <v>3</v>
      </c>
      <c r="J198" s="473"/>
      <c r="K198" s="473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6"/>
    </row>
    <row r="199" spans="2:27" x14ac:dyDescent="0.2">
      <c r="B199" s="573"/>
      <c r="C199" s="574"/>
      <c r="D199" s="574"/>
      <c r="E199" s="574"/>
      <c r="F199" s="574"/>
      <c r="G199" s="574"/>
      <c r="H199" s="60" t="s">
        <v>14</v>
      </c>
      <c r="I199" s="520">
        <v>5</v>
      </c>
      <c r="J199" s="520"/>
      <c r="K199" s="520"/>
      <c r="L199" s="3"/>
      <c r="M199" s="3"/>
      <c r="N199" s="3"/>
      <c r="O199" s="3" t="str">
        <f>"A  = "&amp;I199&amp;"∙"&amp;I198&amp;" = "&amp;I199*I198</f>
        <v>A  = 5∙3 = 15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8"/>
    </row>
    <row r="200" spans="2:27" ht="6" customHeight="1" x14ac:dyDescent="0.2">
      <c r="B200" s="64"/>
      <c r="C200" s="64"/>
      <c r="D200" s="64"/>
      <c r="E200" s="64"/>
      <c r="F200" s="64"/>
      <c r="G200" s="64"/>
    </row>
    <row r="201" spans="2:27" x14ac:dyDescent="0.2">
      <c r="B201" s="571" t="s">
        <v>33</v>
      </c>
      <c r="C201" s="572"/>
      <c r="D201" s="572"/>
      <c r="E201" s="572"/>
      <c r="F201" s="572"/>
      <c r="G201" s="572"/>
      <c r="H201" s="59" t="s">
        <v>15</v>
      </c>
      <c r="I201" s="473">
        <v>3</v>
      </c>
      <c r="J201" s="473"/>
      <c r="K201" s="473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6"/>
    </row>
    <row r="202" spans="2:27" x14ac:dyDescent="0.2">
      <c r="B202" s="575"/>
      <c r="C202" s="576"/>
      <c r="D202" s="576"/>
      <c r="E202" s="576"/>
      <c r="F202" s="576"/>
      <c r="G202" s="576"/>
      <c r="H202" s="61" t="s">
        <v>14</v>
      </c>
      <c r="I202" s="447">
        <v>4</v>
      </c>
      <c r="J202" s="447"/>
      <c r="K202" s="447"/>
      <c r="L202" s="2"/>
      <c r="M202" s="2"/>
      <c r="N202" s="2"/>
      <c r="O202" s="2" t="str">
        <f>"A  = ½("&amp;I201&amp;"+"&amp;I202&amp;")"&amp;I203&amp;" = "&amp;0.5*(I201+I202)*I203</f>
        <v>A  = ½(3+4)5 = 17,5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40"/>
    </row>
    <row r="203" spans="2:27" x14ac:dyDescent="0.2">
      <c r="B203" s="573"/>
      <c r="C203" s="574"/>
      <c r="D203" s="574"/>
      <c r="E203" s="574"/>
      <c r="F203" s="574"/>
      <c r="G203" s="574"/>
      <c r="H203" s="60" t="s">
        <v>9</v>
      </c>
      <c r="I203" s="520">
        <v>5</v>
      </c>
      <c r="J203" s="520"/>
      <c r="K203" s="520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8"/>
    </row>
    <row r="204" spans="2:27" ht="6" customHeight="1" x14ac:dyDescent="0.2">
      <c r="B204" s="64"/>
      <c r="C204" s="64"/>
      <c r="D204" s="64"/>
      <c r="E204" s="64"/>
      <c r="F204" s="64"/>
      <c r="G204" s="64"/>
    </row>
    <row r="205" spans="2:27" x14ac:dyDescent="0.2">
      <c r="B205" s="571" t="s">
        <v>64</v>
      </c>
      <c r="C205" s="572"/>
      <c r="D205" s="572"/>
      <c r="E205" s="572"/>
      <c r="F205" s="572"/>
      <c r="G205" s="572"/>
      <c r="H205" s="59" t="s">
        <v>15</v>
      </c>
      <c r="I205" s="473"/>
      <c r="J205" s="473"/>
      <c r="K205" s="473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6"/>
    </row>
    <row r="206" spans="2:27" x14ac:dyDescent="0.2">
      <c r="B206" s="575"/>
      <c r="C206" s="576"/>
      <c r="D206" s="576"/>
      <c r="E206" s="576"/>
      <c r="F206" s="576"/>
      <c r="G206" s="576"/>
      <c r="H206" s="61" t="s">
        <v>14</v>
      </c>
      <c r="I206" s="447">
        <v>5</v>
      </c>
      <c r="J206" s="447"/>
      <c r="K206" s="447"/>
      <c r="L206" s="2"/>
      <c r="M206" s="2"/>
      <c r="N206" s="2"/>
      <c r="O206" s="2" t="str">
        <f>IF(I206*I207,"A  = "&amp;I207&amp;"∙"&amp;I206&amp;" = "&amp;I207*I206,"")</f>
        <v>A  = 3∙5 = 15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40"/>
    </row>
    <row r="207" spans="2:27" x14ac:dyDescent="0.2">
      <c r="B207" s="575"/>
      <c r="C207" s="576"/>
      <c r="D207" s="576"/>
      <c r="E207" s="576"/>
      <c r="F207" s="576"/>
      <c r="G207" s="576"/>
      <c r="H207" s="61" t="s">
        <v>9</v>
      </c>
      <c r="I207" s="447">
        <v>3</v>
      </c>
      <c r="J207" s="447"/>
      <c r="K207" s="447"/>
      <c r="L207" s="2"/>
      <c r="M207" s="2"/>
      <c r="N207" s="2"/>
      <c r="O207" s="2" t="str">
        <f>IF(I205*I206*I208,"A  = "&amp;I205&amp;"∙"&amp;I206&amp;"∙sin("&amp;I208&amp;") = "&amp;ROUND(I205*I206*SIN(I208/180*PI()),AA197),"")</f>
        <v/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40"/>
    </row>
    <row r="208" spans="2:27" x14ac:dyDescent="0.2">
      <c r="B208" s="573"/>
      <c r="C208" s="574"/>
      <c r="D208" s="574"/>
      <c r="E208" s="574"/>
      <c r="F208" s="574"/>
      <c r="G208" s="574"/>
      <c r="H208" s="60" t="s">
        <v>65</v>
      </c>
      <c r="I208" s="520"/>
      <c r="J208" s="520"/>
      <c r="K208" s="520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8"/>
    </row>
    <row r="211" spans="2:11" x14ac:dyDescent="0.2">
      <c r="B211" s="436" t="s">
        <v>40</v>
      </c>
      <c r="C211" s="436"/>
      <c r="D211" s="436"/>
      <c r="E211" s="436"/>
    </row>
    <row r="212" spans="2:11" x14ac:dyDescent="0.2">
      <c r="B212" s="436"/>
      <c r="C212" s="436"/>
      <c r="D212" s="436"/>
      <c r="E212" s="436"/>
    </row>
    <row r="213" spans="2:11" ht="12.75" customHeight="1" x14ac:dyDescent="0.2"/>
    <row r="214" spans="2:11" ht="12.75" customHeight="1" x14ac:dyDescent="0.2">
      <c r="B214" s="476" t="s">
        <v>41</v>
      </c>
      <c r="C214" s="476"/>
      <c r="D214" s="476"/>
      <c r="E214" s="418">
        <v>360</v>
      </c>
      <c r="F214" s="418"/>
      <c r="G214" s="421" t="s">
        <v>42</v>
      </c>
      <c r="H214" s="476">
        <f>E214/E215</f>
        <v>72</v>
      </c>
      <c r="I214" s="476"/>
    </row>
    <row r="215" spans="2:11" x14ac:dyDescent="0.2">
      <c r="B215" s="476"/>
      <c r="C215" s="476"/>
      <c r="D215" s="476"/>
      <c r="E215" s="467">
        <v>5</v>
      </c>
      <c r="F215" s="467"/>
      <c r="G215" s="421"/>
      <c r="H215" s="476"/>
      <c r="I215" s="476"/>
    </row>
    <row r="217" spans="2:11" x14ac:dyDescent="0.2">
      <c r="B217" s="476" t="s">
        <v>43</v>
      </c>
      <c r="C217" s="476"/>
      <c r="D217" s="476"/>
      <c r="E217" s="421" t="s">
        <v>45</v>
      </c>
      <c r="F217" s="421"/>
      <c r="G217" s="32" t="s">
        <v>44</v>
      </c>
      <c r="H217" s="421" t="s">
        <v>42</v>
      </c>
      <c r="I217" s="421" t="s">
        <v>48</v>
      </c>
      <c r="J217" s="421"/>
      <c r="K217" s="32" t="s">
        <v>44</v>
      </c>
    </row>
    <row r="218" spans="2:11" x14ac:dyDescent="0.2">
      <c r="B218" s="476"/>
      <c r="C218" s="476"/>
      <c r="D218" s="476"/>
      <c r="E218" s="421"/>
      <c r="F218" s="421"/>
      <c r="G218" s="11">
        <v>2</v>
      </c>
      <c r="H218" s="421"/>
      <c r="I218" s="421"/>
      <c r="J218" s="421"/>
      <c r="K218" s="11">
        <v>2</v>
      </c>
    </row>
    <row r="220" spans="2:11" x14ac:dyDescent="0.2">
      <c r="B220" s="421" t="s">
        <v>152</v>
      </c>
      <c r="C220" s="421"/>
      <c r="D220" s="421"/>
      <c r="E220" s="421"/>
      <c r="F220" s="55" t="s">
        <v>62</v>
      </c>
      <c r="G220" s="476" t="s">
        <v>63</v>
      </c>
    </row>
    <row r="221" spans="2:11" x14ac:dyDescent="0.2">
      <c r="B221" s="421"/>
      <c r="C221" s="421"/>
      <c r="D221" s="421"/>
      <c r="E221" s="421"/>
      <c r="F221" s="11">
        <v>5</v>
      </c>
      <c r="G221" s="476"/>
    </row>
    <row r="222" spans="2:11" x14ac:dyDescent="0.2">
      <c r="B222" s="421" t="s">
        <v>153</v>
      </c>
      <c r="C222" s="421"/>
      <c r="D222" s="421"/>
      <c r="E222" s="55" t="s">
        <v>62</v>
      </c>
      <c r="F222" s="476" t="s">
        <v>63</v>
      </c>
    </row>
    <row r="223" spans="2:11" x14ac:dyDescent="0.2">
      <c r="B223" s="421"/>
      <c r="C223" s="421"/>
      <c r="D223" s="421"/>
      <c r="E223" s="11">
        <v>5</v>
      </c>
      <c r="F223" s="476"/>
    </row>
    <row r="224" spans="2:11" x14ac:dyDescent="0.2">
      <c r="B224" s="421" t="s">
        <v>154</v>
      </c>
      <c r="C224" s="421"/>
      <c r="D224" s="421"/>
      <c r="E224" s="421"/>
      <c r="F224" s="55" t="s">
        <v>155</v>
      </c>
      <c r="G224" s="476" t="s">
        <v>63</v>
      </c>
    </row>
    <row r="225" spans="1:31" x14ac:dyDescent="0.2">
      <c r="B225" s="421"/>
      <c r="C225" s="421"/>
      <c r="D225" s="421"/>
      <c r="E225" s="421"/>
      <c r="F225" s="11">
        <v>5</v>
      </c>
      <c r="G225" s="476"/>
      <c r="Q225" t="s">
        <v>46</v>
      </c>
    </row>
    <row r="226" spans="1:31" ht="15.75" x14ac:dyDescent="0.25">
      <c r="B226" s="33"/>
      <c r="Q226" t="s">
        <v>47</v>
      </c>
      <c r="AE226" s="54"/>
    </row>
    <row r="228" spans="1:31" x14ac:dyDescent="0.2">
      <c r="B228" s="107" t="str">
        <f>B211&amp;" - arealberegning"</f>
        <v>Femkant - arealberegning</v>
      </c>
      <c r="C228" s="84"/>
      <c r="D228" s="94"/>
      <c r="E228" s="94"/>
      <c r="F228" s="94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 t="s">
        <v>54</v>
      </c>
      <c r="W228" s="85"/>
      <c r="X228" s="85"/>
      <c r="Y228" s="85"/>
      <c r="Z228" s="85"/>
      <c r="AA228" s="88">
        <v>3</v>
      </c>
    </row>
    <row r="229" spans="1:31" x14ac:dyDescent="0.2">
      <c r="B229" s="34"/>
      <c r="C229" s="570" t="s">
        <v>66</v>
      </c>
      <c r="D229" s="569">
        <v>5</v>
      </c>
      <c r="E229" s="569"/>
      <c r="F229" s="569"/>
      <c r="G229" s="35"/>
      <c r="H229" s="535" t="str">
        <f>IF(D229,"A = ½∙5∙"&amp;D229&amp;"² sin(2π/5) = "&amp;ROUND(2.5*D229^2*SIN(2*PI()/5),AA228),"")</f>
        <v>A = ½∙5∙5² sin(2π/5) = 59,441</v>
      </c>
      <c r="I229" s="535"/>
      <c r="J229" s="535"/>
      <c r="K229" s="535"/>
      <c r="L229" s="535"/>
      <c r="M229" s="535"/>
      <c r="N229" s="535"/>
      <c r="O229" s="535"/>
      <c r="P229" s="535"/>
      <c r="Q229" s="535"/>
      <c r="R229" s="535"/>
      <c r="S229" s="535"/>
      <c r="T229" s="535"/>
      <c r="U229" s="535"/>
      <c r="V229" s="535"/>
      <c r="W229" s="35"/>
      <c r="X229" s="89" t="s">
        <v>92</v>
      </c>
      <c r="Y229" s="560">
        <f>ROUND(2*D229*SIN((H214/2)/180*PI()),AA228)</f>
        <v>5.8780000000000001</v>
      </c>
      <c r="Z229" s="560"/>
      <c r="AA229" s="561"/>
    </row>
    <row r="230" spans="1:31" x14ac:dyDescent="0.2">
      <c r="B230" s="37"/>
      <c r="C230" s="526"/>
      <c r="D230" s="528"/>
      <c r="E230" s="528"/>
      <c r="F230" s="528"/>
      <c r="G230" s="3"/>
      <c r="H230" s="536"/>
      <c r="I230" s="536"/>
      <c r="J230" s="536"/>
      <c r="K230" s="536"/>
      <c r="L230" s="536"/>
      <c r="M230" s="536"/>
      <c r="N230" s="536"/>
      <c r="O230" s="536"/>
      <c r="P230" s="536"/>
      <c r="Q230" s="536"/>
      <c r="R230" s="536"/>
      <c r="S230" s="536"/>
      <c r="T230" s="536"/>
      <c r="U230" s="536"/>
      <c r="V230" s="536"/>
      <c r="W230" s="3"/>
      <c r="X230" s="90" t="s">
        <v>159</v>
      </c>
      <c r="Y230" s="558">
        <f>ROUND(D229*COS(PI()/5),AA228)</f>
        <v>4.0449999999999999</v>
      </c>
      <c r="Z230" s="558"/>
      <c r="AA230" s="559"/>
    </row>
    <row r="231" spans="1:31" x14ac:dyDescent="0.2">
      <c r="B231" s="39"/>
      <c r="C231" s="563" t="s">
        <v>67</v>
      </c>
      <c r="D231" s="564">
        <v>6</v>
      </c>
      <c r="E231" s="564"/>
      <c r="F231" s="564"/>
      <c r="G231" s="2"/>
      <c r="H231" s="535" t="str">
        <f>IF(D231,"A = 5∙"&amp;D231&amp;"² tan(π/5) = "&amp;ROUND(5*D231^2*TAN(PI()/5),AA228),"")</f>
        <v>A = 5∙6² tan(π/5) = 130,778</v>
      </c>
      <c r="I231" s="535"/>
      <c r="J231" s="535"/>
      <c r="K231" s="535"/>
      <c r="L231" s="535"/>
      <c r="M231" s="535"/>
      <c r="N231" s="535"/>
      <c r="O231" s="535"/>
      <c r="P231" s="535"/>
      <c r="Q231" s="535"/>
      <c r="R231" s="535"/>
      <c r="S231" s="535"/>
      <c r="T231" s="535"/>
      <c r="U231" s="535"/>
      <c r="V231" s="535"/>
      <c r="X231" s="91" t="s">
        <v>92</v>
      </c>
      <c r="Y231" s="522">
        <f>ROUND(2*D231*TAN((H214/2)/180*PI()),AA228)</f>
        <v>8.7189999999999994</v>
      </c>
      <c r="Z231" s="522"/>
      <c r="AA231" s="523"/>
    </row>
    <row r="232" spans="1:31" ht="12.75" customHeight="1" x14ac:dyDescent="0.2">
      <c r="B232" s="39"/>
      <c r="C232" s="563"/>
      <c r="D232" s="564"/>
      <c r="E232" s="564"/>
      <c r="F232" s="564"/>
      <c r="G232" s="2"/>
      <c r="H232" s="536"/>
      <c r="I232" s="536"/>
      <c r="J232" s="536"/>
      <c r="K232" s="536"/>
      <c r="L232" s="536"/>
      <c r="M232" s="536"/>
      <c r="N232" s="536"/>
      <c r="O232" s="536"/>
      <c r="P232" s="536"/>
      <c r="Q232" s="536"/>
      <c r="R232" s="536"/>
      <c r="S232" s="536"/>
      <c r="T232" s="536"/>
      <c r="U232" s="536"/>
      <c r="V232" s="536"/>
      <c r="W232" s="81"/>
      <c r="X232" s="92" t="s">
        <v>147</v>
      </c>
      <c r="Y232" s="558">
        <f>ROUND(D231/COS(PI()/5),AA228)</f>
        <v>7.4160000000000004</v>
      </c>
      <c r="Z232" s="558"/>
      <c r="AA232" s="559"/>
    </row>
    <row r="233" spans="1:31" ht="12.75" customHeight="1" x14ac:dyDescent="0.2">
      <c r="B233" s="34"/>
      <c r="C233" s="525" t="s">
        <v>56</v>
      </c>
      <c r="D233" s="527">
        <v>2</v>
      </c>
      <c r="E233" s="527"/>
      <c r="F233" s="527"/>
      <c r="G233" s="35"/>
      <c r="H233" s="535" t="str">
        <f>IF(D233,"A = ¼∙5∙"&amp;ROUND(D233,AA228)&amp;"² cot(π/5) = "&amp;ROUND(1.25*D233^2*COS(PI()/5)/SIN(PI()/5),AA228),"")</f>
        <v>A = ¼∙5∙2² cot(π/5) = 6,882</v>
      </c>
      <c r="I233" s="535"/>
      <c r="J233" s="535"/>
      <c r="K233" s="535"/>
      <c r="L233" s="535"/>
      <c r="M233" s="535"/>
      <c r="N233" s="535"/>
      <c r="O233" s="535"/>
      <c r="P233" s="535"/>
      <c r="Q233" s="535"/>
      <c r="R233" s="535"/>
      <c r="S233" s="535"/>
      <c r="T233" s="535"/>
      <c r="U233" s="535"/>
      <c r="V233" s="535"/>
      <c r="W233" s="80"/>
      <c r="X233" s="91" t="s">
        <v>159</v>
      </c>
      <c r="Y233" s="522">
        <f>ROUND(0.5*D233*COS(PI()/5)/SIN(PI()/5),AA228)</f>
        <v>1.3759999999999999</v>
      </c>
      <c r="Z233" s="522"/>
      <c r="AA233" s="523"/>
    </row>
    <row r="234" spans="1:31" ht="12.75" customHeight="1" x14ac:dyDescent="0.2">
      <c r="B234" s="37"/>
      <c r="C234" s="526"/>
      <c r="D234" s="528"/>
      <c r="E234" s="528"/>
      <c r="F234" s="528"/>
      <c r="G234" s="3"/>
      <c r="H234" s="536"/>
      <c r="I234" s="536"/>
      <c r="J234" s="536"/>
      <c r="K234" s="536"/>
      <c r="L234" s="536"/>
      <c r="M234" s="536"/>
      <c r="N234" s="536"/>
      <c r="O234" s="536"/>
      <c r="P234" s="536"/>
      <c r="Q234" s="536"/>
      <c r="R234" s="536"/>
      <c r="S234" s="536"/>
      <c r="T234" s="536"/>
      <c r="U234" s="536"/>
      <c r="V234" s="536"/>
      <c r="W234" s="81"/>
      <c r="X234" s="92" t="s">
        <v>147</v>
      </c>
      <c r="Y234" s="558">
        <f>ROUND(0.5*D233/SIN(PI()/5),AA228)</f>
        <v>1.7010000000000001</v>
      </c>
      <c r="Z234" s="558"/>
      <c r="AA234" s="559"/>
    </row>
    <row r="238" spans="1:31" x14ac:dyDescent="0.2">
      <c r="A238" s="423" t="s">
        <v>0</v>
      </c>
      <c r="B238" s="378"/>
      <c r="C238" s="378"/>
      <c r="D238" s="378"/>
      <c r="E238" s="378"/>
      <c r="F238" s="378"/>
      <c r="G238" s="374" t="s">
        <v>1</v>
      </c>
      <c r="H238" s="374"/>
      <c r="I238" s="374"/>
      <c r="J238" s="374"/>
      <c r="K238" s="374"/>
      <c r="L238" s="374"/>
      <c r="M238" s="374"/>
      <c r="N238" s="374"/>
      <c r="O238" s="374"/>
      <c r="P238" s="374"/>
      <c r="Q238" s="374"/>
      <c r="R238" s="374"/>
      <c r="S238" s="374"/>
      <c r="T238" s="374"/>
      <c r="U238" s="8"/>
      <c r="V238" s="8"/>
      <c r="W238" s="9"/>
      <c r="X238" s="9"/>
      <c r="Y238" s="378" t="s">
        <v>2</v>
      </c>
      <c r="Z238" s="378"/>
      <c r="AA238" s="378"/>
      <c r="AB238" s="1"/>
    </row>
    <row r="239" spans="1:31" x14ac:dyDescent="0.2">
      <c r="A239" s="382"/>
      <c r="B239" s="379"/>
      <c r="C239" s="379"/>
      <c r="D239" s="379"/>
      <c r="E239" s="379"/>
      <c r="F239" s="379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6"/>
      <c r="V239" s="6"/>
      <c r="W239" s="10"/>
      <c r="X239" s="14">
        <f>X179+1</f>
        <v>6</v>
      </c>
      <c r="Y239" s="379"/>
      <c r="Z239" s="379"/>
      <c r="AA239" s="379"/>
      <c r="AB239" s="4"/>
    </row>
    <row r="240" spans="1:31" x14ac:dyDescent="0.2">
      <c r="A240" s="380" t="s">
        <v>3</v>
      </c>
      <c r="B240" s="381"/>
      <c r="C240" s="381"/>
      <c r="D240" s="381"/>
      <c r="E240" s="381"/>
      <c r="F240" s="381"/>
      <c r="G240" s="383" t="s">
        <v>5</v>
      </c>
      <c r="H240" s="383"/>
      <c r="I240" s="383"/>
      <c r="J240" s="383"/>
      <c r="K240" s="383"/>
      <c r="L240" s="383"/>
      <c r="M240" s="383"/>
      <c r="N240" s="383"/>
      <c r="O240" s="383"/>
      <c r="P240" s="383"/>
      <c r="Q240" s="383"/>
      <c r="R240" s="383"/>
      <c r="S240" s="383"/>
      <c r="T240" s="383"/>
      <c r="U240" s="5"/>
      <c r="V240" s="5"/>
      <c r="W240" s="2"/>
      <c r="X240" s="384" t="s">
        <v>4</v>
      </c>
      <c r="Y240" s="384"/>
      <c r="Z240" s="384"/>
      <c r="AA240" s="384"/>
      <c r="AB240" s="385"/>
    </row>
    <row r="241" spans="1:28" x14ac:dyDescent="0.2">
      <c r="A241" s="382"/>
      <c r="B241" s="379"/>
      <c r="C241" s="379"/>
      <c r="D241" s="379"/>
      <c r="E241" s="379"/>
      <c r="F241" s="379"/>
      <c r="G241" s="388" t="s">
        <v>6</v>
      </c>
      <c r="H241" s="388"/>
      <c r="I241" s="388"/>
      <c r="J241" s="388"/>
      <c r="K241" s="388"/>
      <c r="L241" s="388"/>
      <c r="M241" s="388"/>
      <c r="N241" s="388"/>
      <c r="O241" s="388"/>
      <c r="P241" s="388"/>
      <c r="Q241" s="388"/>
      <c r="R241" s="388"/>
      <c r="S241" s="388"/>
      <c r="T241" s="388"/>
      <c r="U241" s="7"/>
      <c r="V241" s="7"/>
      <c r="W241" s="3"/>
      <c r="X241" s="386"/>
      <c r="Y241" s="386"/>
      <c r="Z241" s="386"/>
      <c r="AA241" s="386"/>
      <c r="AB241" s="387"/>
    </row>
    <row r="242" spans="1:28" x14ac:dyDescent="0.2">
      <c r="B242" s="436" t="s">
        <v>68</v>
      </c>
      <c r="C242" s="436"/>
      <c r="D242" s="436"/>
      <c r="E242" s="436"/>
      <c r="F242" s="436"/>
      <c r="G242" s="436"/>
      <c r="H242" s="436"/>
    </row>
    <row r="243" spans="1:28" x14ac:dyDescent="0.2">
      <c r="B243" s="436"/>
      <c r="C243" s="436"/>
      <c r="D243" s="436"/>
      <c r="E243" s="436"/>
      <c r="F243" s="436"/>
      <c r="G243" s="436"/>
      <c r="H243" s="436"/>
      <c r="I243" t="s">
        <v>156</v>
      </c>
    </row>
    <row r="255" spans="1:28" x14ac:dyDescent="0.2">
      <c r="E255" t="s">
        <v>70</v>
      </c>
      <c r="M255" t="s">
        <v>71</v>
      </c>
      <c r="V255" t="s">
        <v>73</v>
      </c>
    </row>
    <row r="256" spans="1:28" x14ac:dyDescent="0.2">
      <c r="E256" t="s">
        <v>69</v>
      </c>
      <c r="M256" t="s">
        <v>72</v>
      </c>
      <c r="V256" t="s">
        <v>74</v>
      </c>
    </row>
    <row r="257" spans="2:27" ht="6" customHeight="1" x14ac:dyDescent="0.2"/>
    <row r="258" spans="2:27" x14ac:dyDescent="0.2">
      <c r="C258" t="s">
        <v>76</v>
      </c>
    </row>
    <row r="259" spans="2:27" ht="6" customHeight="1" x14ac:dyDescent="0.2"/>
    <row r="260" spans="2:27" x14ac:dyDescent="0.2">
      <c r="C260" s="476" t="s">
        <v>41</v>
      </c>
      <c r="D260" s="476"/>
      <c r="E260" s="476"/>
      <c r="F260" s="418">
        <v>360</v>
      </c>
      <c r="G260" s="418"/>
      <c r="H260" s="421"/>
      <c r="I260" s="56"/>
      <c r="J260" s="56"/>
      <c r="N260" s="476" t="s">
        <v>43</v>
      </c>
      <c r="O260" s="476"/>
      <c r="P260" s="476"/>
      <c r="Q260" s="421" t="s">
        <v>45</v>
      </c>
      <c r="R260" s="421"/>
      <c r="S260" s="32" t="s">
        <v>44</v>
      </c>
      <c r="T260" s="421" t="s">
        <v>42</v>
      </c>
      <c r="U260" s="421" t="s">
        <v>48</v>
      </c>
      <c r="V260" s="421"/>
      <c r="W260" s="32" t="s">
        <v>44</v>
      </c>
    </row>
    <row r="261" spans="2:27" x14ac:dyDescent="0.2">
      <c r="C261" s="476"/>
      <c r="D261" s="476"/>
      <c r="E261" s="476"/>
      <c r="F261" s="467" t="s">
        <v>75</v>
      </c>
      <c r="G261" s="467"/>
      <c r="H261" s="421"/>
      <c r="I261" s="56"/>
      <c r="J261" s="56"/>
      <c r="N261" s="476"/>
      <c r="O261" s="476"/>
      <c r="P261" s="476"/>
      <c r="Q261" s="421"/>
      <c r="R261" s="421"/>
      <c r="S261" s="11">
        <v>2</v>
      </c>
      <c r="T261" s="421"/>
      <c r="U261" s="421"/>
      <c r="V261" s="421"/>
      <c r="W261" s="11">
        <v>2</v>
      </c>
    </row>
    <row r="262" spans="2:27" ht="6" customHeight="1" x14ac:dyDescent="0.2"/>
    <row r="263" spans="2:27" x14ac:dyDescent="0.2">
      <c r="C263" s="421" t="s">
        <v>152</v>
      </c>
      <c r="D263" s="421"/>
      <c r="E263" s="421"/>
      <c r="F263" s="421"/>
      <c r="G263" s="55" t="s">
        <v>62</v>
      </c>
      <c r="H263" s="476" t="s">
        <v>63</v>
      </c>
      <c r="P263" t="s">
        <v>46</v>
      </c>
    </row>
    <row r="264" spans="2:27" x14ac:dyDescent="0.2">
      <c r="C264" s="421"/>
      <c r="D264" s="421"/>
      <c r="E264" s="421"/>
      <c r="F264" s="421"/>
      <c r="G264" s="11" t="s">
        <v>75</v>
      </c>
      <c r="H264" s="476"/>
      <c r="P264" t="s">
        <v>47</v>
      </c>
    </row>
    <row r="265" spans="2:27" x14ac:dyDescent="0.2">
      <c r="C265" s="421" t="s">
        <v>157</v>
      </c>
      <c r="D265" s="421"/>
      <c r="E265" s="421"/>
      <c r="F265" s="55" t="s">
        <v>62</v>
      </c>
      <c r="G265" s="476" t="s">
        <v>63</v>
      </c>
    </row>
    <row r="266" spans="2:27" x14ac:dyDescent="0.2">
      <c r="C266" s="421"/>
      <c r="D266" s="421"/>
      <c r="E266" s="421"/>
      <c r="F266" s="11" t="s">
        <v>75</v>
      </c>
      <c r="G266" s="476"/>
    </row>
    <row r="267" spans="2:27" x14ac:dyDescent="0.2">
      <c r="C267" s="421" t="s">
        <v>158</v>
      </c>
      <c r="D267" s="421"/>
      <c r="E267" s="421"/>
      <c r="F267" s="421"/>
      <c r="G267" s="55" t="s">
        <v>155</v>
      </c>
      <c r="H267" s="476" t="s">
        <v>63</v>
      </c>
    </row>
    <row r="268" spans="2:27" ht="15.75" x14ac:dyDescent="0.25">
      <c r="B268" s="33"/>
      <c r="C268" s="421"/>
      <c r="D268" s="421"/>
      <c r="E268" s="421"/>
      <c r="F268" s="421"/>
      <c r="G268" s="11" t="s">
        <v>75</v>
      </c>
      <c r="H268" s="476"/>
    </row>
    <row r="270" spans="2:27" x14ac:dyDescent="0.2">
      <c r="B270" s="83"/>
      <c r="C270" s="84" t="s">
        <v>75</v>
      </c>
      <c r="D270" s="557">
        <v>8</v>
      </c>
      <c r="E270" s="557"/>
      <c r="F270" s="557"/>
      <c r="G270" s="85" t="s">
        <v>77</v>
      </c>
      <c r="H270" s="85"/>
      <c r="I270" s="85"/>
      <c r="J270" s="85"/>
      <c r="K270" s="85" t="s">
        <v>151</v>
      </c>
      <c r="L270" s="562">
        <f>360/D270</f>
        <v>45</v>
      </c>
      <c r="M270" s="562"/>
      <c r="N270" s="86" t="s">
        <v>50</v>
      </c>
      <c r="O270" s="85"/>
      <c r="P270" s="85"/>
      <c r="Q270" s="85"/>
      <c r="R270" s="85"/>
      <c r="S270" s="85"/>
      <c r="T270" s="85"/>
      <c r="U270" s="85"/>
      <c r="V270" s="85" t="s">
        <v>54</v>
      </c>
      <c r="W270" s="85"/>
      <c r="X270" s="85"/>
      <c r="Y270" s="85"/>
      <c r="Z270" s="85"/>
      <c r="AA270" s="88">
        <v>3</v>
      </c>
    </row>
    <row r="271" spans="2:27" x14ac:dyDescent="0.2">
      <c r="B271" s="34"/>
      <c r="C271" s="529" t="s">
        <v>66</v>
      </c>
      <c r="D271" s="531">
        <v>2</v>
      </c>
      <c r="E271" s="531"/>
      <c r="F271" s="531"/>
      <c r="G271" s="35"/>
      <c r="H271" s="535" t="str">
        <f>IF(D271,"A = ½∙"&amp;$D$270&amp;"∙"&amp;D271&amp;"² sin(2π/"&amp;$D$270&amp;") = "&amp;ROUND(0.5*$D$270*D271^2*SIN(2*PI()/$D$270),$AA$270),"")</f>
        <v>A = ½∙8∙2² sin(2π/8) = 11,314</v>
      </c>
      <c r="I271" s="535"/>
      <c r="J271" s="535"/>
      <c r="K271" s="535"/>
      <c r="L271" s="535"/>
      <c r="M271" s="535"/>
      <c r="N271" s="535"/>
      <c r="O271" s="535"/>
      <c r="P271" s="535"/>
      <c r="Q271" s="535"/>
      <c r="R271" s="535"/>
      <c r="S271" s="535"/>
      <c r="T271" s="535"/>
      <c r="U271" s="535"/>
      <c r="V271" s="535"/>
      <c r="W271" s="35"/>
      <c r="X271" s="89" t="s">
        <v>92</v>
      </c>
      <c r="Y271" s="560">
        <f>ROUND(2*D271*SIN(PI()/D270),AA270)</f>
        <v>1.5309999999999999</v>
      </c>
      <c r="Z271" s="560"/>
      <c r="AA271" s="561"/>
    </row>
    <row r="272" spans="2:27" x14ac:dyDescent="0.2">
      <c r="B272" s="39"/>
      <c r="C272" s="530"/>
      <c r="D272" s="532"/>
      <c r="E272" s="532"/>
      <c r="F272" s="532"/>
      <c r="G272" s="2"/>
      <c r="H272" s="536"/>
      <c r="I272" s="536"/>
      <c r="J272" s="536"/>
      <c r="K272" s="536"/>
      <c r="L272" s="536"/>
      <c r="M272" s="536"/>
      <c r="N272" s="536"/>
      <c r="O272" s="536"/>
      <c r="P272" s="536"/>
      <c r="Q272" s="536"/>
      <c r="R272" s="536"/>
      <c r="S272" s="536"/>
      <c r="T272" s="536"/>
      <c r="U272" s="536"/>
      <c r="V272" s="536"/>
      <c r="W272" s="2"/>
      <c r="X272" s="90" t="s">
        <v>159</v>
      </c>
      <c r="Y272" s="558">
        <f>ROUND(D271*COS(PI()/D270),AA270)</f>
        <v>1.8480000000000001</v>
      </c>
      <c r="Z272" s="558"/>
      <c r="AA272" s="559"/>
    </row>
    <row r="273" spans="2:27" x14ac:dyDescent="0.2">
      <c r="B273" s="34"/>
      <c r="C273" s="529" t="s">
        <v>67</v>
      </c>
      <c r="D273" s="531">
        <v>2</v>
      </c>
      <c r="E273" s="531"/>
      <c r="F273" s="531"/>
      <c r="G273" s="35"/>
      <c r="H273" s="535" t="str">
        <f>"A = "&amp;$D$270&amp;"∙"&amp;D273&amp;"² tan(π/"&amp;$D$270&amp;") = "&amp;ROUND($D$270*D273^2*TAN(PI()/$D$270),$AA$270)</f>
        <v>A = 8∙2² tan(π/8) = 13,255</v>
      </c>
      <c r="I273" s="535"/>
      <c r="J273" s="535"/>
      <c r="K273" s="535"/>
      <c r="L273" s="535"/>
      <c r="M273" s="535"/>
      <c r="N273" s="535"/>
      <c r="O273" s="535"/>
      <c r="P273" s="535"/>
      <c r="Q273" s="535"/>
      <c r="R273" s="535"/>
      <c r="S273" s="535"/>
      <c r="T273" s="535"/>
      <c r="U273" s="535"/>
      <c r="V273" s="535"/>
      <c r="W273" s="35"/>
      <c r="X273" s="91" t="s">
        <v>92</v>
      </c>
      <c r="Y273" s="522">
        <f>ROUND(2*$D$273*TAN(PI()/D270),$AA$270)</f>
        <v>1.657</v>
      </c>
      <c r="Z273" s="522"/>
      <c r="AA273" s="523"/>
    </row>
    <row r="274" spans="2:27" x14ac:dyDescent="0.2">
      <c r="B274" s="37"/>
      <c r="C274" s="533"/>
      <c r="D274" s="534"/>
      <c r="E274" s="534"/>
      <c r="F274" s="534"/>
      <c r="G274" s="3"/>
      <c r="H274" s="536"/>
      <c r="I274" s="536"/>
      <c r="J274" s="536"/>
      <c r="K274" s="536"/>
      <c r="L274" s="536"/>
      <c r="M274" s="536"/>
      <c r="N274" s="536"/>
      <c r="O274" s="536"/>
      <c r="P274" s="536"/>
      <c r="Q274" s="536"/>
      <c r="R274" s="536"/>
      <c r="S274" s="536"/>
      <c r="T274" s="536"/>
      <c r="U274" s="536"/>
      <c r="V274" s="536"/>
      <c r="W274" s="3"/>
      <c r="X274" s="92" t="s">
        <v>147</v>
      </c>
      <c r="Y274" s="558">
        <f>ROUND(D273/COS(PI()/D270),$AA$270)</f>
        <v>2.165</v>
      </c>
      <c r="Z274" s="558"/>
      <c r="AA274" s="559"/>
    </row>
    <row r="275" spans="2:27" ht="12.75" customHeight="1" x14ac:dyDescent="0.2">
      <c r="B275" s="34"/>
      <c r="C275" s="529" t="s">
        <v>56</v>
      </c>
      <c r="D275" s="531">
        <v>3</v>
      </c>
      <c r="E275" s="531"/>
      <c r="F275" s="531"/>
      <c r="G275" s="35"/>
      <c r="H275" s="535" t="str">
        <f>"A = ¼∙"&amp;$D$270&amp;"∙"&amp;D275&amp;"² cot(π/"&amp;$D$270&amp;") = "&amp;ROUND(0.25*$D$270*D275^2*COS(PI()/$D$270)/SIN(PI()/$D$270),$AA$270)</f>
        <v>A = ¼∙8∙3² cot(π/8) = 43,456</v>
      </c>
      <c r="I275" s="535"/>
      <c r="J275" s="535"/>
      <c r="K275" s="535"/>
      <c r="L275" s="535"/>
      <c r="M275" s="535"/>
      <c r="N275" s="535"/>
      <c r="O275" s="535"/>
      <c r="P275" s="535"/>
      <c r="Q275" s="535"/>
      <c r="R275" s="535"/>
      <c r="S275" s="535"/>
      <c r="T275" s="535"/>
      <c r="U275" s="535"/>
      <c r="V275" s="535"/>
      <c r="W275" s="87"/>
      <c r="X275" s="91" t="s">
        <v>159</v>
      </c>
      <c r="Y275" s="522">
        <f>ROUND(0.5*D275*COS(PI()/D270)/SIN(PI()/D270),$AA$270)</f>
        <v>3.621</v>
      </c>
      <c r="Z275" s="522"/>
      <c r="AA275" s="523"/>
    </row>
    <row r="276" spans="2:27" ht="12.75" customHeight="1" x14ac:dyDescent="0.2">
      <c r="B276" s="37"/>
      <c r="C276" s="533"/>
      <c r="D276" s="534"/>
      <c r="E276" s="534"/>
      <c r="F276" s="534"/>
      <c r="G276" s="3"/>
      <c r="H276" s="536"/>
      <c r="I276" s="536"/>
      <c r="J276" s="536"/>
      <c r="K276" s="536"/>
      <c r="L276" s="536"/>
      <c r="M276" s="536"/>
      <c r="N276" s="536"/>
      <c r="O276" s="536"/>
      <c r="P276" s="536"/>
      <c r="Q276" s="536"/>
      <c r="R276" s="536"/>
      <c r="S276" s="536"/>
      <c r="T276" s="536"/>
      <c r="U276" s="536"/>
      <c r="V276" s="536"/>
      <c r="W276" s="79"/>
      <c r="X276" s="93" t="s">
        <v>147</v>
      </c>
      <c r="Y276" s="558">
        <f>ROUND(0.5*D275/SIN(PI()/D270),AA270)</f>
        <v>3.92</v>
      </c>
      <c r="Z276" s="558"/>
      <c r="AA276" s="559"/>
    </row>
    <row r="278" spans="2:27" x14ac:dyDescent="0.2">
      <c r="B278" s="436" t="s">
        <v>78</v>
      </c>
      <c r="C278" s="436"/>
      <c r="D278" s="436"/>
      <c r="E278" s="436"/>
      <c r="F278" s="436"/>
      <c r="G278" s="436"/>
      <c r="H278" s="436"/>
      <c r="J278" s="54"/>
    </row>
    <row r="279" spans="2:27" x14ac:dyDescent="0.2">
      <c r="B279" s="436"/>
      <c r="C279" s="436"/>
      <c r="D279" s="436"/>
      <c r="E279" s="436"/>
      <c r="F279" s="436"/>
      <c r="G279" s="436"/>
      <c r="H279" s="436"/>
      <c r="O279" s="53"/>
      <c r="P279" s="53"/>
    </row>
    <row r="280" spans="2:27" x14ac:dyDescent="0.2">
      <c r="O280" s="53"/>
      <c r="P280" s="53"/>
    </row>
    <row r="291" spans="1:28" x14ac:dyDescent="0.2">
      <c r="C291" s="252" t="s">
        <v>682</v>
      </c>
      <c r="D291" s="252"/>
      <c r="E291" s="252"/>
    </row>
    <row r="293" spans="1:28" x14ac:dyDescent="0.2">
      <c r="B293" s="107" t="str">
        <f>B278&amp;" - arealberegning"</f>
        <v>Cirkel - arealberegning</v>
      </c>
      <c r="C293" s="84"/>
      <c r="D293" s="94"/>
      <c r="E293" s="94"/>
      <c r="F293" s="94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 t="s">
        <v>54</v>
      </c>
      <c r="W293" s="85"/>
      <c r="X293" s="85"/>
      <c r="Y293" s="85"/>
      <c r="Z293" s="85"/>
      <c r="AA293" s="82">
        <v>4</v>
      </c>
    </row>
    <row r="294" spans="1:28" ht="12.75" customHeight="1" x14ac:dyDescent="0.2">
      <c r="B294" s="34"/>
      <c r="C294" s="529" t="s">
        <v>79</v>
      </c>
      <c r="D294" s="531">
        <v>6</v>
      </c>
      <c r="E294" s="531"/>
      <c r="F294" s="531"/>
      <c r="G294" s="35"/>
      <c r="H294" s="555" t="str">
        <f>"A  = ¼π∙"&amp;D294&amp;"²  = "&amp;ROUND(PI()/4*D294^2,AA293)</f>
        <v>A  = ¼π∙6²  = 28,2743</v>
      </c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35"/>
      <c r="U294" s="35"/>
      <c r="V294" s="35"/>
      <c r="W294" s="35"/>
      <c r="X294" s="35"/>
      <c r="Z294" s="35"/>
      <c r="AA294" s="36"/>
    </row>
    <row r="295" spans="1:28" ht="12.75" customHeight="1" x14ac:dyDescent="0.2">
      <c r="B295" s="37"/>
      <c r="C295" s="533"/>
      <c r="D295" s="534"/>
      <c r="E295" s="534"/>
      <c r="F295" s="534"/>
      <c r="G295" s="3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67"/>
      <c r="U295" s="67"/>
      <c r="V295" s="67"/>
      <c r="W295" s="67"/>
      <c r="X295" s="67"/>
      <c r="Y295" s="67"/>
      <c r="Z295" s="3"/>
      <c r="AA295" s="38"/>
    </row>
    <row r="298" spans="1:28" x14ac:dyDescent="0.2">
      <c r="A298" s="423" t="s">
        <v>0</v>
      </c>
      <c r="B298" s="378"/>
      <c r="C298" s="378"/>
      <c r="D298" s="378"/>
      <c r="E298" s="378"/>
      <c r="F298" s="378"/>
      <c r="G298" s="374" t="s">
        <v>1</v>
      </c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8"/>
      <c r="V298" s="8"/>
      <c r="W298" s="9"/>
      <c r="X298" s="9"/>
      <c r="Y298" s="378" t="s">
        <v>2</v>
      </c>
      <c r="Z298" s="378"/>
      <c r="AA298" s="378"/>
      <c r="AB298" s="1"/>
    </row>
    <row r="299" spans="1:28" x14ac:dyDescent="0.2">
      <c r="A299" s="382"/>
      <c r="B299" s="379"/>
      <c r="C299" s="379"/>
      <c r="D299" s="379"/>
      <c r="E299" s="379"/>
      <c r="F299" s="379"/>
      <c r="G299" s="375"/>
      <c r="H299" s="375"/>
      <c r="I299" s="375"/>
      <c r="J299" s="375"/>
      <c r="K299" s="375"/>
      <c r="L299" s="375"/>
      <c r="M299" s="375"/>
      <c r="N299" s="375"/>
      <c r="O299" s="375"/>
      <c r="P299" s="375"/>
      <c r="Q299" s="375"/>
      <c r="R299" s="375"/>
      <c r="S299" s="375"/>
      <c r="T299" s="375"/>
      <c r="U299" s="6"/>
      <c r="V299" s="6"/>
      <c r="W299" s="10"/>
      <c r="X299" s="14">
        <f>X239+1</f>
        <v>7</v>
      </c>
      <c r="Y299" s="379"/>
      <c r="Z299" s="379"/>
      <c r="AA299" s="379"/>
      <c r="AB299" s="4"/>
    </row>
    <row r="300" spans="1:28" x14ac:dyDescent="0.2">
      <c r="A300" s="380" t="s">
        <v>3</v>
      </c>
      <c r="B300" s="381"/>
      <c r="C300" s="381"/>
      <c r="D300" s="381"/>
      <c r="E300" s="381"/>
      <c r="F300" s="381"/>
      <c r="G300" s="383" t="s">
        <v>5</v>
      </c>
      <c r="H300" s="383"/>
      <c r="I300" s="383"/>
      <c r="J300" s="383"/>
      <c r="K300" s="383"/>
      <c r="L300" s="383"/>
      <c r="M300" s="383"/>
      <c r="N300" s="383"/>
      <c r="O300" s="383"/>
      <c r="P300" s="383"/>
      <c r="Q300" s="383"/>
      <c r="R300" s="383"/>
      <c r="S300" s="383"/>
      <c r="T300" s="383"/>
      <c r="U300" s="5"/>
      <c r="V300" s="5"/>
      <c r="W300" s="2"/>
      <c r="X300" s="384" t="s">
        <v>4</v>
      </c>
      <c r="Y300" s="384"/>
      <c r="Z300" s="384"/>
      <c r="AA300" s="384"/>
      <c r="AB300" s="385"/>
    </row>
    <row r="301" spans="1:28" x14ac:dyDescent="0.2">
      <c r="A301" s="382"/>
      <c r="B301" s="379"/>
      <c r="C301" s="379"/>
      <c r="D301" s="379"/>
      <c r="E301" s="379"/>
      <c r="F301" s="379"/>
      <c r="G301" s="388" t="s">
        <v>6</v>
      </c>
      <c r="H301" s="388"/>
      <c r="I301" s="388"/>
      <c r="J301" s="388"/>
      <c r="K301" s="388"/>
      <c r="L301" s="388"/>
      <c r="M301" s="388"/>
      <c r="N301" s="388"/>
      <c r="O301" s="388"/>
      <c r="P301" s="388"/>
      <c r="Q301" s="388"/>
      <c r="R301" s="388"/>
      <c r="S301" s="388"/>
      <c r="T301" s="388"/>
      <c r="U301" s="7"/>
      <c r="V301" s="7"/>
      <c r="W301" s="3"/>
      <c r="X301" s="386"/>
      <c r="Y301" s="386"/>
      <c r="Z301" s="386"/>
      <c r="AA301" s="386"/>
      <c r="AB301" s="387"/>
    </row>
    <row r="302" spans="1:28" x14ac:dyDescent="0.2">
      <c r="B302" s="436" t="s">
        <v>80</v>
      </c>
      <c r="C302" s="436"/>
      <c r="D302" s="436"/>
      <c r="E302" s="436"/>
      <c r="F302" s="436"/>
      <c r="G302" s="436"/>
      <c r="H302" s="436"/>
    </row>
    <row r="303" spans="1:28" x14ac:dyDescent="0.2">
      <c r="B303" s="436"/>
      <c r="C303" s="436"/>
      <c r="D303" s="436"/>
      <c r="E303" s="436"/>
      <c r="F303" s="436"/>
      <c r="G303" s="436"/>
      <c r="H303" s="436"/>
    </row>
    <row r="305" spans="2:27" x14ac:dyDescent="0.2">
      <c r="M305" s="476" t="s">
        <v>81</v>
      </c>
      <c r="N305" s="476"/>
      <c r="O305" s="476"/>
      <c r="P305" s="476"/>
      <c r="Q305" s="476"/>
      <c r="R305" s="421" t="s">
        <v>82</v>
      </c>
      <c r="S305" s="421"/>
      <c r="T305" s="32" t="s">
        <v>44</v>
      </c>
    </row>
    <row r="306" spans="2:27" x14ac:dyDescent="0.2">
      <c r="M306" s="476"/>
      <c r="N306" s="476"/>
      <c r="O306" s="476"/>
      <c r="P306" s="476"/>
      <c r="Q306" s="476"/>
      <c r="R306" s="421"/>
      <c r="S306" s="421"/>
      <c r="T306" s="11">
        <v>2</v>
      </c>
    </row>
    <row r="308" spans="2:27" x14ac:dyDescent="0.2">
      <c r="M308" s="476" t="s">
        <v>83</v>
      </c>
      <c r="N308" s="476"/>
      <c r="O308" s="476"/>
      <c r="P308" s="476"/>
      <c r="Q308" s="476"/>
      <c r="R308" s="421" t="s">
        <v>67</v>
      </c>
      <c r="S308" s="418" t="s">
        <v>62</v>
      </c>
      <c r="T308" s="418"/>
      <c r="U308" s="476" t="s">
        <v>44</v>
      </c>
    </row>
    <row r="309" spans="2:27" x14ac:dyDescent="0.2">
      <c r="J309" s="612" t="s">
        <v>56</v>
      </c>
      <c r="M309" s="476"/>
      <c r="N309" s="476"/>
      <c r="O309" s="476"/>
      <c r="P309" s="476"/>
      <c r="Q309" s="476"/>
      <c r="R309" s="421"/>
      <c r="S309" s="521">
        <v>180</v>
      </c>
      <c r="T309" s="521"/>
      <c r="U309" s="476"/>
    </row>
    <row r="310" spans="2:27" x14ac:dyDescent="0.2">
      <c r="J310" s="612"/>
    </row>
    <row r="311" spans="2:27" x14ac:dyDescent="0.2">
      <c r="M311" s="476" t="s">
        <v>90</v>
      </c>
      <c r="N311" s="476"/>
      <c r="O311" s="476"/>
      <c r="P311" s="476"/>
      <c r="Q311" s="511" t="s">
        <v>89</v>
      </c>
      <c r="R311" s="32" t="s">
        <v>56</v>
      </c>
      <c r="S311" s="550" t="s">
        <v>91</v>
      </c>
      <c r="T311" s="421"/>
      <c r="V311" s="56"/>
      <c r="W311" s="56"/>
      <c r="X311" s="56"/>
      <c r="Y311" s="69"/>
      <c r="Z311" s="69"/>
      <c r="AA311" s="421"/>
    </row>
    <row r="312" spans="2:27" x14ac:dyDescent="0.2">
      <c r="M312" s="476"/>
      <c r="N312" s="476"/>
      <c r="O312" s="476"/>
      <c r="P312" s="476"/>
      <c r="Q312" s="511"/>
      <c r="R312" s="11" t="s">
        <v>67</v>
      </c>
      <c r="S312" s="421"/>
      <c r="T312" s="421"/>
      <c r="V312" s="56"/>
      <c r="W312" s="56"/>
      <c r="X312" s="56"/>
      <c r="Y312" s="69"/>
      <c r="Z312" s="69"/>
      <c r="AA312" s="421"/>
    </row>
    <row r="313" spans="2:27" x14ac:dyDescent="0.2">
      <c r="Q313" s="2"/>
    </row>
    <row r="314" spans="2:27" x14ac:dyDescent="0.2">
      <c r="M314" s="476" t="s">
        <v>84</v>
      </c>
      <c r="N314" s="476"/>
      <c r="O314" s="476"/>
      <c r="P314" s="476"/>
      <c r="Q314" s="476" t="s">
        <v>67</v>
      </c>
      <c r="R314" s="476" t="s">
        <v>85</v>
      </c>
      <c r="S314" s="476" t="s">
        <v>85</v>
      </c>
      <c r="T314" s="32" t="s">
        <v>86</v>
      </c>
      <c r="U314" t="s">
        <v>88</v>
      </c>
    </row>
    <row r="315" spans="2:27" x14ac:dyDescent="0.2">
      <c r="M315" s="476"/>
      <c r="N315" s="476"/>
      <c r="O315" s="476"/>
      <c r="P315" s="476"/>
      <c r="Q315" s="476"/>
      <c r="R315" s="476"/>
      <c r="S315" s="476"/>
      <c r="T315" s="11" t="s">
        <v>87</v>
      </c>
    </row>
    <row r="320" spans="2:27" x14ac:dyDescent="0.2">
      <c r="B320" s="107" t="str">
        <f>B302&amp;" - arealberegning"</f>
        <v>Cirkeludsnit - arealberegning</v>
      </c>
      <c r="C320" s="84"/>
      <c r="D320" s="94"/>
      <c r="E320" s="94"/>
      <c r="F320" s="94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 t="s">
        <v>54</v>
      </c>
      <c r="W320" s="85"/>
      <c r="X320" s="85"/>
      <c r="Y320" s="85"/>
      <c r="Z320" s="85"/>
      <c r="AA320" s="82">
        <v>3</v>
      </c>
    </row>
    <row r="321" spans="2:27" x14ac:dyDescent="0.2">
      <c r="B321" s="34"/>
      <c r="C321" s="59" t="s">
        <v>67</v>
      </c>
      <c r="D321" s="473">
        <v>155</v>
      </c>
      <c r="E321" s="473"/>
      <c r="F321" s="473"/>
      <c r="G321" s="35"/>
      <c r="H321" s="35"/>
      <c r="I321" s="35"/>
      <c r="J321" s="537" t="s">
        <v>92</v>
      </c>
      <c r="K321" s="541">
        <f>D321</f>
        <v>155</v>
      </c>
      <c r="L321" s="541"/>
      <c r="M321" s="543" t="s">
        <v>62</v>
      </c>
      <c r="N321" s="543"/>
      <c r="O321" s="477" t="str">
        <f>D322&amp;" = "</f>
        <v xml:space="preserve">40 = </v>
      </c>
      <c r="P321" s="477"/>
      <c r="Q321" s="537">
        <f>ROUND(D321*PI()/180*D322,AA320)</f>
        <v>108.21</v>
      </c>
      <c r="R321" s="537"/>
      <c r="S321" s="537"/>
      <c r="T321" s="537"/>
      <c r="U321" s="35"/>
      <c r="V321" s="35"/>
      <c r="W321" s="35"/>
      <c r="X321" s="35"/>
      <c r="Y321" s="35"/>
      <c r="AA321" s="36"/>
    </row>
    <row r="322" spans="2:27" x14ac:dyDescent="0.2">
      <c r="B322" s="39"/>
      <c r="C322" s="61" t="s">
        <v>44</v>
      </c>
      <c r="D322" s="447">
        <v>40</v>
      </c>
      <c r="E322" s="447"/>
      <c r="F322" s="447"/>
      <c r="G322" s="68" t="s">
        <v>50</v>
      </c>
      <c r="H322" s="2"/>
      <c r="I322" s="2"/>
      <c r="J322" s="417"/>
      <c r="K322" s="493"/>
      <c r="L322" s="493"/>
      <c r="M322" s="307">
        <v>180</v>
      </c>
      <c r="N322" s="307"/>
      <c r="O322" s="511"/>
      <c r="P322" s="511"/>
      <c r="Q322" s="417"/>
      <c r="R322" s="417"/>
      <c r="S322" s="417"/>
      <c r="T322" s="417"/>
      <c r="U322" s="69"/>
      <c r="V322" s="69"/>
      <c r="W322" s="2"/>
      <c r="X322" s="2"/>
      <c r="Y322" s="2"/>
      <c r="Z322" s="2"/>
      <c r="AA322" s="40"/>
    </row>
    <row r="323" spans="2:27" x14ac:dyDescent="0.2">
      <c r="B323" s="39"/>
      <c r="C323" s="2" t="s">
        <v>86</v>
      </c>
      <c r="D323" s="553">
        <f>ROUND(2*D321*SIN(0.5*PI()/180*D322),$AA$320)</f>
        <v>106.026</v>
      </c>
      <c r="E323" s="553"/>
      <c r="F323" s="553"/>
      <c r="G323" s="553"/>
      <c r="H323" s="553"/>
      <c r="I323" s="553"/>
      <c r="J323" s="511" t="s">
        <v>10</v>
      </c>
      <c r="K323" s="493" t="str">
        <f>" =  ½ "&amp;D321&amp;"²"</f>
        <v xml:space="preserve"> =  ½ 155²</v>
      </c>
      <c r="L323" s="493"/>
      <c r="M323" s="493"/>
      <c r="N323" s="418">
        <f>Q321</f>
        <v>108.21</v>
      </c>
      <c r="O323" s="418"/>
      <c r="P323" s="551" t="str">
        <f>" - sin("&amp;D322&amp;")"</f>
        <v xml:space="preserve"> - sin(40)</v>
      </c>
      <c r="Q323" s="551"/>
      <c r="R323" s="551"/>
      <c r="S323" s="511" t="s">
        <v>42</v>
      </c>
      <c r="T323" s="417">
        <f>ROUND(0.5*D321^2*(Q321/D321-SIN(D322/180*PI())),AA320)</f>
        <v>664.78899999999999</v>
      </c>
      <c r="U323" s="417"/>
      <c r="V323" s="417"/>
      <c r="W323" s="417"/>
      <c r="X323" s="417"/>
      <c r="Y323" s="417"/>
      <c r="Z323" s="2"/>
      <c r="AA323" s="40"/>
    </row>
    <row r="324" spans="2:27" x14ac:dyDescent="0.2">
      <c r="B324" s="37"/>
      <c r="C324" s="3" t="s">
        <v>9</v>
      </c>
      <c r="D324" s="554">
        <f>ROUND(D321*(1-(1-(D323/(2*D321))^2)^0.5),$AA$320)</f>
        <v>9.3480000000000008</v>
      </c>
      <c r="E324" s="554"/>
      <c r="F324" s="554"/>
      <c r="G324" s="554"/>
      <c r="H324" s="554"/>
      <c r="I324" s="554"/>
      <c r="J324" s="480"/>
      <c r="K324" s="542"/>
      <c r="L324" s="542"/>
      <c r="M324" s="542"/>
      <c r="N324" s="418">
        <f>D321</f>
        <v>155</v>
      </c>
      <c r="O324" s="418"/>
      <c r="P324" s="552"/>
      <c r="Q324" s="552"/>
      <c r="R324" s="552"/>
      <c r="S324" s="480"/>
      <c r="T324" s="540"/>
      <c r="U324" s="540"/>
      <c r="V324" s="540"/>
      <c r="W324" s="540"/>
      <c r="X324" s="540"/>
      <c r="Y324" s="540"/>
      <c r="Z324" s="3"/>
      <c r="AA324" s="38"/>
    </row>
    <row r="325" spans="2:27" x14ac:dyDescent="0.2"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7" spans="2:27" x14ac:dyDescent="0.2">
      <c r="B327" s="436" t="s">
        <v>93</v>
      </c>
      <c r="C327" s="436"/>
      <c r="D327" s="436"/>
      <c r="E327" s="436"/>
      <c r="F327" s="436"/>
      <c r="G327" s="436"/>
      <c r="H327" s="436"/>
    </row>
    <row r="328" spans="2:27" x14ac:dyDescent="0.2">
      <c r="B328" s="436"/>
      <c r="C328" s="436"/>
      <c r="D328" s="436"/>
      <c r="E328" s="436"/>
      <c r="F328" s="436"/>
      <c r="G328" s="436"/>
      <c r="H328" s="436"/>
    </row>
    <row r="330" spans="2:27" x14ac:dyDescent="0.2">
      <c r="L330" s="476" t="s">
        <v>94</v>
      </c>
      <c r="M330" s="476"/>
      <c r="N330" s="476"/>
      <c r="O330" s="476"/>
    </row>
    <row r="331" spans="2:27" x14ac:dyDescent="0.2">
      <c r="L331" s="476"/>
      <c r="M331" s="476"/>
      <c r="N331" s="476"/>
      <c r="O331" s="476"/>
    </row>
    <row r="340" spans="2:27" x14ac:dyDescent="0.2">
      <c r="B340" s="107" t="str">
        <f>B327&amp;" - arealberegning"</f>
        <v>Ellipse - arealberegning</v>
      </c>
      <c r="C340" s="84"/>
      <c r="D340" s="94"/>
      <c r="E340" s="94"/>
      <c r="F340" s="94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 t="s">
        <v>54</v>
      </c>
      <c r="W340" s="85"/>
      <c r="X340" s="85"/>
      <c r="Y340" s="85"/>
      <c r="Z340" s="85"/>
      <c r="AA340" s="82">
        <v>3</v>
      </c>
    </row>
    <row r="341" spans="2:27" x14ac:dyDescent="0.2">
      <c r="B341" s="34"/>
      <c r="C341" s="59" t="s">
        <v>15</v>
      </c>
      <c r="D341" s="473">
        <v>5</v>
      </c>
      <c r="E341" s="473"/>
      <c r="F341" s="473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AA341" s="36"/>
    </row>
    <row r="342" spans="2:27" x14ac:dyDescent="0.2">
      <c r="B342" s="37"/>
      <c r="C342" s="60" t="s">
        <v>14</v>
      </c>
      <c r="D342" s="520">
        <v>3</v>
      </c>
      <c r="E342" s="520"/>
      <c r="F342" s="520"/>
      <c r="G342" s="3"/>
      <c r="H342" s="3"/>
      <c r="I342" s="3"/>
      <c r="J342" s="3" t="str">
        <f>"A  = π∙"&amp;D342&amp;"∙"&amp;D341&amp;" = "&amp;ROUND(PI()*D342*D341,AA340)</f>
        <v>A  = π∙3∙5 = 47,124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8"/>
    </row>
    <row r="357" spans="1:28" x14ac:dyDescent="0.2">
      <c r="A357" s="423" t="s">
        <v>0</v>
      </c>
      <c r="B357" s="378"/>
      <c r="C357" s="378"/>
      <c r="D357" s="378"/>
      <c r="E357" s="378"/>
      <c r="F357" s="378"/>
      <c r="G357" s="374" t="s">
        <v>1</v>
      </c>
      <c r="H357" s="374"/>
      <c r="I357" s="374"/>
      <c r="J357" s="374"/>
      <c r="K357" s="374"/>
      <c r="L357" s="374"/>
      <c r="M357" s="374"/>
      <c r="N357" s="374"/>
      <c r="O357" s="374"/>
      <c r="P357" s="374"/>
      <c r="Q357" s="374"/>
      <c r="R357" s="374"/>
      <c r="S357" s="374"/>
      <c r="T357" s="374"/>
      <c r="U357" s="8"/>
      <c r="V357" s="8"/>
      <c r="W357" s="9"/>
      <c r="X357" s="9"/>
      <c r="Y357" s="378" t="s">
        <v>2</v>
      </c>
      <c r="Z357" s="378"/>
      <c r="AA357" s="378"/>
      <c r="AB357" s="1"/>
    </row>
    <row r="358" spans="1:28" x14ac:dyDescent="0.2">
      <c r="A358" s="382"/>
      <c r="B358" s="379"/>
      <c r="C358" s="379"/>
      <c r="D358" s="379"/>
      <c r="E358" s="379"/>
      <c r="F358" s="379"/>
      <c r="G358" s="375"/>
      <c r="H358" s="375"/>
      <c r="I358" s="375"/>
      <c r="J358" s="375"/>
      <c r="K358" s="375"/>
      <c r="L358" s="375"/>
      <c r="M358" s="375"/>
      <c r="N358" s="375"/>
      <c r="O358" s="375"/>
      <c r="P358" s="375"/>
      <c r="Q358" s="375"/>
      <c r="R358" s="375"/>
      <c r="S358" s="375"/>
      <c r="T358" s="375"/>
      <c r="U358" s="6"/>
      <c r="V358" s="6"/>
      <c r="W358" s="10"/>
      <c r="X358" s="14">
        <f>X299+1</f>
        <v>8</v>
      </c>
      <c r="Y358" s="379"/>
      <c r="Z358" s="379"/>
      <c r="AA358" s="379"/>
      <c r="AB358" s="4"/>
    </row>
    <row r="359" spans="1:28" x14ac:dyDescent="0.2">
      <c r="A359" s="380" t="s">
        <v>3</v>
      </c>
      <c r="B359" s="381"/>
      <c r="C359" s="381"/>
      <c r="D359" s="381"/>
      <c r="E359" s="381"/>
      <c r="F359" s="381"/>
      <c r="G359" s="383" t="s">
        <v>5</v>
      </c>
      <c r="H359" s="383"/>
      <c r="I359" s="383"/>
      <c r="J359" s="383"/>
      <c r="K359" s="383"/>
      <c r="L359" s="383"/>
      <c r="M359" s="383"/>
      <c r="N359" s="383"/>
      <c r="O359" s="383"/>
      <c r="P359" s="383"/>
      <c r="Q359" s="383"/>
      <c r="R359" s="383"/>
      <c r="S359" s="383"/>
      <c r="T359" s="383"/>
      <c r="U359" s="5"/>
      <c r="V359" s="5"/>
      <c r="W359" s="2"/>
      <c r="X359" s="384" t="s">
        <v>4</v>
      </c>
      <c r="Y359" s="384"/>
      <c r="Z359" s="384"/>
      <c r="AA359" s="384"/>
      <c r="AB359" s="385"/>
    </row>
    <row r="360" spans="1:28" x14ac:dyDescent="0.2">
      <c r="A360" s="382"/>
      <c r="B360" s="379"/>
      <c r="C360" s="379"/>
      <c r="D360" s="379"/>
      <c r="E360" s="379"/>
      <c r="F360" s="379"/>
      <c r="G360" s="388" t="s">
        <v>95</v>
      </c>
      <c r="H360" s="388"/>
      <c r="I360" s="388"/>
      <c r="J360" s="388"/>
      <c r="K360" s="388"/>
      <c r="L360" s="388"/>
      <c r="M360" s="388"/>
      <c r="N360" s="388"/>
      <c r="O360" s="388"/>
      <c r="P360" s="388"/>
      <c r="Q360" s="388"/>
      <c r="R360" s="388"/>
      <c r="S360" s="388"/>
      <c r="T360" s="388"/>
      <c r="U360" s="7"/>
      <c r="V360" s="7"/>
      <c r="W360" s="3"/>
      <c r="X360" s="386"/>
      <c r="Y360" s="386"/>
      <c r="Z360" s="386"/>
      <c r="AA360" s="386"/>
      <c r="AB360" s="387"/>
    </row>
    <row r="362" spans="1:28" x14ac:dyDescent="0.2">
      <c r="B362" s="492" t="s">
        <v>95</v>
      </c>
      <c r="C362" s="492"/>
      <c r="D362" s="492"/>
      <c r="E362" s="492"/>
      <c r="F362" s="492"/>
      <c r="G362" s="492"/>
      <c r="H362" s="492"/>
    </row>
    <row r="363" spans="1:28" x14ac:dyDescent="0.2">
      <c r="B363" s="492"/>
      <c r="C363" s="492"/>
      <c r="D363" s="492"/>
      <c r="E363" s="492"/>
      <c r="F363" s="492"/>
      <c r="G363" s="492"/>
      <c r="H363" s="492"/>
    </row>
    <row r="365" spans="1:28" x14ac:dyDescent="0.2">
      <c r="B365" s="436" t="s">
        <v>96</v>
      </c>
      <c r="C365" s="436"/>
      <c r="D365" s="436"/>
      <c r="E365" s="436"/>
      <c r="F365" s="436"/>
      <c r="G365" s="436"/>
      <c r="H365" s="436"/>
    </row>
    <row r="366" spans="1:28" x14ac:dyDescent="0.2">
      <c r="B366" s="436"/>
      <c r="C366" s="436"/>
      <c r="D366" s="436"/>
      <c r="E366" s="436"/>
      <c r="F366" s="436"/>
      <c r="G366" s="436"/>
      <c r="H366" s="436"/>
    </row>
    <row r="370" spans="2:27" x14ac:dyDescent="0.2">
      <c r="J370" s="18" t="s">
        <v>9</v>
      </c>
    </row>
    <row r="371" spans="2:27" x14ac:dyDescent="0.2">
      <c r="M371" t="s">
        <v>97</v>
      </c>
    </row>
    <row r="374" spans="2:27" x14ac:dyDescent="0.2">
      <c r="I374" s="544" t="s">
        <v>14</v>
      </c>
      <c r="J374" s="544"/>
    </row>
    <row r="375" spans="2:27" x14ac:dyDescent="0.2">
      <c r="I375" s="544"/>
      <c r="J375" s="544"/>
    </row>
    <row r="376" spans="2:27" x14ac:dyDescent="0.2">
      <c r="E376" t="s">
        <v>15</v>
      </c>
    </row>
    <row r="378" spans="2:27" x14ac:dyDescent="0.2">
      <c r="B378" s="107" t="str">
        <f>B365&amp;" - Volumen"</f>
        <v>Kasse - Volumen</v>
      </c>
      <c r="C378" s="84"/>
      <c r="D378" s="94"/>
      <c r="E378" s="94"/>
      <c r="F378" s="94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 t="s">
        <v>54</v>
      </c>
      <c r="W378" s="85"/>
      <c r="X378" s="85"/>
      <c r="Y378" s="85"/>
      <c r="Z378" s="85"/>
      <c r="AA378" s="82">
        <v>2</v>
      </c>
    </row>
    <row r="379" spans="2:27" x14ac:dyDescent="0.2">
      <c r="B379" s="72" t="s">
        <v>15</v>
      </c>
      <c r="C379" s="473">
        <v>6</v>
      </c>
      <c r="D379" s="473"/>
      <c r="E379" s="473"/>
      <c r="F379" s="35"/>
      <c r="G379" s="35"/>
      <c r="H379" s="35"/>
      <c r="I379" s="35"/>
      <c r="J379" s="42"/>
      <c r="K379" s="42"/>
      <c r="L379" s="42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6"/>
    </row>
    <row r="380" spans="2:27" x14ac:dyDescent="0.2">
      <c r="B380" s="73" t="s">
        <v>14</v>
      </c>
      <c r="C380" s="447">
        <v>4</v>
      </c>
      <c r="D380" s="447"/>
      <c r="E380" s="447"/>
      <c r="F380" s="2"/>
      <c r="G380" s="2"/>
      <c r="H380" s="2"/>
      <c r="I380" s="43"/>
      <c r="J380" s="2" t="str">
        <f>"V  = "&amp;C379&amp;"∙"&amp;C380&amp;"∙"&amp;C381&amp;" = "&amp;ROUND(C379*C380*C381,AA378)</f>
        <v>V  = 6∙4∙8 = 192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51"/>
      <c r="AA380" s="40"/>
    </row>
    <row r="381" spans="2:27" x14ac:dyDescent="0.2">
      <c r="B381" s="74" t="s">
        <v>9</v>
      </c>
      <c r="C381" s="520">
        <v>8</v>
      </c>
      <c r="D381" s="520"/>
      <c r="E381" s="520"/>
      <c r="F381" s="3"/>
      <c r="G381" s="4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8"/>
    </row>
    <row r="383" spans="2:27" x14ac:dyDescent="0.2">
      <c r="B383" s="436" t="s">
        <v>98</v>
      </c>
      <c r="C383" s="436"/>
      <c r="D383" s="436"/>
      <c r="E383" s="436"/>
      <c r="F383" s="436"/>
      <c r="G383" s="436"/>
      <c r="H383" s="436"/>
    </row>
    <row r="384" spans="2:27" x14ac:dyDescent="0.2">
      <c r="B384" s="436"/>
      <c r="C384" s="436"/>
      <c r="D384" s="436"/>
      <c r="E384" s="436"/>
      <c r="F384" s="436"/>
      <c r="G384" s="436"/>
      <c r="H384" s="436"/>
    </row>
    <row r="385" spans="2:132" x14ac:dyDescent="0.2">
      <c r="DF385" t="str">
        <f>VLOOKUP(R394,DD386:DE388,2,)</f>
        <v>m</v>
      </c>
      <c r="DQ385" t="str">
        <f>VLOOKUP(R404,DO386:DP387,2,)</f>
        <v>m³</v>
      </c>
    </row>
    <row r="386" spans="2:132" x14ac:dyDescent="0.2">
      <c r="DD386" s="54" t="s">
        <v>713</v>
      </c>
      <c r="DE386" s="54" t="s">
        <v>260</v>
      </c>
      <c r="DO386" s="54" t="s">
        <v>716</v>
      </c>
      <c r="DP386" s="54" t="s">
        <v>716</v>
      </c>
    </row>
    <row r="387" spans="2:132" x14ac:dyDescent="0.2">
      <c r="DD387" s="54" t="s">
        <v>711</v>
      </c>
      <c r="DE387" s="54" t="s">
        <v>714</v>
      </c>
      <c r="DK387">
        <f>IF(EB394=1,ROUND(DI395,AI394),"")</f>
        <v>8.0000000000000002E-3</v>
      </c>
      <c r="DO387" s="54" t="s">
        <v>717</v>
      </c>
      <c r="DP387" s="54" t="s">
        <v>718</v>
      </c>
    </row>
    <row r="388" spans="2:132" x14ac:dyDescent="0.2">
      <c r="DD388" s="54" t="s">
        <v>712</v>
      </c>
      <c r="DE388" s="54" t="s">
        <v>231</v>
      </c>
    </row>
    <row r="390" spans="2:132" ht="13.5" thickBot="1" x14ac:dyDescent="0.25">
      <c r="DI390" s="264">
        <v>3.1415926535900001</v>
      </c>
    </row>
    <row r="391" spans="2:132" x14ac:dyDescent="0.2">
      <c r="R391" s="521"/>
      <c r="S391" s="521"/>
      <c r="T391" s="521"/>
      <c r="U391" s="521"/>
      <c r="DD391" s="273"/>
      <c r="DE391" s="274" t="s">
        <v>86</v>
      </c>
      <c r="DF391" s="274" t="s">
        <v>86</v>
      </c>
      <c r="DG391" s="274" t="s">
        <v>86</v>
      </c>
      <c r="DH391" s="279" t="s">
        <v>86</v>
      </c>
      <c r="DI391" s="283"/>
      <c r="DL391" s="273"/>
      <c r="DM391" s="274" t="s">
        <v>86</v>
      </c>
      <c r="DN391" s="274" t="s">
        <v>86</v>
      </c>
      <c r="DO391" s="274" t="s">
        <v>86</v>
      </c>
      <c r="DP391" s="279" t="s">
        <v>86</v>
      </c>
      <c r="EB391" s="292"/>
    </row>
    <row r="392" spans="2:132" x14ac:dyDescent="0.2">
      <c r="DD392" s="275"/>
      <c r="DE392" s="272" t="s">
        <v>67</v>
      </c>
      <c r="DF392" s="272" t="s">
        <v>79</v>
      </c>
      <c r="DG392" s="272" t="s">
        <v>15</v>
      </c>
      <c r="DH392" s="280" t="s">
        <v>709</v>
      </c>
      <c r="DI392" s="284"/>
      <c r="DL392" s="275"/>
      <c r="DM392" s="272" t="s">
        <v>67</v>
      </c>
      <c r="DN392" s="272" t="s">
        <v>79</v>
      </c>
      <c r="DO392" s="272" t="s">
        <v>15</v>
      </c>
      <c r="DP392" s="280" t="s">
        <v>709</v>
      </c>
      <c r="EB392" s="292"/>
    </row>
    <row r="393" spans="2:132" x14ac:dyDescent="0.2">
      <c r="DD393" s="276" t="s">
        <v>67</v>
      </c>
      <c r="DE393" s="271">
        <f>F396</f>
        <v>0</v>
      </c>
      <c r="DF393" s="271">
        <f>F398/2</f>
        <v>5.1999999999999998E-2</v>
      </c>
      <c r="DG393" s="271">
        <f>SQRT(F400/DI390)</f>
        <v>0</v>
      </c>
      <c r="DH393" s="281">
        <f>(F402/DI390)/2</f>
        <v>0</v>
      </c>
      <c r="DI393" s="284">
        <f>SUM(DE393:DH393)*$DQ$393</f>
        <v>5.1999999999999998E-2</v>
      </c>
      <c r="DL393" s="276" t="s">
        <v>67</v>
      </c>
      <c r="DM393" s="270">
        <f>IF(F396=$DL$391,0,1)</f>
        <v>0</v>
      </c>
      <c r="DN393">
        <f>IF(F398=$DL$391,0,1)</f>
        <v>1</v>
      </c>
      <c r="DO393">
        <f>IF(F400=$DL$391,0,1)</f>
        <v>0</v>
      </c>
      <c r="DP393">
        <f>IF(F402=$DL$391,0,1)</f>
        <v>0</v>
      </c>
      <c r="DQ393" s="270">
        <f>IF(SUM(DM393:DP393)=1,1,0)</f>
        <v>1</v>
      </c>
      <c r="DR393">
        <f>IF(F396=DL391,0,1)</f>
        <v>0</v>
      </c>
      <c r="EB393" s="293">
        <f>IF(F396=$DD$391,1,0)</f>
        <v>1</v>
      </c>
    </row>
    <row r="394" spans="2:132" x14ac:dyDescent="0.2">
      <c r="B394" s="107" t="str">
        <f>B383&amp;" - Volumen"</f>
        <v>Cylinder - Volumen</v>
      </c>
      <c r="C394" s="84"/>
      <c r="D394" s="94"/>
      <c r="E394" s="94"/>
      <c r="F394" s="94"/>
      <c r="G394" s="85"/>
      <c r="H394" s="85"/>
      <c r="I394" s="85"/>
      <c r="J394" s="85"/>
      <c r="K394" s="85"/>
      <c r="L394" s="85"/>
      <c r="M394" s="85"/>
      <c r="N394" s="744" t="s">
        <v>710</v>
      </c>
      <c r="O394" s="744"/>
      <c r="P394" s="744"/>
      <c r="Q394" s="744"/>
      <c r="R394" s="742" t="s">
        <v>712</v>
      </c>
      <c r="S394" s="742"/>
      <c r="T394" s="742"/>
      <c r="U394" s="85"/>
      <c r="V394" s="171"/>
      <c r="W394" s="171"/>
      <c r="X394" s="171"/>
      <c r="Y394" s="171"/>
      <c r="Z394" s="171"/>
      <c r="AA394" s="171"/>
      <c r="AB394" s="85" t="s">
        <v>54</v>
      </c>
      <c r="AC394" s="85"/>
      <c r="AD394" s="85"/>
      <c r="AE394" s="85"/>
      <c r="AF394" s="85"/>
      <c r="AG394" s="85"/>
      <c r="AH394" s="85"/>
      <c r="AI394" s="82">
        <v>3</v>
      </c>
      <c r="DD394" s="276" t="s">
        <v>79</v>
      </c>
      <c r="DE394" s="271">
        <f>F396*2</f>
        <v>0</v>
      </c>
      <c r="DF394" s="271">
        <f>F398</f>
        <v>0.104</v>
      </c>
      <c r="DG394" s="271">
        <f>(SQRT(F400/DI390))*2</f>
        <v>0</v>
      </c>
      <c r="DH394" s="281">
        <f>F402/DI390</f>
        <v>0</v>
      </c>
      <c r="DI394" s="284">
        <f>SUM(DE394:DH394)*$DQ$393</f>
        <v>0.104</v>
      </c>
      <c r="DR394">
        <f>IF(F398=DL391,0,1)</f>
        <v>1</v>
      </c>
      <c r="EB394" s="293">
        <f>EB393*$DQ$393</f>
        <v>1</v>
      </c>
    </row>
    <row r="395" spans="2:132" x14ac:dyDescent="0.2">
      <c r="B395" s="288"/>
      <c r="C395" s="289"/>
      <c r="D395" s="289"/>
      <c r="E395" s="289" t="s">
        <v>719</v>
      </c>
      <c r="F395" s="290"/>
      <c r="G395" s="171"/>
      <c r="H395" s="171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108"/>
      <c r="DD395" s="276" t="s">
        <v>15</v>
      </c>
      <c r="DE395" s="271">
        <f>F396*F396*DI390</f>
        <v>0</v>
      </c>
      <c r="DF395" s="271">
        <f>(F398/2)*(F398/2)*DI390</f>
        <v>8.4948665353073594E-3</v>
      </c>
      <c r="DG395" s="271">
        <f>F400</f>
        <v>0</v>
      </c>
      <c r="DH395" s="281">
        <f>((F402/DI390)/2)*((F402/DI390)/2)*DI390</f>
        <v>0</v>
      </c>
      <c r="DI395" s="284">
        <f>SUM(DE395:DH395)*$DQ$393</f>
        <v>8.4948665353073594E-3</v>
      </c>
      <c r="DR395">
        <f>IF(F400=DL391,0,1)</f>
        <v>0</v>
      </c>
      <c r="EB395" s="293">
        <f>IF(F398=$DD$391,1,0)</f>
        <v>0</v>
      </c>
    </row>
    <row r="396" spans="2:132" ht="13.5" thickBot="1" x14ac:dyDescent="0.25">
      <c r="B396" s="545" t="s">
        <v>696</v>
      </c>
      <c r="C396" s="548" t="s">
        <v>691</v>
      </c>
      <c r="D396" s="548"/>
      <c r="E396" s="548"/>
      <c r="F396" s="547"/>
      <c r="G396" s="547"/>
      <c r="H396" s="547"/>
      <c r="I396" s="730" t="s">
        <v>159</v>
      </c>
      <c r="J396" s="257" t="s">
        <v>79</v>
      </c>
      <c r="K396" s="286"/>
      <c r="L396" s="735" t="s">
        <v>708</v>
      </c>
      <c r="M396" s="735"/>
      <c r="N396" s="738" t="s">
        <v>159</v>
      </c>
      <c r="O396" s="257" t="s">
        <v>15</v>
      </c>
      <c r="P396" s="285"/>
      <c r="Q396" s="753" t="str">
        <f>IF(EB394=1,"r =","")</f>
        <v>r =</v>
      </c>
      <c r="R396" s="752">
        <f>IF(EB394=1,ROUND(DI394,AI394),"")</f>
        <v>0.104</v>
      </c>
      <c r="S396" s="752"/>
      <c r="T396" s="752"/>
      <c r="U396" s="311" t="str">
        <f>IF(EB394=1,"= "&amp;(ROUND(DI393,AI394))&amp;" "&amp;DF385,"")</f>
        <v>= 0,052 m</v>
      </c>
      <c r="V396" s="311"/>
      <c r="W396" s="311"/>
      <c r="X396" s="311"/>
      <c r="Y396" s="735" t="str">
        <f>IF(EB394=1,"eller","")</f>
        <v>eller</v>
      </c>
      <c r="Z396" s="735"/>
      <c r="AA396" s="738" t="str">
        <f>IF(EB394=1,"r =","")</f>
        <v>r =</v>
      </c>
      <c r="AB396" s="754">
        <f>IF(EB394=1,ROUND(DI395,AI394),"")</f>
        <v>8.0000000000000002E-3</v>
      </c>
      <c r="AC396" s="754"/>
      <c r="AD396" s="754"/>
      <c r="AE396" s="311" t="str">
        <f>IF(EB394=1,"= "&amp;(ROUND(DI393,AI394))&amp;" "&amp;DF385,"")</f>
        <v>= 0,052 m</v>
      </c>
      <c r="AF396" s="311"/>
      <c r="AG396" s="311"/>
      <c r="AH396" s="311"/>
      <c r="AI396" s="312"/>
      <c r="DD396" s="277" t="s">
        <v>709</v>
      </c>
      <c r="DE396" s="278">
        <f>(F396+F396)*DI390</f>
        <v>0</v>
      </c>
      <c r="DF396" s="278">
        <f>F398*DI390</f>
        <v>0.32672563597336002</v>
      </c>
      <c r="DG396" s="278">
        <f>((SQRT(F400/DI390))*2)*DI390</f>
        <v>0</v>
      </c>
      <c r="DH396" s="282">
        <f>F402</f>
        <v>0</v>
      </c>
      <c r="DI396" s="284">
        <f>SUM(DE396:DH396)*$DQ$393</f>
        <v>0.32672563597336002</v>
      </c>
      <c r="DR396">
        <f>IF(F402=DL391,0,1)</f>
        <v>0</v>
      </c>
      <c r="EB396" s="293">
        <f>EB395*$DQ$393</f>
        <v>0</v>
      </c>
    </row>
    <row r="397" spans="2:132" x14ac:dyDescent="0.2">
      <c r="B397" s="546"/>
      <c r="C397" s="549"/>
      <c r="D397" s="549"/>
      <c r="E397" s="549"/>
      <c r="F397" s="547"/>
      <c r="G397" s="547"/>
      <c r="H397" s="547"/>
      <c r="I397" s="731"/>
      <c r="J397" s="259">
        <v>2</v>
      </c>
      <c r="K397" s="255"/>
      <c r="L397" s="736"/>
      <c r="M397" s="736"/>
      <c r="N397" s="734"/>
      <c r="O397" s="258" t="s">
        <v>62</v>
      </c>
      <c r="P397" s="266"/>
      <c r="Q397" s="746"/>
      <c r="R397" s="739">
        <f>IF(EB394=1,2,"")</f>
        <v>2</v>
      </c>
      <c r="S397" s="739"/>
      <c r="T397" s="739"/>
      <c r="U397" s="755"/>
      <c r="V397" s="755"/>
      <c r="W397" s="755"/>
      <c r="X397" s="755"/>
      <c r="Y397" s="736"/>
      <c r="Z397" s="736"/>
      <c r="AA397" s="734"/>
      <c r="AB397" s="736" t="str">
        <f>IF(EB394=1,"π","")</f>
        <v>π</v>
      </c>
      <c r="AC397" s="736"/>
      <c r="AD397" s="736"/>
      <c r="AE397" s="755"/>
      <c r="AF397" s="755"/>
      <c r="AG397" s="755"/>
      <c r="AH397" s="755"/>
      <c r="AI397" s="756"/>
      <c r="EB397" s="293">
        <f>IF(F400=$DD$391,1,0)</f>
        <v>1</v>
      </c>
    </row>
    <row r="398" spans="2:132" ht="12.75" customHeight="1" x14ac:dyDescent="0.2">
      <c r="B398" s="545" t="s">
        <v>697</v>
      </c>
      <c r="C398" s="548" t="s">
        <v>692</v>
      </c>
      <c r="D398" s="548"/>
      <c r="E398" s="548"/>
      <c r="F398" s="547">
        <v>0.104</v>
      </c>
      <c r="G398" s="547"/>
      <c r="H398" s="547"/>
      <c r="I398" s="732" t="s">
        <v>705</v>
      </c>
      <c r="J398" s="733" t="s">
        <v>702</v>
      </c>
      <c r="K398" s="733"/>
      <c r="L398" s="737" t="s">
        <v>708</v>
      </c>
      <c r="M398" s="737"/>
      <c r="N398" s="733" t="s">
        <v>705</v>
      </c>
      <c r="O398" s="258" t="s">
        <v>709</v>
      </c>
      <c r="P398" s="265"/>
      <c r="Q398" s="732" t="str">
        <f>IF(EB396=1,"d = "&amp;ROUND(DI393,AI394)&amp;"• 2 = "&amp;(ROUND(DI394,AI394))&amp;" "&amp;DF385&amp;"","")</f>
        <v/>
      </c>
      <c r="R398" s="733"/>
      <c r="S398" s="733"/>
      <c r="T398" s="733"/>
      <c r="U398" s="733"/>
      <c r="V398" s="733"/>
      <c r="W398" s="733"/>
      <c r="X398" s="733"/>
      <c r="Y398" s="737" t="str">
        <f>IF(EB396=1,"eller","")</f>
        <v/>
      </c>
      <c r="Z398" s="737"/>
      <c r="AA398" s="308" t="str">
        <f>IF(EB396=1,ROUND(DI396,AI394),"")</f>
        <v/>
      </c>
      <c r="AB398" s="308"/>
      <c r="AC398" s="308"/>
      <c r="AD398" s="308"/>
      <c r="AE398" s="309" t="str">
        <f>IF(EB396=1,"= "&amp;(ROUND(DI394,AI394))&amp;" "&amp;DF385,"")</f>
        <v/>
      </c>
      <c r="AF398" s="309"/>
      <c r="AG398" s="309"/>
      <c r="AH398" s="309"/>
      <c r="AI398" s="310"/>
      <c r="DQ398" s="54" t="s">
        <v>9</v>
      </c>
      <c r="DR398">
        <f>F405</f>
        <v>1</v>
      </c>
      <c r="DS398">
        <f>F407/DI395</f>
        <v>0</v>
      </c>
      <c r="EB398" s="293">
        <f>EB397*$DQ$393</f>
        <v>1</v>
      </c>
    </row>
    <row r="399" spans="2:132" x14ac:dyDescent="0.2">
      <c r="B399" s="546"/>
      <c r="C399" s="549"/>
      <c r="D399" s="549"/>
      <c r="E399" s="549"/>
      <c r="F399" s="547"/>
      <c r="G399" s="547"/>
      <c r="H399" s="547"/>
      <c r="I399" s="730"/>
      <c r="J399" s="738"/>
      <c r="K399" s="738"/>
      <c r="L399" s="735"/>
      <c r="M399" s="735"/>
      <c r="N399" s="738"/>
      <c r="O399" s="256" t="s">
        <v>62</v>
      </c>
      <c r="P399" s="285"/>
      <c r="Q399" s="730"/>
      <c r="R399" s="738"/>
      <c r="S399" s="738"/>
      <c r="T399" s="738"/>
      <c r="U399" s="738"/>
      <c r="V399" s="738"/>
      <c r="W399" s="738"/>
      <c r="X399" s="738"/>
      <c r="Y399" s="735"/>
      <c r="Z399" s="735"/>
      <c r="AA399" s="307" t="str">
        <f>IF(EB396=1,"π","")</f>
        <v/>
      </c>
      <c r="AB399" s="307"/>
      <c r="AC399" s="307"/>
      <c r="AD399" s="307"/>
      <c r="AE399" s="311"/>
      <c r="AF399" s="311"/>
      <c r="AG399" s="311"/>
      <c r="AH399" s="311"/>
      <c r="AI399" s="312"/>
      <c r="AJ399" s="53"/>
      <c r="AK399" s="53"/>
      <c r="AL399" s="53"/>
      <c r="AM399" s="53"/>
      <c r="AN399" s="53"/>
      <c r="DQ399" s="287" t="s">
        <v>44</v>
      </c>
      <c r="DR399">
        <f>F407</f>
        <v>0</v>
      </c>
      <c r="DS399">
        <f>F405*DI395</f>
        <v>8.4948665353073594E-3</v>
      </c>
      <c r="EB399" s="293">
        <f>IF(F402=$DD$391,1,0)</f>
        <v>1</v>
      </c>
    </row>
    <row r="400" spans="2:132" ht="12.75" customHeight="1" x14ac:dyDescent="0.2">
      <c r="B400" s="545" t="s">
        <v>698</v>
      </c>
      <c r="C400" s="548" t="s">
        <v>693</v>
      </c>
      <c r="D400" s="548"/>
      <c r="E400" s="548"/>
      <c r="F400" s="547"/>
      <c r="G400" s="547"/>
      <c r="H400" s="547"/>
      <c r="I400" s="732" t="s">
        <v>372</v>
      </c>
      <c r="J400" s="747" t="s">
        <v>703</v>
      </c>
      <c r="K400" s="747"/>
      <c r="L400" s="254"/>
      <c r="M400" s="254"/>
      <c r="N400" s="254"/>
      <c r="O400" s="265"/>
      <c r="P400" s="265"/>
      <c r="Q400" s="732" t="str">
        <f>IF(EB398=1,"d = "&amp;ROUND(DI393,AI394)&amp;"² • π = "&amp;(ROUND(DI395,AI394))&amp;" "&amp;DF385&amp;"²","")</f>
        <v>d = 0,052² • π = 0,008 m²</v>
      </c>
      <c r="R400" s="733"/>
      <c r="S400" s="733"/>
      <c r="T400" s="733"/>
      <c r="U400" s="733"/>
      <c r="V400" s="733"/>
      <c r="W400" s="733"/>
      <c r="X400" s="733"/>
      <c r="Y400" s="733"/>
      <c r="Z400" s="733"/>
      <c r="AA400" s="733"/>
      <c r="AB400" s="733"/>
      <c r="AC400" s="733"/>
      <c r="AD400" s="733"/>
      <c r="AE400" s="733"/>
      <c r="AF400" s="733"/>
      <c r="AG400" s="733"/>
      <c r="AH400" s="733"/>
      <c r="AI400" s="740"/>
      <c r="AJ400" s="53"/>
      <c r="AK400" s="53"/>
      <c r="AL400" s="53"/>
      <c r="AM400" s="53"/>
      <c r="AN400" s="53"/>
      <c r="AP400" s="263"/>
      <c r="AQ400" s="262"/>
      <c r="DG400" t="s">
        <v>260</v>
      </c>
      <c r="DH400" t="s">
        <v>714</v>
      </c>
      <c r="DI400" t="s">
        <v>231</v>
      </c>
      <c r="DT400" t="s">
        <v>260</v>
      </c>
      <c r="DU400" t="s">
        <v>714</v>
      </c>
      <c r="DV400" t="s">
        <v>231</v>
      </c>
      <c r="EB400" s="293">
        <f>EB399*$DQ$393</f>
        <v>1</v>
      </c>
    </row>
    <row r="401" spans="2:136" x14ac:dyDescent="0.2">
      <c r="B401" s="546"/>
      <c r="C401" s="549"/>
      <c r="D401" s="549"/>
      <c r="E401" s="549"/>
      <c r="F401" s="547"/>
      <c r="G401" s="547"/>
      <c r="H401" s="547"/>
      <c r="I401" s="731"/>
      <c r="J401" s="748"/>
      <c r="K401" s="748"/>
      <c r="L401" s="255"/>
      <c r="M401" s="255"/>
      <c r="N401" s="255"/>
      <c r="O401" s="266"/>
      <c r="P401" s="266"/>
      <c r="Q401" s="731"/>
      <c r="R401" s="734"/>
      <c r="S401" s="734"/>
      <c r="T401" s="734"/>
      <c r="U401" s="734"/>
      <c r="V401" s="734"/>
      <c r="W401" s="734"/>
      <c r="X401" s="734"/>
      <c r="Y401" s="734"/>
      <c r="Z401" s="734"/>
      <c r="AA401" s="734"/>
      <c r="AB401" s="734"/>
      <c r="AC401" s="734"/>
      <c r="AD401" s="734"/>
      <c r="AE401" s="734"/>
      <c r="AF401" s="734"/>
      <c r="AG401" s="734"/>
      <c r="AH401" s="734"/>
      <c r="AI401" s="741"/>
      <c r="DF401" s="54" t="s">
        <v>716</v>
      </c>
      <c r="DG401">
        <f>F407/DI395*1000000000</f>
        <v>0</v>
      </c>
      <c r="DH401">
        <f>F407/DI395*1000000</f>
        <v>0</v>
      </c>
      <c r="DI401" s="54">
        <f>F407/DI395/1000</f>
        <v>0</v>
      </c>
      <c r="DS401" s="54" t="s">
        <v>716</v>
      </c>
      <c r="DT401">
        <f>DT402*1000</f>
        <v>8.4948665353073605E-9</v>
      </c>
      <c r="DU401">
        <f>DU402*1000</f>
        <v>8.4948665353073595E-6</v>
      </c>
      <c r="DV401">
        <f>DV402*1000</f>
        <v>8.4948665353073594</v>
      </c>
      <c r="EB401" s="293"/>
    </row>
    <row r="402" spans="2:136" ht="12.75" customHeight="1" x14ac:dyDescent="0.2">
      <c r="B402" s="545" t="s">
        <v>701</v>
      </c>
      <c r="C402" s="548" t="s">
        <v>694</v>
      </c>
      <c r="D402" s="548"/>
      <c r="E402" s="548"/>
      <c r="F402" s="547"/>
      <c r="G402" s="547"/>
      <c r="H402" s="547"/>
      <c r="I402" s="732" t="s">
        <v>706</v>
      </c>
      <c r="J402" s="747" t="s">
        <v>704</v>
      </c>
      <c r="K402" s="747"/>
      <c r="L402" s="254"/>
      <c r="M402" s="254"/>
      <c r="N402" s="254"/>
      <c r="O402" s="265"/>
      <c r="P402" s="265"/>
      <c r="Q402" s="732" t="str">
        <f>IF(EB400=1,"o = "&amp;ROUND(DI394,AI394)&amp;" • π = "&amp;(ROUND(DI396,AI394))&amp;" "&amp;DF385&amp;"","")</f>
        <v>o = 0,104 • π = 0,327 m</v>
      </c>
      <c r="R402" s="733"/>
      <c r="S402" s="733"/>
      <c r="T402" s="733"/>
      <c r="U402" s="733"/>
      <c r="V402" s="733"/>
      <c r="W402" s="733"/>
      <c r="X402" s="733"/>
      <c r="Y402" s="733"/>
      <c r="Z402" s="733"/>
      <c r="AA402" s="733"/>
      <c r="AB402" s="733"/>
      <c r="AC402" s="733"/>
      <c r="AD402" s="733"/>
      <c r="AE402" s="733"/>
      <c r="AF402" s="733"/>
      <c r="AG402" s="733"/>
      <c r="AH402" s="733"/>
      <c r="AI402" s="740"/>
      <c r="AP402" s="263"/>
      <c r="DF402" s="54" t="s">
        <v>717</v>
      </c>
      <c r="DG402" s="292">
        <f>F407/DI395*1000000000</f>
        <v>0</v>
      </c>
      <c r="DH402" s="292">
        <f>F407/DI395*1000000</f>
        <v>0</v>
      </c>
      <c r="DI402" s="292">
        <f>F407/DI395*1</f>
        <v>0</v>
      </c>
      <c r="DS402" s="54" t="s">
        <v>717</v>
      </c>
      <c r="DT402">
        <f>(F405/100000)*(DI395/10000)</f>
        <v>8.4948665353073604E-12</v>
      </c>
      <c r="DU402">
        <f>(F405/1000)*(DI395/1000)</f>
        <v>8.4948665353073588E-9</v>
      </c>
      <c r="DV402">
        <f>F405*DI395</f>
        <v>8.4948665353073594E-3</v>
      </c>
      <c r="EB402" s="292">
        <f>IF(F405=$DD$391,1,0)</f>
        <v>0</v>
      </c>
    </row>
    <row r="403" spans="2:136" x14ac:dyDescent="0.2">
      <c r="B403" s="546"/>
      <c r="C403" s="549"/>
      <c r="D403" s="549"/>
      <c r="E403" s="549"/>
      <c r="F403" s="547"/>
      <c r="G403" s="547"/>
      <c r="H403" s="547"/>
      <c r="I403" s="731"/>
      <c r="J403" s="748"/>
      <c r="K403" s="748"/>
      <c r="L403" s="255"/>
      <c r="M403" s="255"/>
      <c r="N403" s="255"/>
      <c r="O403" s="266"/>
      <c r="P403" s="266"/>
      <c r="Q403" s="731"/>
      <c r="R403" s="734"/>
      <c r="S403" s="734"/>
      <c r="T403" s="734"/>
      <c r="U403" s="734"/>
      <c r="V403" s="734"/>
      <c r="W403" s="734"/>
      <c r="X403" s="734"/>
      <c r="Y403" s="734"/>
      <c r="Z403" s="734"/>
      <c r="AA403" s="734"/>
      <c r="AB403" s="734"/>
      <c r="AC403" s="734"/>
      <c r="AD403" s="734"/>
      <c r="AE403" s="734"/>
      <c r="AF403" s="734"/>
      <c r="AG403" s="734"/>
      <c r="AH403" s="734"/>
      <c r="AI403" s="741"/>
      <c r="DG403" t="s">
        <v>260</v>
      </c>
      <c r="DH403" t="s">
        <v>714</v>
      </c>
      <c r="DI403" t="s">
        <v>231</v>
      </c>
      <c r="DT403" t="s">
        <v>260</v>
      </c>
      <c r="DU403" t="s">
        <v>714</v>
      </c>
      <c r="DV403" t="s">
        <v>231</v>
      </c>
      <c r="EB403" s="292">
        <f>ED406*(IF(DI395&gt;0.000000000000000001,1,0))*EB402</f>
        <v>0</v>
      </c>
    </row>
    <row r="404" spans="2:136" x14ac:dyDescent="0.2">
      <c r="B404" s="291"/>
      <c r="C404" s="268"/>
      <c r="D404" s="269"/>
      <c r="E404" s="267" t="s">
        <v>719</v>
      </c>
      <c r="F404" s="269"/>
      <c r="G404" s="236"/>
      <c r="H404" s="236"/>
      <c r="I404" s="171"/>
      <c r="J404" s="171"/>
      <c r="K404" s="743" t="s">
        <v>715</v>
      </c>
      <c r="L404" s="743"/>
      <c r="M404" s="743"/>
      <c r="N404" s="743"/>
      <c r="O404" s="743"/>
      <c r="P404" s="743"/>
      <c r="Q404" s="744"/>
      <c r="R404" s="742" t="s">
        <v>718</v>
      </c>
      <c r="S404" s="742"/>
      <c r="T404" s="742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108"/>
      <c r="DF404" s="54" t="s">
        <v>716</v>
      </c>
      <c r="DG404">
        <f t="shared" ref="DG404:DI405" si="2">IF($DF404=$DQ$385,IF(DG$400=$DF$385,DG401,0),0)</f>
        <v>0</v>
      </c>
      <c r="DH404">
        <f t="shared" si="2"/>
        <v>0</v>
      </c>
      <c r="DI404">
        <f t="shared" si="2"/>
        <v>0</v>
      </c>
      <c r="DS404" s="54" t="s">
        <v>716</v>
      </c>
      <c r="DT404">
        <f t="shared" ref="DT404:DV405" si="3">IF($DS404=$DQ$385,IF(DT$400=$DF$385,DT401,0),0)</f>
        <v>0</v>
      </c>
      <c r="DU404">
        <f t="shared" si="3"/>
        <v>0</v>
      </c>
      <c r="DV404">
        <f t="shared" si="3"/>
        <v>0</v>
      </c>
      <c r="EB404" s="292">
        <f>IF(F407=$DD$391,1,0)</f>
        <v>1</v>
      </c>
    </row>
    <row r="405" spans="2:136" x14ac:dyDescent="0.2">
      <c r="B405" s="545" t="s">
        <v>699</v>
      </c>
      <c r="C405" s="548" t="s">
        <v>695</v>
      </c>
      <c r="D405" s="548"/>
      <c r="E405" s="608"/>
      <c r="F405" s="602">
        <v>1</v>
      </c>
      <c r="G405" s="603"/>
      <c r="H405" s="604"/>
      <c r="I405" s="733" t="s">
        <v>286</v>
      </c>
      <c r="J405" s="258" t="s">
        <v>44</v>
      </c>
      <c r="K405" s="265"/>
      <c r="L405" s="265"/>
      <c r="M405" s="265"/>
      <c r="N405" s="265"/>
      <c r="O405" s="265"/>
      <c r="P405" s="260"/>
      <c r="Q405" s="745" t="str">
        <f>IF(EB403=1,"h =","")</f>
        <v/>
      </c>
      <c r="R405" s="749" t="str">
        <f>IF(EB403=1,""&amp;ROUND(F407,AI394)&amp;" "&amp;DQ385&amp;"","")</f>
        <v/>
      </c>
      <c r="S405" s="749"/>
      <c r="T405" s="749"/>
      <c r="U405" s="749"/>
      <c r="V405" s="749"/>
      <c r="W405" s="749"/>
      <c r="X405" s="537" t="str">
        <f>IF(EB403=1,"= "&amp;ROUND(SUM(DG404:DI405),AI394)&amp;" "&amp;DF385&amp;"","")</f>
        <v/>
      </c>
      <c r="Y405" s="537"/>
      <c r="Z405" s="537"/>
      <c r="AA405" s="537"/>
      <c r="AB405" s="537"/>
      <c r="AC405" s="537"/>
      <c r="AD405" s="537"/>
      <c r="AE405" s="537"/>
      <c r="AF405" s="537"/>
      <c r="AG405" s="537"/>
      <c r="AH405" s="537"/>
      <c r="AI405" s="750"/>
      <c r="DF405" s="54" t="s">
        <v>717</v>
      </c>
      <c r="DG405">
        <f t="shared" si="2"/>
        <v>0</v>
      </c>
      <c r="DH405">
        <f t="shared" si="2"/>
        <v>0</v>
      </c>
      <c r="DI405">
        <f t="shared" si="2"/>
        <v>0</v>
      </c>
      <c r="DJ405" s="521">
        <f>ROUND(SUM(DG404:DI405),AI394)</f>
        <v>0</v>
      </c>
      <c r="DK405" s="521"/>
      <c r="DL405" s="521"/>
      <c r="DM405" s="521"/>
      <c r="DN405" s="521"/>
      <c r="DS405" s="54" t="s">
        <v>717</v>
      </c>
      <c r="DT405">
        <f t="shared" si="3"/>
        <v>0</v>
      </c>
      <c r="DU405">
        <f t="shared" si="3"/>
        <v>0</v>
      </c>
      <c r="DV405">
        <f t="shared" si="3"/>
        <v>8.4948665353073594E-3</v>
      </c>
      <c r="DW405" s="521">
        <f>ROUND(SUM(DT404:DV405),AI394)</f>
        <v>8.0000000000000002E-3</v>
      </c>
      <c r="DX405" s="521"/>
      <c r="DY405" s="521"/>
      <c r="DZ405" s="521"/>
      <c r="EA405" s="521"/>
      <c r="EB405" s="292">
        <f>ED406*(IF(DI395&gt;0.000000000000000001,1,0))*EB404</f>
        <v>1</v>
      </c>
    </row>
    <row r="406" spans="2:136" x14ac:dyDescent="0.2">
      <c r="B406" s="546"/>
      <c r="C406" s="549"/>
      <c r="D406" s="549"/>
      <c r="E406" s="609"/>
      <c r="F406" s="605"/>
      <c r="G406" s="606"/>
      <c r="H406" s="607"/>
      <c r="I406" s="734"/>
      <c r="J406" s="259" t="s">
        <v>15</v>
      </c>
      <c r="K406" s="266"/>
      <c r="L406" s="266"/>
      <c r="M406" s="266"/>
      <c r="N406" s="266"/>
      <c r="O406" s="266"/>
      <c r="P406" s="261"/>
      <c r="Q406" s="746"/>
      <c r="R406" s="739" t="str">
        <f>IF(EB403=1,""&amp;ROUND(DI395,AI394)&amp;" "&amp;DF385&amp;"²","")</f>
        <v/>
      </c>
      <c r="S406" s="739"/>
      <c r="T406" s="739"/>
      <c r="U406" s="739"/>
      <c r="V406" s="739"/>
      <c r="W406" s="739"/>
      <c r="X406" s="540"/>
      <c r="Y406" s="540"/>
      <c r="Z406" s="540"/>
      <c r="AA406" s="540"/>
      <c r="AB406" s="540"/>
      <c r="AC406" s="540"/>
      <c r="AD406" s="540"/>
      <c r="AE406" s="540"/>
      <c r="AF406" s="540"/>
      <c r="AG406" s="540"/>
      <c r="AH406" s="540"/>
      <c r="AI406" s="751"/>
      <c r="EB406" s="292"/>
      <c r="ED406">
        <f>EE406+EF406</f>
        <v>1</v>
      </c>
      <c r="EE406">
        <f>IF(F405=$DD$391,0,1)</f>
        <v>1</v>
      </c>
      <c r="EF406">
        <f>IF(F407=$DD$391,0,1)</f>
        <v>0</v>
      </c>
    </row>
    <row r="407" spans="2:136" x14ac:dyDescent="0.2">
      <c r="B407" s="545" t="s">
        <v>700</v>
      </c>
      <c r="C407" s="548" t="s">
        <v>95</v>
      </c>
      <c r="D407" s="548"/>
      <c r="E407" s="608"/>
      <c r="F407" s="602"/>
      <c r="G407" s="603"/>
      <c r="H407" s="604"/>
      <c r="I407" s="733" t="s">
        <v>151</v>
      </c>
      <c r="J407" s="733" t="s">
        <v>707</v>
      </c>
      <c r="K407" s="733"/>
      <c r="L407" s="265"/>
      <c r="M407" s="265"/>
      <c r="N407" s="265"/>
      <c r="O407" s="265"/>
      <c r="P407" s="260"/>
      <c r="Q407" s="732" t="str">
        <f>IF(EB405=1,"v = "&amp;ROUND(F405,AI394)&amp;" "&amp;DF385&amp;" • "&amp;ROUND(DI395,AI394)&amp;" "&amp;DF385&amp;"² = "&amp;ROUND(SUM(DT404:DV405),AI394)&amp;" "&amp;DQ385&amp;"","")</f>
        <v>v = 1 m • 0,008 m² = 0,008 m³</v>
      </c>
      <c r="R407" s="733"/>
      <c r="S407" s="733"/>
      <c r="T407" s="733"/>
      <c r="U407" s="733"/>
      <c r="V407" s="733"/>
      <c r="W407" s="733"/>
      <c r="X407" s="733"/>
      <c r="Y407" s="733"/>
      <c r="Z407" s="733"/>
      <c r="AA407" s="733"/>
      <c r="AB407" s="733"/>
      <c r="AC407" s="733"/>
      <c r="AD407" s="733"/>
      <c r="AE407" s="733"/>
      <c r="AF407" s="733"/>
      <c r="AG407" s="733"/>
      <c r="AH407" s="733"/>
      <c r="AI407" s="740"/>
      <c r="DG407">
        <f>ROUND(DJ405,AI394)</f>
        <v>0</v>
      </c>
    </row>
    <row r="408" spans="2:136" x14ac:dyDescent="0.2">
      <c r="B408" s="546"/>
      <c r="C408" s="549"/>
      <c r="D408" s="549"/>
      <c r="E408" s="609"/>
      <c r="F408" s="605"/>
      <c r="G408" s="606"/>
      <c r="H408" s="607"/>
      <c r="I408" s="734"/>
      <c r="J408" s="734"/>
      <c r="K408" s="734"/>
      <c r="L408" s="266"/>
      <c r="M408" s="266"/>
      <c r="N408" s="266"/>
      <c r="O408" s="266"/>
      <c r="P408" s="261"/>
      <c r="Q408" s="731"/>
      <c r="R408" s="734"/>
      <c r="S408" s="734"/>
      <c r="T408" s="734"/>
      <c r="U408" s="734"/>
      <c r="V408" s="734"/>
      <c r="W408" s="734"/>
      <c r="X408" s="734"/>
      <c r="Y408" s="734"/>
      <c r="Z408" s="734"/>
      <c r="AA408" s="734"/>
      <c r="AB408" s="734"/>
      <c r="AC408" s="734"/>
      <c r="AD408" s="734"/>
      <c r="AE408" s="734"/>
      <c r="AF408" s="734"/>
      <c r="AG408" s="734"/>
      <c r="AH408" s="734"/>
      <c r="AI408" s="741"/>
    </row>
    <row r="410" spans="2:136" ht="13.5" customHeight="1" x14ac:dyDescent="0.2">
      <c r="E410" s="53"/>
      <c r="F410" s="53"/>
    </row>
    <row r="411" spans="2:136" x14ac:dyDescent="0.2">
      <c r="B411" s="436" t="s">
        <v>99</v>
      </c>
      <c r="C411" s="436"/>
      <c r="D411" s="436"/>
      <c r="E411" s="436"/>
      <c r="F411" s="436"/>
      <c r="G411" s="436"/>
      <c r="H411" s="436"/>
    </row>
    <row r="412" spans="2:136" x14ac:dyDescent="0.2">
      <c r="B412" s="436"/>
      <c r="C412" s="436"/>
      <c r="D412" s="436"/>
      <c r="E412" s="436"/>
      <c r="F412" s="436"/>
      <c r="G412" s="436"/>
      <c r="H412" s="436"/>
    </row>
    <row r="415" spans="2:136" x14ac:dyDescent="0.2">
      <c r="J415" s="19" t="s">
        <v>103</v>
      </c>
    </row>
    <row r="417" spans="1:28" ht="15.75" x14ac:dyDescent="0.3">
      <c r="J417" t="s">
        <v>100</v>
      </c>
    </row>
    <row r="424" spans="1:28" x14ac:dyDescent="0.2">
      <c r="B424" s="107" t="str">
        <f>B411&amp;" - Volumen af rørmateriale"</f>
        <v>Rør - Volumen af rørmateriale</v>
      </c>
      <c r="C424" s="84"/>
      <c r="D424" s="94"/>
      <c r="E424" s="94"/>
      <c r="F424" s="94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 t="s">
        <v>54</v>
      </c>
      <c r="W424" s="85"/>
      <c r="X424" s="85"/>
      <c r="Y424" s="85"/>
      <c r="Z424" s="85"/>
      <c r="AA424" s="82">
        <v>2</v>
      </c>
    </row>
    <row r="425" spans="1:28" x14ac:dyDescent="0.2">
      <c r="B425" s="34"/>
      <c r="C425" s="59" t="s">
        <v>101</v>
      </c>
      <c r="D425" s="473">
        <v>3</v>
      </c>
      <c r="E425" s="473"/>
      <c r="F425" s="473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AA425" s="36"/>
    </row>
    <row r="426" spans="1:28" ht="14.25" x14ac:dyDescent="0.25">
      <c r="B426" s="39"/>
      <c r="C426" s="61" t="s">
        <v>102</v>
      </c>
      <c r="D426" s="447">
        <v>2.8</v>
      </c>
      <c r="E426" s="447"/>
      <c r="F426" s="447"/>
      <c r="G426" s="2"/>
      <c r="H426" s="2"/>
      <c r="I426" s="2"/>
      <c r="J426" s="2" t="str">
        <f>"V  = ¼ π("&amp;D425&amp;"² - "&amp;D426&amp;"²)"&amp;D427&amp;" = "&amp;ROUND(PI()/4*D427*(D425^2-D426^2),AA424)</f>
        <v>V  = ¼ π(3² - 2,8²)7 = 6,38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51"/>
      <c r="AA426" s="40"/>
    </row>
    <row r="427" spans="1:28" x14ac:dyDescent="0.2">
      <c r="B427" s="37"/>
      <c r="C427" s="60" t="s">
        <v>9</v>
      </c>
      <c r="D427" s="520">
        <v>7</v>
      </c>
      <c r="E427" s="520"/>
      <c r="F427" s="520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8"/>
    </row>
    <row r="429" spans="1:28" x14ac:dyDescent="0.2">
      <c r="A429" s="423" t="s">
        <v>0</v>
      </c>
      <c r="B429" s="378"/>
      <c r="C429" s="378"/>
      <c r="D429" s="378"/>
      <c r="E429" s="378"/>
      <c r="F429" s="378"/>
      <c r="G429" s="374" t="s">
        <v>1</v>
      </c>
      <c r="H429" s="374"/>
      <c r="I429" s="374"/>
      <c r="J429" s="374"/>
      <c r="K429" s="374"/>
      <c r="L429" s="374"/>
      <c r="M429" s="374"/>
      <c r="N429" s="374"/>
      <c r="O429" s="374"/>
      <c r="P429" s="374"/>
      <c r="Q429" s="374"/>
      <c r="R429" s="374"/>
      <c r="S429" s="374"/>
      <c r="T429" s="374"/>
      <c r="U429" s="8"/>
      <c r="V429" s="8"/>
      <c r="W429" s="9"/>
      <c r="X429" s="9"/>
      <c r="Y429" s="378" t="s">
        <v>2</v>
      </c>
      <c r="Z429" s="378"/>
      <c r="AA429" s="378"/>
      <c r="AB429" s="1"/>
    </row>
    <row r="430" spans="1:28" x14ac:dyDescent="0.2">
      <c r="A430" s="382"/>
      <c r="B430" s="379"/>
      <c r="C430" s="379"/>
      <c r="D430" s="379"/>
      <c r="E430" s="379"/>
      <c r="F430" s="379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6"/>
      <c r="V430" s="6"/>
      <c r="W430" s="10"/>
      <c r="X430" s="14">
        <f>X358+1</f>
        <v>9</v>
      </c>
      <c r="Y430" s="379"/>
      <c r="Z430" s="379"/>
      <c r="AA430" s="379"/>
      <c r="AB430" s="4"/>
    </row>
    <row r="431" spans="1:28" x14ac:dyDescent="0.2">
      <c r="A431" s="380" t="s">
        <v>3</v>
      </c>
      <c r="B431" s="381"/>
      <c r="C431" s="381"/>
      <c r="D431" s="381"/>
      <c r="E431" s="381"/>
      <c r="F431" s="381"/>
      <c r="G431" s="383" t="s">
        <v>5</v>
      </c>
      <c r="H431" s="383"/>
      <c r="I431" s="383"/>
      <c r="J431" s="383"/>
      <c r="K431" s="383"/>
      <c r="L431" s="383"/>
      <c r="M431" s="383"/>
      <c r="N431" s="383"/>
      <c r="O431" s="383"/>
      <c r="P431" s="383"/>
      <c r="Q431" s="383"/>
      <c r="R431" s="383"/>
      <c r="S431" s="383"/>
      <c r="T431" s="383"/>
      <c r="U431" s="5"/>
      <c r="V431" s="5"/>
      <c r="W431" s="2"/>
      <c r="X431" s="384" t="s">
        <v>4</v>
      </c>
      <c r="Y431" s="384"/>
      <c r="Z431" s="384"/>
      <c r="AA431" s="384"/>
      <c r="AB431" s="385"/>
    </row>
    <row r="432" spans="1:28" x14ac:dyDescent="0.2">
      <c r="A432" s="382"/>
      <c r="B432" s="379"/>
      <c r="C432" s="379"/>
      <c r="D432" s="379"/>
      <c r="E432" s="379"/>
      <c r="F432" s="379"/>
      <c r="G432" s="388" t="s">
        <v>95</v>
      </c>
      <c r="H432" s="388"/>
      <c r="I432" s="388"/>
      <c r="J432" s="388"/>
      <c r="K432" s="388"/>
      <c r="L432" s="388"/>
      <c r="M432" s="388"/>
      <c r="N432" s="388"/>
      <c r="O432" s="388"/>
      <c r="P432" s="388"/>
      <c r="Q432" s="388"/>
      <c r="R432" s="388"/>
      <c r="S432" s="388"/>
      <c r="T432" s="388"/>
      <c r="U432" s="7"/>
      <c r="V432" s="7"/>
      <c r="W432" s="3"/>
      <c r="X432" s="386"/>
      <c r="Y432" s="386"/>
      <c r="Z432" s="386"/>
      <c r="AA432" s="386"/>
      <c r="AB432" s="387"/>
    </row>
    <row r="434" spans="2:27" x14ac:dyDescent="0.2">
      <c r="B434" s="436" t="s">
        <v>104</v>
      </c>
      <c r="C434" s="436"/>
      <c r="D434" s="436"/>
      <c r="E434" s="436"/>
      <c r="F434" s="436"/>
      <c r="G434" s="436"/>
      <c r="H434" s="436"/>
    </row>
    <row r="435" spans="2:27" x14ac:dyDescent="0.2">
      <c r="B435" s="436"/>
      <c r="C435" s="436"/>
      <c r="D435" s="436"/>
      <c r="E435" s="436"/>
      <c r="F435" s="436"/>
      <c r="G435" s="436"/>
      <c r="H435" s="436"/>
    </row>
    <row r="439" spans="2:27" x14ac:dyDescent="0.2">
      <c r="J439" s="479" t="s">
        <v>105</v>
      </c>
      <c r="K439" s="479"/>
      <c r="L439" s="32" t="s">
        <v>9</v>
      </c>
      <c r="M439" s="476" t="s">
        <v>106</v>
      </c>
      <c r="N439" s="476"/>
    </row>
    <row r="440" spans="2:27" x14ac:dyDescent="0.2">
      <c r="J440" s="479"/>
      <c r="K440" s="479"/>
      <c r="L440" s="11">
        <v>12</v>
      </c>
      <c r="M440" s="476"/>
      <c r="N440" s="476"/>
      <c r="R440" s="55"/>
    </row>
    <row r="442" spans="2:27" x14ac:dyDescent="0.2">
      <c r="K442" s="53"/>
      <c r="L442" s="53"/>
    </row>
    <row r="443" spans="2:27" x14ac:dyDescent="0.2">
      <c r="K443" s="53"/>
      <c r="L443" s="53"/>
    </row>
    <row r="446" spans="2:27" x14ac:dyDescent="0.2">
      <c r="B446" s="107" t="str">
        <f>B434&amp;" - Volumen"</f>
        <v>Kegle - Volumen</v>
      </c>
      <c r="C446" s="84"/>
      <c r="D446" s="94"/>
      <c r="E446" s="94"/>
      <c r="F446" s="94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 t="s">
        <v>54</v>
      </c>
      <c r="W446" s="85"/>
      <c r="X446" s="85"/>
      <c r="Y446" s="85"/>
      <c r="Z446" s="85"/>
      <c r="AA446" s="82">
        <v>1</v>
      </c>
    </row>
    <row r="447" spans="2:27" x14ac:dyDescent="0.2">
      <c r="B447" s="34"/>
      <c r="C447" s="59" t="s">
        <v>79</v>
      </c>
      <c r="D447" s="473">
        <v>2</v>
      </c>
      <c r="E447" s="473"/>
      <c r="F447" s="473"/>
      <c r="G447" s="35"/>
      <c r="H447" s="35"/>
      <c r="I447" s="541" t="s">
        <v>105</v>
      </c>
      <c r="J447" s="541"/>
      <c r="K447" s="543">
        <f>D448</f>
        <v>7</v>
      </c>
      <c r="L447" s="543"/>
      <c r="M447" s="537" t="str">
        <f>"π∙"&amp;D447&amp;"² ="</f>
        <v>π∙2² =</v>
      </c>
      <c r="N447" s="537"/>
      <c r="O447" s="537"/>
      <c r="P447" s="537">
        <f>ROUND(D448/12*PI()*D447^2,AA446)</f>
        <v>7.3</v>
      </c>
      <c r="Q447" s="537"/>
      <c r="R447" s="537"/>
      <c r="S447" s="537"/>
      <c r="T447" s="537"/>
      <c r="U447" s="35"/>
      <c r="V447" s="35"/>
      <c r="W447" s="35"/>
      <c r="X447" s="35"/>
      <c r="Y447" s="35"/>
      <c r="AA447" s="36"/>
    </row>
    <row r="448" spans="2:27" x14ac:dyDescent="0.2">
      <c r="B448" s="37"/>
      <c r="C448" s="60" t="s">
        <v>9</v>
      </c>
      <c r="D448" s="520">
        <v>7</v>
      </c>
      <c r="E448" s="520"/>
      <c r="F448" s="520"/>
      <c r="G448" s="3"/>
      <c r="H448" s="3"/>
      <c r="I448" s="542"/>
      <c r="J448" s="542"/>
      <c r="K448" s="543">
        <v>12</v>
      </c>
      <c r="L448" s="543"/>
      <c r="M448" s="540"/>
      <c r="N448" s="540"/>
      <c r="O448" s="540"/>
      <c r="P448" s="540"/>
      <c r="Q448" s="540"/>
      <c r="R448" s="540"/>
      <c r="S448" s="540"/>
      <c r="T448" s="540"/>
      <c r="U448" s="3"/>
      <c r="V448" s="3"/>
      <c r="W448" s="3"/>
      <c r="X448" s="3"/>
      <c r="Y448" s="3"/>
      <c r="Z448" s="3"/>
      <c r="AA448" s="38"/>
    </row>
    <row r="450" spans="2:27" x14ac:dyDescent="0.2">
      <c r="B450" s="436" t="s">
        <v>107</v>
      </c>
      <c r="C450" s="436"/>
      <c r="D450" s="436"/>
      <c r="E450" s="436"/>
      <c r="F450" s="436"/>
      <c r="G450" s="436"/>
      <c r="H450" s="436"/>
    </row>
    <row r="451" spans="2:27" x14ac:dyDescent="0.2">
      <c r="B451" s="436"/>
      <c r="C451" s="436"/>
      <c r="D451" s="436"/>
      <c r="E451" s="436"/>
      <c r="F451" s="436"/>
      <c r="G451" s="436"/>
      <c r="H451" s="436"/>
    </row>
    <row r="455" spans="2:27" x14ac:dyDescent="0.2">
      <c r="J455" s="479" t="s">
        <v>105</v>
      </c>
      <c r="K455" s="479"/>
      <c r="L455" s="32" t="s">
        <v>9</v>
      </c>
      <c r="M455" s="421" t="s">
        <v>108</v>
      </c>
      <c r="N455" s="421"/>
      <c r="O455" s="421"/>
      <c r="P455" s="421"/>
      <c r="Q455" s="421"/>
    </row>
    <row r="456" spans="2:27" x14ac:dyDescent="0.2">
      <c r="J456" s="479"/>
      <c r="K456" s="479"/>
      <c r="L456" s="11">
        <v>12</v>
      </c>
      <c r="M456" s="421"/>
      <c r="N456" s="421"/>
      <c r="O456" s="421"/>
      <c r="P456" s="421"/>
      <c r="Q456" s="421"/>
    </row>
    <row r="464" spans="2:27" x14ac:dyDescent="0.2">
      <c r="B464" s="107" t="str">
        <f>B450&amp;" - Volumen"</f>
        <v>Keglestub - Volumen</v>
      </c>
      <c r="C464" s="84"/>
      <c r="D464" s="94"/>
      <c r="E464" s="94"/>
      <c r="F464" s="94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 t="s">
        <v>54</v>
      </c>
      <c r="W464" s="85"/>
      <c r="X464" s="85"/>
      <c r="Y464" s="85"/>
      <c r="Z464" s="85"/>
      <c r="AA464" s="82">
        <v>3</v>
      </c>
    </row>
    <row r="465" spans="2:27" x14ac:dyDescent="0.2">
      <c r="B465" s="34"/>
      <c r="C465" s="59" t="s">
        <v>101</v>
      </c>
      <c r="D465" s="473">
        <v>4</v>
      </c>
      <c r="E465" s="473"/>
      <c r="F465" s="473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AA465" s="36"/>
    </row>
    <row r="466" spans="2:27" x14ac:dyDescent="0.2">
      <c r="B466" s="39"/>
      <c r="C466" s="61" t="s">
        <v>79</v>
      </c>
      <c r="D466" s="447">
        <v>2</v>
      </c>
      <c r="E466" s="447"/>
      <c r="F466" s="447"/>
      <c r="G466" s="511" t="s">
        <v>105</v>
      </c>
      <c r="H466" s="511"/>
      <c r="I466" s="418">
        <f>D467</f>
        <v>7</v>
      </c>
      <c r="J466" s="418"/>
      <c r="K466" s="417" t="str">
        <f>"π ("&amp;D465&amp;"² + "&amp;D465&amp;" ∙"&amp;D466&amp;" + "&amp;D466&amp;"²) ="</f>
        <v>π (4² + 4 ∙2 + 2²) =</v>
      </c>
      <c r="L466" s="417"/>
      <c r="M466" s="417"/>
      <c r="N466" s="417"/>
      <c r="O466" s="417"/>
      <c r="P466" s="417"/>
      <c r="Q466" s="417"/>
      <c r="R466" s="417">
        <f>ROUND(D467/12*PI()*(D465^2+D465*D466+D466^2),AA464)</f>
        <v>51.313000000000002</v>
      </c>
      <c r="S466" s="417"/>
      <c r="T466" s="417"/>
      <c r="U466" s="417"/>
      <c r="V466" s="417"/>
      <c r="W466" s="2"/>
      <c r="X466" s="2"/>
      <c r="Y466" s="2"/>
      <c r="Z466" s="51"/>
      <c r="AA466" s="40"/>
    </row>
    <row r="467" spans="2:27" x14ac:dyDescent="0.2">
      <c r="B467" s="37"/>
      <c r="C467" s="60" t="s">
        <v>9</v>
      </c>
      <c r="D467" s="520">
        <v>7</v>
      </c>
      <c r="E467" s="520"/>
      <c r="F467" s="520"/>
      <c r="G467" s="480"/>
      <c r="H467" s="480"/>
      <c r="I467" s="543">
        <v>12</v>
      </c>
      <c r="J467" s="543"/>
      <c r="K467" s="540"/>
      <c r="L467" s="540"/>
      <c r="M467" s="540"/>
      <c r="N467" s="540"/>
      <c r="O467" s="540"/>
      <c r="P467" s="540"/>
      <c r="Q467" s="540"/>
      <c r="R467" s="540"/>
      <c r="S467" s="540"/>
      <c r="T467" s="540"/>
      <c r="U467" s="540"/>
      <c r="V467" s="540"/>
      <c r="W467" s="3"/>
      <c r="X467" s="3"/>
      <c r="Y467" s="3"/>
      <c r="Z467" s="3"/>
      <c r="AA467" s="38"/>
    </row>
    <row r="469" spans="2:27" x14ac:dyDescent="0.2">
      <c r="B469" s="436" t="s">
        <v>109</v>
      </c>
      <c r="C469" s="436"/>
      <c r="D469" s="436"/>
      <c r="E469" s="436"/>
      <c r="F469" s="436"/>
      <c r="G469" s="436"/>
      <c r="H469" s="436"/>
    </row>
    <row r="470" spans="2:27" x14ac:dyDescent="0.2">
      <c r="B470" s="436"/>
      <c r="C470" s="436"/>
      <c r="D470" s="436"/>
      <c r="E470" s="436"/>
      <c r="F470" s="436"/>
      <c r="G470" s="436"/>
      <c r="H470" s="436"/>
    </row>
    <row r="475" spans="2:27" x14ac:dyDescent="0.2">
      <c r="J475" t="s">
        <v>110</v>
      </c>
    </row>
    <row r="476" spans="2:27" x14ac:dyDescent="0.2">
      <c r="J476" t="s">
        <v>223</v>
      </c>
    </row>
    <row r="478" spans="2:27" x14ac:dyDescent="0.2">
      <c r="K478" s="479" t="s">
        <v>105</v>
      </c>
      <c r="L478" s="479"/>
      <c r="M478" s="32">
        <v>1</v>
      </c>
      <c r="N478" s="476" t="s">
        <v>116</v>
      </c>
      <c r="O478" s="476"/>
      <c r="S478" t="s">
        <v>114</v>
      </c>
    </row>
    <row r="479" spans="2:27" x14ac:dyDescent="0.2">
      <c r="K479" s="479"/>
      <c r="L479" s="479"/>
      <c r="M479" s="11">
        <v>3</v>
      </c>
      <c r="N479" s="476"/>
      <c r="O479" s="476"/>
      <c r="S479" t="s">
        <v>111</v>
      </c>
    </row>
    <row r="481" spans="1:28" x14ac:dyDescent="0.2">
      <c r="B481" s="107" t="str">
        <f>B469&amp;" - Volumen"</f>
        <v>Pyramide - Volumen</v>
      </c>
      <c r="C481" s="84"/>
      <c r="D481" s="94"/>
      <c r="E481" s="94"/>
      <c r="F481" s="94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 t="s">
        <v>54</v>
      </c>
      <c r="W481" s="85"/>
      <c r="X481" s="85"/>
      <c r="Y481" s="85"/>
      <c r="Z481" s="85"/>
      <c r="AA481" s="82">
        <v>3</v>
      </c>
    </row>
    <row r="482" spans="1:28" x14ac:dyDescent="0.2">
      <c r="B482" s="34"/>
      <c r="C482" s="59" t="s">
        <v>113</v>
      </c>
      <c r="D482" s="473">
        <v>12</v>
      </c>
      <c r="E482" s="473"/>
      <c r="F482" s="473"/>
      <c r="G482" s="35"/>
      <c r="H482" s="35"/>
      <c r="I482" s="541" t="s">
        <v>105</v>
      </c>
      <c r="J482" s="541"/>
      <c r="K482" s="543">
        <v>1</v>
      </c>
      <c r="L482" s="543"/>
      <c r="M482" s="537" t="str">
        <f>D482&amp;"∙"&amp;D483&amp;"  ="</f>
        <v>12∙4  =</v>
      </c>
      <c r="N482" s="537"/>
      <c r="O482" s="537"/>
      <c r="P482" s="537">
        <f>ROUND(D483*D482/3,AA481)</f>
        <v>16</v>
      </c>
      <c r="Q482" s="537"/>
      <c r="R482" s="537"/>
      <c r="S482" s="537"/>
      <c r="T482" s="537"/>
      <c r="U482" s="35"/>
      <c r="V482" s="35"/>
      <c r="W482" s="35"/>
      <c r="X482" s="35"/>
      <c r="Y482" s="35"/>
      <c r="AA482" s="36"/>
    </row>
    <row r="483" spans="1:28" x14ac:dyDescent="0.2">
      <c r="B483" s="37"/>
      <c r="C483" s="60" t="s">
        <v>9</v>
      </c>
      <c r="D483" s="520">
        <v>4</v>
      </c>
      <c r="E483" s="520"/>
      <c r="F483" s="520"/>
      <c r="G483" s="3"/>
      <c r="H483" s="3"/>
      <c r="I483" s="542"/>
      <c r="J483" s="542"/>
      <c r="K483" s="543">
        <v>3</v>
      </c>
      <c r="L483" s="543"/>
      <c r="M483" s="540"/>
      <c r="N483" s="540"/>
      <c r="O483" s="540"/>
      <c r="P483" s="540"/>
      <c r="Q483" s="540"/>
      <c r="R483" s="540"/>
      <c r="S483" s="540"/>
      <c r="T483" s="540"/>
      <c r="U483" s="3"/>
      <c r="V483" s="3"/>
      <c r="W483" s="3"/>
      <c r="X483" s="3"/>
      <c r="Y483" s="3"/>
      <c r="Z483" s="3"/>
      <c r="AA483" s="38"/>
    </row>
    <row r="485" spans="1:28" x14ac:dyDescent="0.2">
      <c r="B485" t="str">
        <f>"Arealet af grundplanet beregnes ved hjælp af formlerne s. "&amp;X59&amp;" til "&amp;X239</f>
        <v>Arealet af grundplanet beregnes ved hjælp af formlerne s. 3 til 6</v>
      </c>
    </row>
    <row r="488" spans="1:28" x14ac:dyDescent="0.2">
      <c r="A488" s="423" t="s">
        <v>0</v>
      </c>
      <c r="B488" s="378"/>
      <c r="C488" s="378"/>
      <c r="D488" s="378"/>
      <c r="E488" s="378"/>
      <c r="F488" s="378"/>
      <c r="G488" s="374" t="s">
        <v>1</v>
      </c>
      <c r="H488" s="374"/>
      <c r="I488" s="374"/>
      <c r="J488" s="374"/>
      <c r="K488" s="374"/>
      <c r="L488" s="374"/>
      <c r="M488" s="374"/>
      <c r="N488" s="374"/>
      <c r="O488" s="374"/>
      <c r="P488" s="374"/>
      <c r="Q488" s="374"/>
      <c r="R488" s="374"/>
      <c r="S488" s="374"/>
      <c r="T488" s="374"/>
      <c r="U488" s="8"/>
      <c r="V488" s="8"/>
      <c r="W488" s="9"/>
      <c r="X488" s="9"/>
      <c r="Y488" s="378" t="s">
        <v>2</v>
      </c>
      <c r="Z488" s="378"/>
      <c r="AA488" s="378"/>
      <c r="AB488" s="1"/>
    </row>
    <row r="489" spans="1:28" x14ac:dyDescent="0.2">
      <c r="A489" s="382"/>
      <c r="B489" s="379"/>
      <c r="C489" s="379"/>
      <c r="D489" s="379"/>
      <c r="E489" s="379"/>
      <c r="F489" s="379"/>
      <c r="G489" s="375"/>
      <c r="H489" s="375"/>
      <c r="I489" s="375"/>
      <c r="J489" s="375"/>
      <c r="K489" s="375"/>
      <c r="L489" s="375"/>
      <c r="M489" s="375"/>
      <c r="N489" s="375"/>
      <c r="O489" s="375"/>
      <c r="P489" s="375"/>
      <c r="Q489" s="375"/>
      <c r="R489" s="375"/>
      <c r="S489" s="375"/>
      <c r="T489" s="375"/>
      <c r="U489" s="6"/>
      <c r="V489" s="6"/>
      <c r="W489" s="10"/>
      <c r="X489" s="14">
        <f>X430+1</f>
        <v>10</v>
      </c>
      <c r="Y489" s="379"/>
      <c r="Z489" s="379"/>
      <c r="AA489" s="379"/>
      <c r="AB489" s="4"/>
    </row>
    <row r="490" spans="1:28" x14ac:dyDescent="0.2">
      <c r="A490" s="380" t="s">
        <v>3</v>
      </c>
      <c r="B490" s="381"/>
      <c r="C490" s="381"/>
      <c r="D490" s="381"/>
      <c r="E490" s="381"/>
      <c r="F490" s="381"/>
      <c r="G490" s="383" t="s">
        <v>5</v>
      </c>
      <c r="H490" s="383"/>
      <c r="I490" s="383"/>
      <c r="J490" s="383"/>
      <c r="K490" s="383"/>
      <c r="L490" s="383"/>
      <c r="M490" s="383"/>
      <c r="N490" s="383"/>
      <c r="O490" s="383"/>
      <c r="P490" s="383"/>
      <c r="Q490" s="383"/>
      <c r="R490" s="383"/>
      <c r="S490" s="383"/>
      <c r="T490" s="383"/>
      <c r="U490" s="5"/>
      <c r="V490" s="5"/>
      <c r="W490" s="2"/>
      <c r="X490" s="384" t="s">
        <v>4</v>
      </c>
      <c r="Y490" s="384"/>
      <c r="Z490" s="384"/>
      <c r="AA490" s="384"/>
      <c r="AB490" s="385"/>
    </row>
    <row r="491" spans="1:28" x14ac:dyDescent="0.2">
      <c r="A491" s="382"/>
      <c r="B491" s="379"/>
      <c r="C491" s="379"/>
      <c r="D491" s="379"/>
      <c r="E491" s="379"/>
      <c r="F491" s="379"/>
      <c r="G491" s="388" t="s">
        <v>95</v>
      </c>
      <c r="H491" s="388"/>
      <c r="I491" s="388"/>
      <c r="J491" s="388"/>
      <c r="K491" s="388"/>
      <c r="L491" s="388"/>
      <c r="M491" s="388"/>
      <c r="N491" s="388"/>
      <c r="O491" s="388"/>
      <c r="P491" s="388"/>
      <c r="Q491" s="388"/>
      <c r="R491" s="388"/>
      <c r="S491" s="388"/>
      <c r="T491" s="388"/>
      <c r="U491" s="7"/>
      <c r="V491" s="7"/>
      <c r="W491" s="3"/>
      <c r="X491" s="386"/>
      <c r="Y491" s="386"/>
      <c r="Z491" s="386"/>
      <c r="AA491" s="386"/>
      <c r="AB491" s="387"/>
    </row>
    <row r="492" spans="1:28" x14ac:dyDescent="0.2">
      <c r="B492" s="436" t="s">
        <v>112</v>
      </c>
      <c r="C492" s="436"/>
      <c r="D492" s="436"/>
      <c r="E492" s="436"/>
      <c r="F492" s="436"/>
      <c r="G492" s="436"/>
      <c r="H492" s="436"/>
    </row>
    <row r="493" spans="1:28" x14ac:dyDescent="0.2">
      <c r="B493" s="436"/>
      <c r="C493" s="436"/>
      <c r="D493" s="436"/>
      <c r="E493" s="436"/>
      <c r="F493" s="436"/>
      <c r="G493" s="436"/>
      <c r="H493" s="436"/>
    </row>
    <row r="494" spans="1:28" x14ac:dyDescent="0.2">
      <c r="K494" t="s">
        <v>224</v>
      </c>
    </row>
    <row r="495" spans="1:28" x14ac:dyDescent="0.2">
      <c r="K495" t="s">
        <v>225</v>
      </c>
    </row>
    <row r="496" spans="1:28" x14ac:dyDescent="0.2">
      <c r="K496" t="s">
        <v>223</v>
      </c>
    </row>
    <row r="497" spans="2:27" x14ac:dyDescent="0.2">
      <c r="K497" t="s">
        <v>114</v>
      </c>
    </row>
    <row r="498" spans="2:27" x14ac:dyDescent="0.2">
      <c r="K498" t="s">
        <v>115</v>
      </c>
    </row>
    <row r="499" spans="2:27" x14ac:dyDescent="0.2">
      <c r="K499" t="s">
        <v>111</v>
      </c>
    </row>
    <row r="501" spans="2:27" x14ac:dyDescent="0.2">
      <c r="K501" s="479" t="s">
        <v>105</v>
      </c>
      <c r="L501" s="479"/>
      <c r="M501" s="32" t="s">
        <v>9</v>
      </c>
      <c r="N501" s="421" t="s">
        <v>117</v>
      </c>
      <c r="O501" s="421"/>
      <c r="P501" s="421"/>
      <c r="Q501" s="421"/>
    </row>
    <row r="502" spans="2:27" x14ac:dyDescent="0.2">
      <c r="K502" s="479"/>
      <c r="L502" s="479"/>
      <c r="M502" s="11">
        <v>3</v>
      </c>
      <c r="N502" s="421"/>
      <c r="O502" s="421"/>
      <c r="P502" s="421"/>
      <c r="Q502" s="421"/>
    </row>
    <row r="505" spans="2:27" x14ac:dyDescent="0.2">
      <c r="B505" s="107" t="str">
        <f>B492&amp;" - Volumen"</f>
        <v>Pyramidestub - Volumen</v>
      </c>
      <c r="C505" s="84"/>
      <c r="D505" s="94"/>
      <c r="E505" s="94"/>
      <c r="F505" s="94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 t="s">
        <v>54</v>
      </c>
      <c r="W505" s="85"/>
      <c r="X505" s="85"/>
      <c r="Y505" s="85"/>
      <c r="Z505" s="85"/>
      <c r="AA505" s="82">
        <v>4</v>
      </c>
    </row>
    <row r="506" spans="2:27" x14ac:dyDescent="0.2">
      <c r="B506" s="34"/>
      <c r="C506" s="59" t="s">
        <v>101</v>
      </c>
      <c r="D506" s="473">
        <v>12</v>
      </c>
      <c r="E506" s="473"/>
      <c r="F506" s="473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AA506" s="36"/>
    </row>
    <row r="507" spans="2:27" x14ac:dyDescent="0.2">
      <c r="B507" s="39"/>
      <c r="C507" s="61" t="s">
        <v>79</v>
      </c>
      <c r="D507" s="447">
        <v>5</v>
      </c>
      <c r="E507" s="447"/>
      <c r="F507" s="447"/>
      <c r="G507" s="511" t="s">
        <v>105</v>
      </c>
      <c r="H507" s="511"/>
      <c r="I507" s="418">
        <f>D508</f>
        <v>2</v>
      </c>
      <c r="J507" s="418"/>
      <c r="K507" s="417" t="str">
        <f>"π ("&amp;D506&amp;" + "&amp;D507&amp;" + √"&amp;D506&amp;"∙√"&amp;D507&amp;") ="</f>
        <v>π (12 + 5 + √12∙√5) =</v>
      </c>
      <c r="L507" s="417"/>
      <c r="M507" s="417"/>
      <c r="N507" s="417"/>
      <c r="O507" s="417"/>
      <c r="P507" s="417"/>
      <c r="Q507" s="417"/>
      <c r="R507" s="417">
        <f>ROUND(D508/3*(D506+D507+(D506*D507)^0.5),AA505)</f>
        <v>16.497299999999999</v>
      </c>
      <c r="S507" s="417"/>
      <c r="T507" s="417"/>
      <c r="U507" s="417"/>
      <c r="V507" s="417"/>
      <c r="W507" s="2"/>
      <c r="X507" s="2"/>
      <c r="Y507" s="2"/>
      <c r="Z507" s="51"/>
      <c r="AA507" s="40"/>
    </row>
    <row r="508" spans="2:27" x14ac:dyDescent="0.2">
      <c r="B508" s="37"/>
      <c r="C508" s="60" t="s">
        <v>9</v>
      </c>
      <c r="D508" s="520">
        <v>2</v>
      </c>
      <c r="E508" s="520"/>
      <c r="F508" s="520"/>
      <c r="G508" s="480"/>
      <c r="H508" s="480"/>
      <c r="I508" s="543">
        <v>3</v>
      </c>
      <c r="J508" s="543"/>
      <c r="K508" s="540"/>
      <c r="L508" s="540"/>
      <c r="M508" s="540"/>
      <c r="N508" s="540"/>
      <c r="O508" s="540"/>
      <c r="P508" s="540"/>
      <c r="Q508" s="540"/>
      <c r="R508" s="540"/>
      <c r="S508" s="540"/>
      <c r="T508" s="540"/>
      <c r="U508" s="540"/>
      <c r="V508" s="540"/>
      <c r="W508" s="3"/>
      <c r="X508" s="3"/>
      <c r="Y508" s="3"/>
      <c r="Z508" s="3"/>
      <c r="AA508" s="38"/>
    </row>
    <row r="510" spans="2:27" ht="12.75" customHeight="1" x14ac:dyDescent="0.2">
      <c r="B510" s="436" t="s">
        <v>118</v>
      </c>
      <c r="C510" s="436"/>
      <c r="D510" s="436"/>
      <c r="E510" s="436"/>
      <c r="F510" s="436"/>
      <c r="G510" s="436"/>
      <c r="H510" s="436"/>
    </row>
    <row r="511" spans="2:27" ht="12.75" customHeight="1" x14ac:dyDescent="0.2">
      <c r="B511" s="436"/>
      <c r="C511" s="436"/>
      <c r="D511" s="436"/>
      <c r="E511" s="436"/>
      <c r="F511" s="436"/>
      <c r="G511" s="436"/>
      <c r="H511" s="436"/>
    </row>
    <row r="512" spans="2:27" x14ac:dyDescent="0.2">
      <c r="B512" t="s">
        <v>226</v>
      </c>
    </row>
    <row r="513" spans="2:14" ht="6" customHeight="1" x14ac:dyDescent="0.2"/>
    <row r="514" spans="2:14" ht="12.75" customHeight="1" x14ac:dyDescent="0.2">
      <c r="B514" s="436" t="s">
        <v>249</v>
      </c>
      <c r="C514" s="436"/>
      <c r="D514" s="436"/>
      <c r="E514" s="436"/>
      <c r="F514" s="436"/>
      <c r="G514" s="436"/>
      <c r="H514" s="436"/>
      <c r="I514" s="436"/>
      <c r="J514" s="436"/>
      <c r="K514" s="436"/>
    </row>
    <row r="515" spans="2:14" ht="12.75" customHeight="1" x14ac:dyDescent="0.2">
      <c r="B515" s="436"/>
      <c r="C515" s="436"/>
      <c r="D515" s="436"/>
      <c r="E515" s="436"/>
      <c r="F515" s="436"/>
      <c r="G515" s="436"/>
      <c r="H515" s="436"/>
      <c r="I515" s="436"/>
      <c r="J515" s="436"/>
      <c r="K515" s="436"/>
    </row>
    <row r="518" spans="2:14" x14ac:dyDescent="0.2">
      <c r="N518" t="s">
        <v>114</v>
      </c>
    </row>
    <row r="519" spans="2:14" x14ac:dyDescent="0.2">
      <c r="N519" t="s">
        <v>111</v>
      </c>
    </row>
    <row r="521" spans="2:14" x14ac:dyDescent="0.2">
      <c r="N521" t="s">
        <v>119</v>
      </c>
    </row>
    <row r="522" spans="2:14" x14ac:dyDescent="0.2">
      <c r="N522" t="s">
        <v>120</v>
      </c>
    </row>
    <row r="524" spans="2:14" x14ac:dyDescent="0.2">
      <c r="N524" t="s">
        <v>121</v>
      </c>
    </row>
    <row r="529" spans="2:27" x14ac:dyDescent="0.2">
      <c r="B529" s="107" t="e">
        <f>#REF!&amp;" - Volumen"</f>
        <v>#REF!</v>
      </c>
      <c r="C529" s="84"/>
      <c r="D529" s="94"/>
      <c r="E529" s="94"/>
      <c r="F529" s="94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 t="s">
        <v>54</v>
      </c>
      <c r="W529" s="85"/>
      <c r="X529" s="85"/>
      <c r="Y529" s="85"/>
      <c r="Z529" s="85"/>
      <c r="AA529" s="82">
        <v>2</v>
      </c>
    </row>
    <row r="530" spans="2:27" x14ac:dyDescent="0.2">
      <c r="B530" s="34"/>
      <c r="C530" s="59" t="s">
        <v>113</v>
      </c>
      <c r="D530" s="473">
        <v>12.67</v>
      </c>
      <c r="E530" s="473"/>
      <c r="F530" s="473"/>
      <c r="G530" s="35"/>
      <c r="H530" s="35"/>
      <c r="I530" s="541" t="s">
        <v>105</v>
      </c>
      <c r="J530" s="541"/>
      <c r="K530" s="537" t="str">
        <f>D530&amp;"∙"&amp;D531&amp;"  ="</f>
        <v>12,67∙3,43  =</v>
      </c>
      <c r="L530" s="537"/>
      <c r="M530" s="537"/>
      <c r="N530" s="537"/>
      <c r="O530" s="537">
        <f>ROUND(D531*D530,AA529)</f>
        <v>43.46</v>
      </c>
      <c r="P530" s="537"/>
      <c r="Q530" s="537"/>
      <c r="R530" s="537"/>
      <c r="S530" s="537"/>
      <c r="T530" s="537"/>
      <c r="U530" s="35"/>
      <c r="V530" s="35"/>
      <c r="W530" s="35"/>
      <c r="X530" s="35"/>
      <c r="Y530" s="35"/>
      <c r="AA530" s="36"/>
    </row>
    <row r="531" spans="2:27" x14ac:dyDescent="0.2">
      <c r="B531" s="37"/>
      <c r="C531" s="60" t="s">
        <v>9</v>
      </c>
      <c r="D531" s="520">
        <v>3.43</v>
      </c>
      <c r="E531" s="520"/>
      <c r="F531" s="520"/>
      <c r="G531" s="3"/>
      <c r="H531" s="3"/>
      <c r="I531" s="542"/>
      <c r="J531" s="542"/>
      <c r="K531" s="540"/>
      <c r="L531" s="540"/>
      <c r="M531" s="540"/>
      <c r="N531" s="540"/>
      <c r="O531" s="540"/>
      <c r="P531" s="540"/>
      <c r="Q531" s="540"/>
      <c r="R531" s="540"/>
      <c r="S531" s="540"/>
      <c r="T531" s="540"/>
      <c r="U531" s="3"/>
      <c r="V531" s="3"/>
      <c r="W531" s="3"/>
      <c r="X531" s="3"/>
      <c r="Y531" s="3"/>
      <c r="Z531" s="3"/>
      <c r="AA531" s="38"/>
    </row>
    <row r="532" spans="2:27" ht="6" customHeight="1" x14ac:dyDescent="0.2"/>
    <row r="533" spans="2:27" x14ac:dyDescent="0.2">
      <c r="B533" s="436" t="s">
        <v>122</v>
      </c>
      <c r="C533" s="436"/>
      <c r="D533" s="436"/>
      <c r="E533" s="436"/>
      <c r="F533" s="436"/>
      <c r="G533" s="436"/>
      <c r="H533" s="436"/>
      <c r="I533" s="436"/>
      <c r="J533" s="436"/>
      <c r="K533" s="436"/>
      <c r="L533" s="436"/>
      <c r="M533" s="436"/>
    </row>
    <row r="534" spans="2:27" x14ac:dyDescent="0.2">
      <c r="B534" s="436"/>
      <c r="C534" s="436"/>
      <c r="D534" s="436"/>
      <c r="E534" s="436"/>
      <c r="F534" s="436"/>
      <c r="G534" s="436"/>
      <c r="H534" s="436"/>
      <c r="I534" s="436"/>
      <c r="J534" s="436"/>
      <c r="K534" s="436"/>
      <c r="L534" s="436"/>
      <c r="M534" s="436"/>
    </row>
    <row r="536" spans="2:27" x14ac:dyDescent="0.2">
      <c r="M536" t="s">
        <v>114</v>
      </c>
    </row>
    <row r="537" spans="2:27" x14ac:dyDescent="0.2">
      <c r="M537" t="s">
        <v>115</v>
      </c>
    </row>
    <row r="538" spans="2:27" x14ac:dyDescent="0.2">
      <c r="M538" t="s">
        <v>123</v>
      </c>
    </row>
    <row r="539" spans="2:27" x14ac:dyDescent="0.2">
      <c r="M539" t="s">
        <v>111</v>
      </c>
    </row>
    <row r="541" spans="2:27" x14ac:dyDescent="0.2">
      <c r="M541" s="479" t="s">
        <v>105</v>
      </c>
      <c r="N541" s="479"/>
      <c r="O541" s="32" t="s">
        <v>9</v>
      </c>
      <c r="P541" s="421" t="s">
        <v>124</v>
      </c>
      <c r="Q541" s="421"/>
      <c r="R541" s="421"/>
      <c r="S541" s="421"/>
    </row>
    <row r="542" spans="2:27" x14ac:dyDescent="0.2">
      <c r="M542" s="479"/>
      <c r="N542" s="479"/>
      <c r="O542" s="11">
        <v>6</v>
      </c>
      <c r="P542" s="421"/>
      <c r="Q542" s="421"/>
      <c r="R542" s="421"/>
      <c r="S542" s="421"/>
    </row>
    <row r="543" spans="2:27" x14ac:dyDescent="0.2">
      <c r="B543" s="107" t="str">
        <f>B533&amp;" - Volumen"</f>
        <v>Ikke retvinklet prismatoide - Volumen</v>
      </c>
      <c r="C543" s="84"/>
      <c r="D543" s="94"/>
      <c r="E543" s="94"/>
      <c r="F543" s="94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 t="s">
        <v>54</v>
      </c>
      <c r="W543" s="85"/>
      <c r="X543" s="85"/>
      <c r="Y543" s="85"/>
      <c r="Z543" s="85"/>
      <c r="AA543" s="82">
        <v>2</v>
      </c>
    </row>
    <row r="544" spans="2:27" x14ac:dyDescent="0.2">
      <c r="B544" s="34"/>
      <c r="C544" s="59" t="s">
        <v>113</v>
      </c>
      <c r="D544" s="473">
        <v>7.89</v>
      </c>
      <c r="E544" s="473"/>
      <c r="F544" s="473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AA544" s="36"/>
    </row>
    <row r="545" spans="1:28" x14ac:dyDescent="0.2">
      <c r="B545" s="39"/>
      <c r="C545" s="61" t="s">
        <v>125</v>
      </c>
      <c r="D545" s="447">
        <v>4.5599999999999996</v>
      </c>
      <c r="E545" s="447"/>
      <c r="F545" s="447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51"/>
      <c r="AA545" s="40"/>
    </row>
    <row r="546" spans="1:28" x14ac:dyDescent="0.2">
      <c r="B546" s="39"/>
      <c r="C546" s="61" t="s">
        <v>126</v>
      </c>
      <c r="D546" s="447">
        <v>3.12</v>
      </c>
      <c r="E546" s="447"/>
      <c r="F546" s="447"/>
      <c r="G546" s="511" t="s">
        <v>105</v>
      </c>
      <c r="H546" s="511"/>
      <c r="I546" s="418">
        <f>D547</f>
        <v>4.37</v>
      </c>
      <c r="J546" s="418"/>
      <c r="K546" s="417" t="str">
        <f>"("&amp;D544&amp;" + "&amp;D546&amp;" + 4∙"&amp;D545&amp;") ="</f>
        <v>(7,89 + 3,12 + 4∙4,56) =</v>
      </c>
      <c r="L546" s="417"/>
      <c r="M546" s="417"/>
      <c r="N546" s="417"/>
      <c r="O546" s="417"/>
      <c r="P546" s="417"/>
      <c r="Q546" s="417"/>
      <c r="R546" s="417">
        <f>ROUND(D547/6*(D544+D546+4*D545),AA543)</f>
        <v>21.3</v>
      </c>
      <c r="S546" s="417"/>
      <c r="T546" s="417"/>
      <c r="U546" s="417"/>
      <c r="V546" s="417"/>
      <c r="W546" s="2"/>
      <c r="X546" s="2"/>
      <c r="Y546" s="2"/>
      <c r="Z546" s="51"/>
      <c r="AA546" s="40"/>
    </row>
    <row r="547" spans="1:28" x14ac:dyDescent="0.2">
      <c r="B547" s="37"/>
      <c r="C547" s="60" t="s">
        <v>9</v>
      </c>
      <c r="D547" s="520">
        <v>4.37</v>
      </c>
      <c r="E547" s="520"/>
      <c r="F547" s="520"/>
      <c r="G547" s="480"/>
      <c r="H547" s="480"/>
      <c r="I547" s="543">
        <v>6</v>
      </c>
      <c r="J547" s="543"/>
      <c r="K547" s="540"/>
      <c r="L547" s="540"/>
      <c r="M547" s="540"/>
      <c r="N547" s="540"/>
      <c r="O547" s="540"/>
      <c r="P547" s="540"/>
      <c r="Q547" s="540"/>
      <c r="R547" s="540"/>
      <c r="S547" s="540"/>
      <c r="T547" s="540"/>
      <c r="U547" s="540"/>
      <c r="V547" s="540"/>
      <c r="W547" s="3"/>
      <c r="X547" s="3"/>
      <c r="Y547" s="3"/>
      <c r="Z547" s="3"/>
      <c r="AA547" s="38"/>
    </row>
    <row r="548" spans="1:28" ht="6" customHeight="1" x14ac:dyDescent="0.2"/>
    <row r="549" spans="1:28" x14ac:dyDescent="0.2">
      <c r="A549" s="423" t="s">
        <v>0</v>
      </c>
      <c r="B549" s="378"/>
      <c r="C549" s="378"/>
      <c r="D549" s="378"/>
      <c r="E549" s="378"/>
      <c r="F549" s="378"/>
      <c r="G549" s="374" t="s">
        <v>1</v>
      </c>
      <c r="H549" s="374"/>
      <c r="I549" s="374"/>
      <c r="J549" s="374"/>
      <c r="K549" s="374"/>
      <c r="L549" s="374"/>
      <c r="M549" s="374"/>
      <c r="N549" s="374"/>
      <c r="O549" s="374"/>
      <c r="P549" s="374"/>
      <c r="Q549" s="374"/>
      <c r="R549" s="374"/>
      <c r="S549" s="374"/>
      <c r="T549" s="374"/>
      <c r="U549" s="8"/>
      <c r="V549" s="8"/>
      <c r="W549" s="9"/>
      <c r="X549" s="9"/>
      <c r="Y549" s="378" t="s">
        <v>2</v>
      </c>
      <c r="Z549" s="378"/>
      <c r="AA549" s="378"/>
      <c r="AB549" s="1"/>
    </row>
    <row r="550" spans="1:28" x14ac:dyDescent="0.2">
      <c r="A550" s="382"/>
      <c r="B550" s="379"/>
      <c r="C550" s="379"/>
      <c r="D550" s="379"/>
      <c r="E550" s="379"/>
      <c r="F550" s="379"/>
      <c r="G550" s="375"/>
      <c r="H550" s="375"/>
      <c r="I550" s="375"/>
      <c r="J550" s="375"/>
      <c r="K550" s="375"/>
      <c r="L550" s="375"/>
      <c r="M550" s="375"/>
      <c r="N550" s="375"/>
      <c r="O550" s="375"/>
      <c r="P550" s="375"/>
      <c r="Q550" s="375"/>
      <c r="R550" s="375"/>
      <c r="S550" s="375"/>
      <c r="T550" s="375"/>
      <c r="U550" s="6"/>
      <c r="V550" s="6"/>
      <c r="W550" s="10"/>
      <c r="X550" s="14">
        <f>X489+1</f>
        <v>11</v>
      </c>
      <c r="Y550" s="379"/>
      <c r="Z550" s="379"/>
      <c r="AA550" s="379"/>
      <c r="AB550" s="4"/>
    </row>
    <row r="551" spans="1:28" x14ac:dyDescent="0.2">
      <c r="A551" s="380" t="s">
        <v>3</v>
      </c>
      <c r="B551" s="381"/>
      <c r="C551" s="381"/>
      <c r="D551" s="381"/>
      <c r="E551" s="381"/>
      <c r="F551" s="381"/>
      <c r="G551" s="383" t="s">
        <v>5</v>
      </c>
      <c r="H551" s="383"/>
      <c r="I551" s="383"/>
      <c r="J551" s="383"/>
      <c r="K551" s="383"/>
      <c r="L551" s="383"/>
      <c r="M551" s="383"/>
      <c r="N551" s="383"/>
      <c r="O551" s="383"/>
      <c r="P551" s="383"/>
      <c r="Q551" s="383"/>
      <c r="R551" s="383"/>
      <c r="S551" s="383"/>
      <c r="T551" s="383"/>
      <c r="U551" s="5"/>
      <c r="V551" s="5"/>
      <c r="W551" s="2"/>
      <c r="X551" s="384" t="s">
        <v>4</v>
      </c>
      <c r="Y551" s="384"/>
      <c r="Z551" s="384"/>
      <c r="AA551" s="384"/>
      <c r="AB551" s="385"/>
    </row>
    <row r="552" spans="1:28" x14ac:dyDescent="0.2">
      <c r="A552" s="382"/>
      <c r="B552" s="379"/>
      <c r="C552" s="379"/>
      <c r="D552" s="379"/>
      <c r="E552" s="379"/>
      <c r="F552" s="379"/>
      <c r="G552" s="388" t="s">
        <v>95</v>
      </c>
      <c r="H552" s="388"/>
      <c r="I552" s="388"/>
      <c r="J552" s="388"/>
      <c r="K552" s="388"/>
      <c r="L552" s="388"/>
      <c r="M552" s="388"/>
      <c r="N552" s="388"/>
      <c r="O552" s="388"/>
      <c r="P552" s="388"/>
      <c r="Q552" s="388"/>
      <c r="R552" s="388"/>
      <c r="S552" s="388"/>
      <c r="T552" s="388"/>
      <c r="U552" s="7"/>
      <c r="V552" s="7"/>
      <c r="W552" s="3"/>
      <c r="X552" s="386"/>
      <c r="Y552" s="386"/>
      <c r="Z552" s="386"/>
      <c r="AA552" s="386"/>
      <c r="AB552" s="387"/>
    </row>
    <row r="553" spans="1:28" x14ac:dyDescent="0.2">
      <c r="B553" s="436" t="s">
        <v>127</v>
      </c>
      <c r="C553" s="436"/>
      <c r="D553" s="436"/>
      <c r="E553" s="436"/>
      <c r="F553" s="436"/>
      <c r="G553" s="436"/>
      <c r="H553" s="436"/>
    </row>
    <row r="554" spans="1:28" x14ac:dyDescent="0.2">
      <c r="B554" s="436"/>
      <c r="C554" s="436"/>
      <c r="D554" s="436"/>
      <c r="E554" s="436"/>
      <c r="F554" s="436"/>
      <c r="G554" s="436"/>
      <c r="H554" s="436"/>
    </row>
    <row r="555" spans="1:28" x14ac:dyDescent="0.2">
      <c r="L555" t="s">
        <v>135</v>
      </c>
    </row>
    <row r="558" spans="1:28" x14ac:dyDescent="0.2">
      <c r="M558" s="479" t="s">
        <v>105</v>
      </c>
      <c r="N558" s="479"/>
      <c r="O558" s="418" t="s">
        <v>128</v>
      </c>
      <c r="P558" s="418"/>
      <c r="Q558" s="476" t="s">
        <v>129</v>
      </c>
      <c r="R558" s="476"/>
      <c r="S558" s="476"/>
      <c r="X558" s="56"/>
    </row>
    <row r="559" spans="1:28" x14ac:dyDescent="0.2">
      <c r="M559" s="479"/>
      <c r="N559" s="479"/>
      <c r="O559" s="467">
        <v>6</v>
      </c>
      <c r="P559" s="467"/>
      <c r="Q559" s="476"/>
      <c r="R559" s="476"/>
      <c r="S559" s="476"/>
      <c r="X559" s="56"/>
    </row>
    <row r="564" spans="2:27" x14ac:dyDescent="0.2">
      <c r="B564" s="107" t="str">
        <f>B553&amp;" - Volumen"</f>
        <v>Kile - Volumen</v>
      </c>
      <c r="C564" s="84"/>
      <c r="D564" s="94"/>
      <c r="E564" s="94"/>
      <c r="F564" s="94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 t="s">
        <v>54</v>
      </c>
      <c r="W564" s="85"/>
      <c r="X564" s="85"/>
      <c r="Y564" s="85"/>
      <c r="Z564" s="85"/>
      <c r="AA564" s="82">
        <v>3</v>
      </c>
    </row>
    <row r="565" spans="2:27" x14ac:dyDescent="0.2">
      <c r="B565" s="34"/>
      <c r="C565" s="59" t="s">
        <v>10</v>
      </c>
      <c r="D565" s="473">
        <v>7.89</v>
      </c>
      <c r="E565" s="473"/>
      <c r="F565" s="473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AA565" s="36"/>
    </row>
    <row r="566" spans="2:27" x14ac:dyDescent="0.2">
      <c r="B566" s="39"/>
      <c r="C566" s="61" t="s">
        <v>11</v>
      </c>
      <c r="D566" s="447">
        <v>4.5599999999999996</v>
      </c>
      <c r="E566" s="447"/>
      <c r="F566" s="447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51"/>
      <c r="AA566" s="40"/>
    </row>
    <row r="567" spans="2:27" x14ac:dyDescent="0.2">
      <c r="B567" s="39"/>
      <c r="C567" s="61" t="s">
        <v>15</v>
      </c>
      <c r="D567" s="447">
        <v>3.12</v>
      </c>
      <c r="E567" s="447"/>
      <c r="F567" s="447"/>
      <c r="G567" s="511" t="s">
        <v>105</v>
      </c>
      <c r="H567" s="511"/>
      <c r="I567" s="418" t="str">
        <f>D566&amp;"∙"&amp;D568</f>
        <v>4,56∙4,37</v>
      </c>
      <c r="J567" s="418"/>
      <c r="K567" s="418"/>
      <c r="L567" s="417" t="str">
        <f>"(2∙"&amp;D565&amp;" + "&amp;D567&amp;") ="</f>
        <v>(2∙7,89 + 3,12) =</v>
      </c>
      <c r="M567" s="417"/>
      <c r="N567" s="417"/>
      <c r="O567" s="417"/>
      <c r="P567" s="417"/>
      <c r="Q567" s="417"/>
      <c r="R567" s="417">
        <f>ROUND(D566*D568/6*(2*D565+D567),AA564)</f>
        <v>62.771000000000001</v>
      </c>
      <c r="S567" s="417"/>
      <c r="T567" s="417"/>
      <c r="U567" s="417"/>
      <c r="V567" s="417"/>
      <c r="W567" s="2"/>
      <c r="X567" s="2"/>
      <c r="Y567" s="2"/>
      <c r="Z567" s="51"/>
      <c r="AA567" s="40"/>
    </row>
    <row r="568" spans="2:27" x14ac:dyDescent="0.2">
      <c r="B568" s="37"/>
      <c r="C568" s="60" t="s">
        <v>9</v>
      </c>
      <c r="D568" s="520">
        <v>4.37</v>
      </c>
      <c r="E568" s="520"/>
      <c r="F568" s="520"/>
      <c r="G568" s="480"/>
      <c r="H568" s="480"/>
      <c r="I568" s="543">
        <v>6</v>
      </c>
      <c r="J568" s="543"/>
      <c r="K568" s="543"/>
      <c r="L568" s="540"/>
      <c r="M568" s="540"/>
      <c r="N568" s="540"/>
      <c r="O568" s="540"/>
      <c r="P568" s="540"/>
      <c r="Q568" s="540"/>
      <c r="R568" s="540"/>
      <c r="S568" s="540"/>
      <c r="T568" s="540"/>
      <c r="U568" s="540"/>
      <c r="V568" s="540"/>
      <c r="W568" s="3"/>
      <c r="X568" s="3"/>
      <c r="Y568" s="3"/>
      <c r="Z568" s="3"/>
      <c r="AA568" s="38"/>
    </row>
    <row r="569" spans="2:27" ht="6" customHeight="1" x14ac:dyDescent="0.2"/>
    <row r="570" spans="2:27" x14ac:dyDescent="0.2">
      <c r="B570" s="436" t="s">
        <v>130</v>
      </c>
      <c r="C570" s="436"/>
      <c r="D570" s="436"/>
      <c r="E570" s="436"/>
      <c r="F570" s="436"/>
      <c r="G570" s="436"/>
      <c r="H570" s="436"/>
      <c r="Q570" s="17"/>
    </row>
    <row r="571" spans="2:27" x14ac:dyDescent="0.2">
      <c r="B571" s="436"/>
      <c r="C571" s="436"/>
      <c r="D571" s="436"/>
      <c r="E571" s="436"/>
      <c r="F571" s="436"/>
      <c r="G571" s="436"/>
      <c r="H571" s="436"/>
      <c r="I571" t="s">
        <v>131</v>
      </c>
    </row>
    <row r="573" spans="2:27" x14ac:dyDescent="0.2">
      <c r="M573" t="s">
        <v>136</v>
      </c>
    </row>
    <row r="575" spans="2:27" x14ac:dyDescent="0.2">
      <c r="M575" s="479" t="s">
        <v>105</v>
      </c>
      <c r="N575" s="479"/>
      <c r="O575" s="32" t="s">
        <v>9</v>
      </c>
      <c r="P575" s="476" t="s">
        <v>132</v>
      </c>
      <c r="Q575" s="476"/>
      <c r="R575" s="476"/>
      <c r="S575" s="476"/>
      <c r="T575" s="476"/>
      <c r="U575" s="476"/>
      <c r="V575" s="476"/>
      <c r="W575" s="476"/>
      <c r="X575" s="476"/>
      <c r="Y575" s="476"/>
    </row>
    <row r="576" spans="2:27" x14ac:dyDescent="0.2">
      <c r="M576" s="479"/>
      <c r="N576" s="479"/>
      <c r="O576" s="11">
        <v>6</v>
      </c>
      <c r="P576" s="476"/>
      <c r="Q576" s="476"/>
      <c r="R576" s="476"/>
      <c r="S576" s="476"/>
      <c r="T576" s="476"/>
      <c r="U576" s="476"/>
      <c r="V576" s="476"/>
      <c r="W576" s="476"/>
      <c r="X576" s="476"/>
      <c r="Y576" s="476"/>
    </row>
    <row r="582" spans="2:27" x14ac:dyDescent="0.2">
      <c r="B582" s="107" t="str">
        <f>B570&amp;" - Volumen"</f>
        <v>Afskåret kile - Volumen</v>
      </c>
      <c r="C582" s="84"/>
      <c r="D582" s="94"/>
      <c r="E582" s="94"/>
      <c r="F582" s="94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 t="s">
        <v>54</v>
      </c>
      <c r="W582" s="85"/>
      <c r="X582" s="85"/>
      <c r="Y582" s="85"/>
      <c r="Z582" s="85"/>
      <c r="AA582" s="82">
        <v>3</v>
      </c>
    </row>
    <row r="583" spans="2:27" x14ac:dyDescent="0.2">
      <c r="B583" s="34"/>
      <c r="C583" s="59" t="s">
        <v>10</v>
      </c>
      <c r="D583" s="473">
        <v>7.89</v>
      </c>
      <c r="E583" s="473"/>
      <c r="F583" s="473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AA583" s="36"/>
    </row>
    <row r="584" spans="2:27" x14ac:dyDescent="0.2">
      <c r="B584" s="39"/>
      <c r="C584" s="61" t="s">
        <v>11</v>
      </c>
      <c r="D584" s="447">
        <v>4.5599999999999996</v>
      </c>
      <c r="E584" s="447"/>
      <c r="F584" s="447"/>
      <c r="G584" s="511" t="s">
        <v>105</v>
      </c>
      <c r="H584" s="511"/>
      <c r="I584" s="418">
        <f>D587</f>
        <v>4.37</v>
      </c>
      <c r="J584" s="418"/>
      <c r="K584" s="417" t="str">
        <f>"(("&amp;D583&amp;"∙"&amp;D584&amp;" + "&amp;D585&amp;"∙"&amp;D586&amp;" + ("&amp;D583&amp;" + "&amp;D585&amp;")("&amp;D584&amp;" + "&amp;D586&amp;"))"</f>
        <v>((7,89∙4,56 + 3,42∙2,12 + (7,89 + 3,42)(4,56 + 2,12))</v>
      </c>
      <c r="L584" s="417"/>
      <c r="M584" s="417"/>
      <c r="N584" s="417"/>
      <c r="O584" s="417"/>
      <c r="P584" s="417"/>
      <c r="Q584" s="417"/>
      <c r="R584" s="417"/>
      <c r="S584" s="417"/>
      <c r="T584" s="417"/>
      <c r="U584" s="417"/>
      <c r="V584" s="417"/>
      <c r="W584" s="417"/>
      <c r="X584" s="417"/>
      <c r="Y584" s="417"/>
      <c r="Z584" s="51"/>
      <c r="AA584" s="40"/>
    </row>
    <row r="585" spans="2:27" x14ac:dyDescent="0.2">
      <c r="B585" s="39"/>
      <c r="C585" s="61" t="s">
        <v>15</v>
      </c>
      <c r="D585" s="447">
        <v>3.42</v>
      </c>
      <c r="E585" s="447"/>
      <c r="F585" s="447"/>
      <c r="G585" s="511"/>
      <c r="H585" s="511"/>
      <c r="I585" s="467">
        <v>6</v>
      </c>
      <c r="J585" s="467"/>
      <c r="K585" s="417"/>
      <c r="L585" s="417"/>
      <c r="M585" s="417"/>
      <c r="N585" s="417"/>
      <c r="O585" s="417"/>
      <c r="P585" s="417"/>
      <c r="Q585" s="417"/>
      <c r="R585" s="417"/>
      <c r="S585" s="417"/>
      <c r="T585" s="417"/>
      <c r="U585" s="417"/>
      <c r="V585" s="417"/>
      <c r="W585" s="417"/>
      <c r="X585" s="417"/>
      <c r="Y585" s="417"/>
      <c r="Z585" s="51"/>
      <c r="AA585" s="40"/>
    </row>
    <row r="586" spans="2:27" x14ac:dyDescent="0.2">
      <c r="B586" s="39"/>
      <c r="C586" s="61" t="s">
        <v>14</v>
      </c>
      <c r="D586" s="447">
        <v>2.12</v>
      </c>
      <c r="E586" s="447"/>
      <c r="F586" s="447"/>
      <c r="G586" s="511" t="s">
        <v>105</v>
      </c>
      <c r="H586" s="511"/>
      <c r="I586" s="417">
        <f>ROUND(D587/6*(D583*D584+D585*D586+(D583+D585)*(D584+D586)),AA582)</f>
        <v>86.510999999999996</v>
      </c>
      <c r="J586" s="417"/>
      <c r="K586" s="417"/>
      <c r="L586" s="417"/>
      <c r="M586" s="417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51"/>
      <c r="AA586" s="40"/>
    </row>
    <row r="587" spans="2:27" x14ac:dyDescent="0.2">
      <c r="B587" s="37"/>
      <c r="C587" s="60" t="s">
        <v>9</v>
      </c>
      <c r="D587" s="520">
        <v>4.37</v>
      </c>
      <c r="E587" s="520"/>
      <c r="F587" s="520"/>
      <c r="G587" s="480"/>
      <c r="H587" s="480"/>
      <c r="I587" s="540"/>
      <c r="J587" s="540"/>
      <c r="K587" s="540"/>
      <c r="L587" s="540"/>
      <c r="M587" s="540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8"/>
    </row>
    <row r="589" spans="2:27" x14ac:dyDescent="0.2">
      <c r="B589" s="436" t="s">
        <v>133</v>
      </c>
      <c r="C589" s="436"/>
      <c r="D589" s="436"/>
      <c r="E589" s="436"/>
      <c r="F589" s="436"/>
      <c r="G589" s="436"/>
      <c r="H589" s="436"/>
    </row>
    <row r="590" spans="2:27" x14ac:dyDescent="0.2">
      <c r="B590" s="436"/>
      <c r="C590" s="436"/>
      <c r="D590" s="436"/>
      <c r="E590" s="436"/>
      <c r="F590" s="436"/>
      <c r="G590" s="436"/>
      <c r="H590" s="436"/>
    </row>
    <row r="594" spans="1:28" x14ac:dyDescent="0.2">
      <c r="L594" s="479" t="s">
        <v>105</v>
      </c>
      <c r="M594" s="479"/>
      <c r="N594" s="32">
        <v>1</v>
      </c>
      <c r="O594" s="476" t="s">
        <v>134</v>
      </c>
      <c r="P594" s="476"/>
    </row>
    <row r="595" spans="1:28" x14ac:dyDescent="0.2">
      <c r="L595" s="479"/>
      <c r="M595" s="479"/>
      <c r="N595" s="11">
        <v>6</v>
      </c>
      <c r="O595" s="476"/>
      <c r="P595" s="476"/>
    </row>
    <row r="602" spans="1:28" x14ac:dyDescent="0.2">
      <c r="B602" s="107" t="str">
        <f>B589&amp;" - Volumen"</f>
        <v>Kugle - Volumen</v>
      </c>
      <c r="C602" s="84"/>
      <c r="D602" s="94"/>
      <c r="E602" s="94"/>
      <c r="F602" s="94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 t="s">
        <v>54</v>
      </c>
      <c r="W602" s="85"/>
      <c r="X602" s="85"/>
      <c r="Y602" s="85"/>
      <c r="Z602" s="85"/>
      <c r="AA602" s="82">
        <v>2</v>
      </c>
    </row>
    <row r="603" spans="1:28" x14ac:dyDescent="0.2">
      <c r="B603" s="34"/>
      <c r="C603" s="525" t="s">
        <v>79</v>
      </c>
      <c r="D603" s="527">
        <v>10</v>
      </c>
      <c r="E603" s="527"/>
      <c r="F603" s="527"/>
      <c r="G603" s="35"/>
      <c r="H603" s="35"/>
      <c r="I603" s="541" t="s">
        <v>105</v>
      </c>
      <c r="J603" s="541"/>
      <c r="K603" s="50">
        <v>1</v>
      </c>
      <c r="L603" s="537" t="str">
        <f>"π∙"&amp;D603&amp;"³ ="</f>
        <v>π∙10³ =</v>
      </c>
      <c r="M603" s="537"/>
      <c r="N603" s="537"/>
      <c r="O603" s="537">
        <f>ROUND(PI()/6*D603^3,AA602)</f>
        <v>523.6</v>
      </c>
      <c r="P603" s="537"/>
      <c r="Q603" s="537"/>
      <c r="R603" s="537"/>
      <c r="S603" s="537"/>
      <c r="T603" s="35"/>
      <c r="U603" s="35"/>
      <c r="V603" s="35"/>
      <c r="W603" s="35"/>
      <c r="X603" s="35"/>
      <c r="Y603" s="35"/>
      <c r="AA603" s="36"/>
    </row>
    <row r="604" spans="1:28" x14ac:dyDescent="0.2">
      <c r="B604" s="37"/>
      <c r="C604" s="526"/>
      <c r="D604" s="528"/>
      <c r="E604" s="528"/>
      <c r="F604" s="528"/>
      <c r="G604" s="3"/>
      <c r="H604" s="3"/>
      <c r="I604" s="542"/>
      <c r="J604" s="542"/>
      <c r="K604" s="50">
        <v>6</v>
      </c>
      <c r="L604" s="540"/>
      <c r="M604" s="540"/>
      <c r="N604" s="540"/>
      <c r="O604" s="540"/>
      <c r="P604" s="540"/>
      <c r="Q604" s="540"/>
      <c r="R604" s="540"/>
      <c r="S604" s="540"/>
      <c r="T604" s="3"/>
      <c r="U604" s="3"/>
      <c r="V604" s="3"/>
      <c r="W604" s="3"/>
      <c r="X604" s="3"/>
      <c r="Y604" s="3"/>
      <c r="Z604" s="3"/>
      <c r="AA604" s="38"/>
    </row>
    <row r="608" spans="1:28" x14ac:dyDescent="0.2">
      <c r="A608" s="423" t="s">
        <v>0</v>
      </c>
      <c r="B608" s="378"/>
      <c r="C608" s="378"/>
      <c r="D608" s="378"/>
      <c r="E608" s="378"/>
      <c r="F608" s="378"/>
      <c r="G608" s="374" t="s">
        <v>1</v>
      </c>
      <c r="H608" s="374"/>
      <c r="I608" s="374"/>
      <c r="J608" s="374"/>
      <c r="K608" s="374"/>
      <c r="L608" s="374"/>
      <c r="M608" s="374"/>
      <c r="N608" s="374"/>
      <c r="O608" s="374"/>
      <c r="P608" s="374"/>
      <c r="Q608" s="374"/>
      <c r="R608" s="374"/>
      <c r="S608" s="374"/>
      <c r="T608" s="374"/>
      <c r="U608" s="8"/>
      <c r="V608" s="8"/>
      <c r="W608" s="9"/>
      <c r="X608" s="9"/>
      <c r="Y608" s="378" t="s">
        <v>2</v>
      </c>
      <c r="Z608" s="378"/>
      <c r="AA608" s="378"/>
      <c r="AB608" s="1"/>
    </row>
    <row r="609" spans="1:28" x14ac:dyDescent="0.2">
      <c r="A609" s="382"/>
      <c r="B609" s="379"/>
      <c r="C609" s="379"/>
      <c r="D609" s="379"/>
      <c r="E609" s="379"/>
      <c r="F609" s="379"/>
      <c r="G609" s="375"/>
      <c r="H609" s="375"/>
      <c r="I609" s="375"/>
      <c r="J609" s="375"/>
      <c r="K609" s="375"/>
      <c r="L609" s="375"/>
      <c r="M609" s="375"/>
      <c r="N609" s="375"/>
      <c r="O609" s="375"/>
      <c r="P609" s="375"/>
      <c r="Q609" s="375"/>
      <c r="R609" s="375"/>
      <c r="S609" s="375"/>
      <c r="T609" s="375"/>
      <c r="U609" s="6"/>
      <c r="V609" s="6"/>
      <c r="W609" s="10"/>
      <c r="X609" s="14">
        <f>X550+1</f>
        <v>12</v>
      </c>
      <c r="Y609" s="379"/>
      <c r="Z609" s="379"/>
      <c r="AA609" s="379"/>
      <c r="AB609" s="4"/>
    </row>
    <row r="610" spans="1:28" x14ac:dyDescent="0.2">
      <c r="A610" s="380" t="s">
        <v>3</v>
      </c>
      <c r="B610" s="381"/>
      <c r="C610" s="381"/>
      <c r="D610" s="381"/>
      <c r="E610" s="381"/>
      <c r="F610" s="381"/>
      <c r="G610" s="383" t="s">
        <v>5</v>
      </c>
      <c r="H610" s="383"/>
      <c r="I610" s="383"/>
      <c r="J610" s="383"/>
      <c r="K610" s="383"/>
      <c r="L610" s="383"/>
      <c r="M610" s="383"/>
      <c r="N610" s="383"/>
      <c r="O610" s="383"/>
      <c r="P610" s="383"/>
      <c r="Q610" s="383"/>
      <c r="R610" s="383"/>
      <c r="S610" s="383"/>
      <c r="T610" s="383"/>
      <c r="U610" s="5"/>
      <c r="V610" s="5"/>
      <c r="W610" s="2"/>
      <c r="X610" s="384" t="s">
        <v>4</v>
      </c>
      <c r="Y610" s="384"/>
      <c r="Z610" s="384"/>
      <c r="AA610" s="384"/>
      <c r="AB610" s="385"/>
    </row>
    <row r="611" spans="1:28" x14ac:dyDescent="0.2">
      <c r="A611" s="382"/>
      <c r="B611" s="379"/>
      <c r="C611" s="379"/>
      <c r="D611" s="379"/>
      <c r="E611" s="379"/>
      <c r="F611" s="379"/>
      <c r="G611" s="388" t="s">
        <v>95</v>
      </c>
      <c r="H611" s="388"/>
      <c r="I611" s="388"/>
      <c r="J611" s="388"/>
      <c r="K611" s="388"/>
      <c r="L611" s="388"/>
      <c r="M611" s="388"/>
      <c r="N611" s="388"/>
      <c r="O611" s="388"/>
      <c r="P611" s="388"/>
      <c r="Q611" s="388"/>
      <c r="R611" s="388"/>
      <c r="S611" s="388"/>
      <c r="T611" s="388"/>
      <c r="U611" s="7"/>
      <c r="V611" s="7"/>
      <c r="W611" s="3"/>
      <c r="X611" s="386"/>
      <c r="Y611" s="386"/>
      <c r="Z611" s="386"/>
      <c r="AA611" s="386"/>
      <c r="AB611" s="387"/>
    </row>
    <row r="612" spans="1:28" x14ac:dyDescent="0.2">
      <c r="B612" s="436" t="s">
        <v>137</v>
      </c>
      <c r="C612" s="436"/>
      <c r="D612" s="436"/>
      <c r="E612" s="436"/>
      <c r="F612" s="436"/>
      <c r="G612" s="436"/>
      <c r="H612" s="436"/>
    </row>
    <row r="613" spans="1:28" x14ac:dyDescent="0.2">
      <c r="B613" s="436"/>
      <c r="C613" s="436"/>
      <c r="D613" s="436"/>
      <c r="E613" s="436"/>
      <c r="F613" s="436"/>
      <c r="G613" s="436"/>
      <c r="H613" s="436"/>
      <c r="M613" t="s">
        <v>138</v>
      </c>
    </row>
    <row r="617" spans="1:28" x14ac:dyDescent="0.2">
      <c r="K617" s="479" t="s">
        <v>105</v>
      </c>
      <c r="L617" s="479"/>
      <c r="M617" s="524" t="s">
        <v>139</v>
      </c>
      <c r="N617" s="418"/>
      <c r="O617" s="476" t="s">
        <v>140</v>
      </c>
      <c r="P617" s="476"/>
      <c r="Q617" s="476"/>
    </row>
    <row r="618" spans="1:28" x14ac:dyDescent="0.2">
      <c r="K618" s="479"/>
      <c r="L618" s="479"/>
      <c r="M618" s="467">
        <v>6</v>
      </c>
      <c r="N618" s="467"/>
      <c r="O618" s="476"/>
      <c r="P618" s="476"/>
      <c r="Q618" s="476"/>
    </row>
    <row r="620" spans="1:28" x14ac:dyDescent="0.2">
      <c r="K620" s="479" t="s">
        <v>105</v>
      </c>
      <c r="L620" s="479"/>
      <c r="M620" s="524" t="s">
        <v>141</v>
      </c>
      <c r="N620" s="418"/>
      <c r="O620" s="476" t="s">
        <v>142</v>
      </c>
      <c r="P620" s="476"/>
      <c r="Q620" s="476"/>
    </row>
    <row r="621" spans="1:28" x14ac:dyDescent="0.2">
      <c r="K621" s="479"/>
      <c r="L621" s="479"/>
      <c r="M621" s="467">
        <v>3</v>
      </c>
      <c r="N621" s="467"/>
      <c r="O621" s="476"/>
      <c r="P621" s="476"/>
      <c r="Q621" s="476"/>
    </row>
    <row r="624" spans="1:28" x14ac:dyDescent="0.2">
      <c r="B624" s="107" t="str">
        <f>B612&amp;" - Volumen"</f>
        <v>Kuglekalot - Volumen</v>
      </c>
      <c r="C624" s="84"/>
      <c r="D624" s="94"/>
      <c r="E624" s="94"/>
      <c r="F624" s="94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 t="s">
        <v>54</v>
      </c>
      <c r="W624" s="85"/>
      <c r="X624" s="85"/>
      <c r="Y624" s="85"/>
      <c r="Z624" s="85"/>
      <c r="AA624" s="82">
        <v>3</v>
      </c>
    </row>
    <row r="625" spans="2:27" x14ac:dyDescent="0.2">
      <c r="B625" s="34"/>
      <c r="C625" s="59" t="s">
        <v>15</v>
      </c>
      <c r="D625" s="473">
        <v>2</v>
      </c>
      <c r="E625" s="473"/>
      <c r="F625" s="473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AA625" s="36"/>
    </row>
    <row r="626" spans="2:27" x14ac:dyDescent="0.2">
      <c r="B626" s="39"/>
      <c r="C626" s="61" t="s">
        <v>9</v>
      </c>
      <c r="D626" s="447">
        <v>4</v>
      </c>
      <c r="E626" s="447"/>
      <c r="F626" s="447"/>
      <c r="G626" s="511" t="s">
        <v>105</v>
      </c>
      <c r="H626" s="511"/>
      <c r="I626" s="524" t="str">
        <f>IF($D$625*$D$626,"π∙"&amp;$D$626,"π∙h")</f>
        <v>π∙4</v>
      </c>
      <c r="J626" s="524"/>
      <c r="K626" s="524"/>
      <c r="L626" s="538" t="str">
        <f>IF($D$625*$D$626,"(3∙"&amp;D625&amp;"² + "&amp;D626&amp;"²) = ","(3a² + h²)")</f>
        <v xml:space="preserve">(3∙2² + 4²) = </v>
      </c>
      <c r="M626" s="538"/>
      <c r="N626" s="538"/>
      <c r="O626" s="538"/>
      <c r="P626" s="538"/>
      <c r="Q626" s="538"/>
      <c r="R626" s="538"/>
      <c r="S626" s="417">
        <f>IF(D625*D626,(ROUND(PI()*D626/6*(3*D625^2+D626^2),AA624)),"")</f>
        <v>58.643000000000001</v>
      </c>
      <c r="T626" s="417"/>
      <c r="U626" s="417"/>
      <c r="V626" s="417"/>
      <c r="W626" s="417"/>
      <c r="X626" s="2"/>
      <c r="Y626" s="2"/>
      <c r="Z626" s="51"/>
      <c r="AA626" s="40"/>
    </row>
    <row r="627" spans="2:27" x14ac:dyDescent="0.2">
      <c r="B627" s="39"/>
      <c r="G627" s="511"/>
      <c r="H627" s="511"/>
      <c r="I627" s="307">
        <v>6</v>
      </c>
      <c r="J627" s="307"/>
      <c r="K627" s="307"/>
      <c r="L627" s="538"/>
      <c r="M627" s="538"/>
      <c r="N627" s="538"/>
      <c r="O627" s="538"/>
      <c r="P627" s="538"/>
      <c r="Q627" s="538"/>
      <c r="R627" s="538"/>
      <c r="S627" s="417"/>
      <c r="T627" s="417"/>
      <c r="U627" s="417"/>
      <c r="V627" s="417"/>
      <c r="W627" s="417"/>
      <c r="X627" s="2"/>
      <c r="Y627" s="2"/>
      <c r="Z627" s="2"/>
      <c r="AA627" s="40"/>
    </row>
    <row r="628" spans="2:27" ht="6" customHeight="1" x14ac:dyDescent="0.2">
      <c r="B628" s="49"/>
      <c r="C628" s="49"/>
      <c r="D628" s="49"/>
      <c r="E628" s="49"/>
      <c r="F628" s="49"/>
      <c r="G628" s="75"/>
      <c r="H628" s="75"/>
      <c r="I628" s="50"/>
      <c r="J628" s="50"/>
      <c r="K628" s="50"/>
      <c r="L628" s="76"/>
      <c r="M628" s="76"/>
      <c r="N628" s="76"/>
      <c r="O628" s="76"/>
      <c r="P628" s="76"/>
      <c r="Q628" s="76"/>
      <c r="R628" s="76"/>
      <c r="S628" s="77"/>
      <c r="T628" s="77"/>
      <c r="U628" s="77"/>
      <c r="V628" s="77"/>
      <c r="W628" s="77"/>
      <c r="X628" s="49"/>
      <c r="Y628" s="49"/>
      <c r="Z628" s="49"/>
      <c r="AA628" s="49"/>
    </row>
    <row r="629" spans="2:27" x14ac:dyDescent="0.2">
      <c r="B629" s="34"/>
      <c r="C629" s="59" t="s">
        <v>66</v>
      </c>
      <c r="D629" s="473">
        <v>4</v>
      </c>
      <c r="E629" s="473"/>
      <c r="F629" s="473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52"/>
      <c r="AA629" s="36"/>
    </row>
    <row r="630" spans="2:27" x14ac:dyDescent="0.2">
      <c r="B630" s="39"/>
      <c r="C630" s="61" t="s">
        <v>9</v>
      </c>
      <c r="D630" s="447">
        <v>2</v>
      </c>
      <c r="E630" s="447"/>
      <c r="F630" s="447"/>
      <c r="G630" s="511" t="s">
        <v>105</v>
      </c>
      <c r="H630" s="511"/>
      <c r="I630" s="524" t="str">
        <f>IF(D629*D630,"π∙"&amp;D630&amp;"²","π∙h²")</f>
        <v>π∙2²</v>
      </c>
      <c r="J630" s="524"/>
      <c r="K630" s="524"/>
      <c r="L630" s="538" t="str">
        <f>IF(D629*D630,"(3∙"&amp;D629&amp;" - "&amp;D630&amp;") = ","(3R - h)")</f>
        <v xml:space="preserve">(3∙4 - 2) = </v>
      </c>
      <c r="M630" s="538"/>
      <c r="N630" s="538"/>
      <c r="O630" s="538"/>
      <c r="P630" s="538"/>
      <c r="Q630" s="538"/>
      <c r="R630" s="538"/>
      <c r="S630" s="417">
        <f>IF(D629*D630,(ROUND(PI()*D629^2/3*(3*D629-D630),AA624)),"")</f>
        <v>167.55199999999999</v>
      </c>
      <c r="T630" s="417"/>
      <c r="U630" s="417"/>
      <c r="V630" s="417"/>
      <c r="W630" s="417"/>
      <c r="X630" s="2"/>
      <c r="Y630" s="2"/>
      <c r="Z630" s="51"/>
      <c r="AA630" s="40"/>
    </row>
    <row r="631" spans="2:27" x14ac:dyDescent="0.2">
      <c r="B631" s="37"/>
      <c r="C631" s="3"/>
      <c r="D631" s="3"/>
      <c r="E631" s="3"/>
      <c r="F631" s="3"/>
      <c r="G631" s="480"/>
      <c r="H631" s="480"/>
      <c r="I631" s="418">
        <v>3</v>
      </c>
      <c r="J631" s="418"/>
      <c r="K631" s="418"/>
      <c r="L631" s="539"/>
      <c r="M631" s="539"/>
      <c r="N631" s="539"/>
      <c r="O631" s="539"/>
      <c r="P631" s="539"/>
      <c r="Q631" s="539"/>
      <c r="R631" s="539"/>
      <c r="S631" s="540"/>
      <c r="T631" s="540"/>
      <c r="U631" s="540"/>
      <c r="V631" s="540"/>
      <c r="W631" s="540"/>
      <c r="X631" s="3"/>
      <c r="Y631" s="3"/>
      <c r="Z631" s="3"/>
      <c r="AA631" s="38"/>
    </row>
    <row r="632" spans="2:27" ht="6" customHeight="1" x14ac:dyDescent="0.2"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2:27" x14ac:dyDescent="0.2">
      <c r="B633" s="436" t="s">
        <v>143</v>
      </c>
      <c r="C633" s="436"/>
      <c r="D633" s="436"/>
      <c r="E633" s="436"/>
      <c r="F633" s="436"/>
      <c r="G633" s="436"/>
      <c r="H633" s="436"/>
    </row>
    <row r="634" spans="2:27" x14ac:dyDescent="0.2">
      <c r="B634" s="436"/>
      <c r="C634" s="436"/>
      <c r="D634" s="436"/>
      <c r="E634" s="436"/>
      <c r="F634" s="436"/>
      <c r="G634" s="436"/>
      <c r="H634" s="436"/>
      <c r="M634" t="s">
        <v>144</v>
      </c>
    </row>
    <row r="639" spans="2:27" x14ac:dyDescent="0.2">
      <c r="K639" s="511" t="s">
        <v>105</v>
      </c>
      <c r="L639" s="418" t="s">
        <v>148</v>
      </c>
      <c r="M639" s="418"/>
      <c r="N639" s="418"/>
    </row>
    <row r="640" spans="2:27" x14ac:dyDescent="0.2">
      <c r="K640" s="511"/>
      <c r="L640" s="521">
        <v>3</v>
      </c>
      <c r="M640" s="521"/>
      <c r="N640" s="521"/>
    </row>
    <row r="642" spans="2:27" x14ac:dyDescent="0.2">
      <c r="K642" s="511" t="s">
        <v>147</v>
      </c>
      <c r="L642" s="524" t="s">
        <v>145</v>
      </c>
      <c r="M642" s="418"/>
    </row>
    <row r="643" spans="2:27" x14ac:dyDescent="0.2">
      <c r="K643" s="511"/>
      <c r="L643" s="467" t="s">
        <v>146</v>
      </c>
      <c r="M643" s="467"/>
    </row>
    <row r="645" spans="2:27" ht="6" customHeight="1" x14ac:dyDescent="0.2"/>
    <row r="646" spans="2:27" ht="12.75" customHeight="1" x14ac:dyDescent="0.2">
      <c r="B646" s="107" t="str">
        <f>B633&amp;" - Volumen"</f>
        <v>Kugleudsnit - Volumen</v>
      </c>
      <c r="C646" s="84"/>
      <c r="D646" s="94"/>
      <c r="E646" s="94"/>
      <c r="F646" s="94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 t="s">
        <v>54</v>
      </c>
      <c r="W646" s="85"/>
      <c r="X646" s="85"/>
      <c r="Y646" s="85"/>
      <c r="Z646" s="85"/>
      <c r="AA646" s="82">
        <v>2</v>
      </c>
    </row>
    <row r="647" spans="2:27" x14ac:dyDescent="0.2">
      <c r="B647" s="34"/>
      <c r="C647" s="59" t="s">
        <v>66</v>
      </c>
      <c r="D647" s="473">
        <v>5</v>
      </c>
      <c r="E647" s="473"/>
      <c r="F647" s="473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AA647" s="36"/>
    </row>
    <row r="648" spans="2:27" x14ac:dyDescent="0.2">
      <c r="B648" s="39"/>
      <c r="C648" s="61" t="s">
        <v>9</v>
      </c>
      <c r="D648" s="447">
        <v>3</v>
      </c>
      <c r="E648" s="447"/>
      <c r="F648" s="447"/>
      <c r="G648" s="2"/>
      <c r="H648" s="2"/>
      <c r="I648" s="2"/>
      <c r="J648" s="2" t="str">
        <f>"V  = 2/3∙π∙"&amp;D647&amp;"²∙"&amp;D648&amp;" = "&amp;ROUND(2/3*PI()*D647^2*D648,AA646)</f>
        <v>V  = 2/3∙π∙5²∙3 = 157,08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51"/>
      <c r="AA648" s="40"/>
    </row>
    <row r="649" spans="2:27" ht="6" customHeight="1" x14ac:dyDescent="0.2">
      <c r="B649" s="37"/>
      <c r="C649" s="60"/>
      <c r="D649" s="65"/>
      <c r="E649" s="65"/>
      <c r="F649" s="6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8"/>
    </row>
    <row r="650" spans="2:27" ht="6" customHeight="1" x14ac:dyDescent="0.2">
      <c r="I650" s="49"/>
      <c r="J650" s="49"/>
      <c r="K650" s="49"/>
      <c r="L650" s="49"/>
      <c r="M650" s="49"/>
      <c r="N650" s="49"/>
      <c r="O650" s="49"/>
      <c r="P650" s="49"/>
      <c r="Q650" s="49"/>
      <c r="R650" s="49"/>
    </row>
    <row r="651" spans="2:27" x14ac:dyDescent="0.2">
      <c r="B651" s="34"/>
      <c r="C651" s="59" t="s">
        <v>15</v>
      </c>
      <c r="D651" s="473">
        <v>5</v>
      </c>
      <c r="E651" s="473"/>
      <c r="F651" s="473"/>
      <c r="G651" s="35"/>
      <c r="H651" s="35"/>
      <c r="I651" s="2"/>
      <c r="J651" s="511" t="s">
        <v>147</v>
      </c>
      <c r="K651" s="524" t="str">
        <f>IF(D651*D652,D651&amp;"² + "&amp;D652&amp;"²",L642)</f>
        <v>5² + 5²</v>
      </c>
      <c r="L651" s="524"/>
      <c r="M651" s="524"/>
      <c r="N651" s="524"/>
      <c r="O651" s="511" t="s">
        <v>42</v>
      </c>
      <c r="P651" s="537">
        <f>IF(D651*D652,ROUND((D651^2+D652^2)/(2*D652),AA646),"")</f>
        <v>5</v>
      </c>
      <c r="Q651" s="537"/>
      <c r="R651" s="537"/>
      <c r="S651" s="35"/>
      <c r="T651" s="35"/>
      <c r="U651" s="35"/>
      <c r="V651" s="35"/>
      <c r="W651" s="35"/>
      <c r="X651" s="35"/>
      <c r="Y651" s="35"/>
      <c r="Z651" s="52"/>
      <c r="AA651" s="36"/>
    </row>
    <row r="652" spans="2:27" x14ac:dyDescent="0.2">
      <c r="B652" s="39"/>
      <c r="C652" s="61" t="s">
        <v>9</v>
      </c>
      <c r="D652" s="447">
        <v>5</v>
      </c>
      <c r="E652" s="447"/>
      <c r="F652" s="447"/>
      <c r="G652" s="2"/>
      <c r="H652" s="2"/>
      <c r="I652" s="2"/>
      <c r="J652" s="511"/>
      <c r="K652" s="467" t="str">
        <f>IF(D651*D652,"2∙"&amp;D652,L643)</f>
        <v>2∙5</v>
      </c>
      <c r="L652" s="467"/>
      <c r="M652" s="467"/>
      <c r="N652" s="467"/>
      <c r="O652" s="511"/>
      <c r="P652" s="417"/>
      <c r="Q652" s="417"/>
      <c r="R652" s="417"/>
      <c r="S652" s="2"/>
      <c r="T652" s="2"/>
      <c r="U652" s="2"/>
      <c r="V652" s="2"/>
      <c r="W652" s="2"/>
      <c r="X652" s="2"/>
      <c r="Y652" s="2"/>
      <c r="Z652" s="51"/>
      <c r="AA652" s="40"/>
    </row>
    <row r="653" spans="2:27" ht="6" customHeight="1" x14ac:dyDescent="0.2">
      <c r="B653" s="39"/>
      <c r="C653" s="61"/>
      <c r="D653" s="62"/>
      <c r="E653" s="62"/>
      <c r="F653" s="6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51"/>
      <c r="AA653" s="40"/>
    </row>
    <row r="654" spans="2:27" x14ac:dyDescent="0.2">
      <c r="B654" s="37"/>
      <c r="C654" s="60"/>
      <c r="D654" s="65"/>
      <c r="E654" s="65"/>
      <c r="F654" s="65"/>
      <c r="G654" s="3"/>
      <c r="H654" s="3"/>
      <c r="I654" s="3"/>
      <c r="J654" s="3" t="str">
        <f>IF(D651*D652,"V  = 2/3∙π∙"&amp;ROUND(P651,AA646)&amp;"²∙"&amp;D652&amp;" = "&amp;ROUND(2/3*PI()*P651^2*D652,AA646),"")</f>
        <v>V  = 2/3∙π∙5²∙5 = 261,8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8"/>
    </row>
    <row r="655" spans="2:27" ht="6" customHeight="1" x14ac:dyDescent="0.2"/>
    <row r="656" spans="2:27" x14ac:dyDescent="0.2">
      <c r="B656" s="436" t="s">
        <v>251</v>
      </c>
      <c r="C656" s="436"/>
      <c r="D656" s="436"/>
      <c r="E656" s="436"/>
      <c r="F656" s="436"/>
      <c r="G656" s="436"/>
      <c r="H656" s="436"/>
    </row>
    <row r="657" spans="1:28" x14ac:dyDescent="0.2">
      <c r="B657" s="436"/>
      <c r="C657" s="436"/>
      <c r="D657" s="436"/>
      <c r="E657" s="436"/>
      <c r="F657" s="436"/>
      <c r="G657" s="436"/>
      <c r="H657" s="436"/>
      <c r="N657" t="s">
        <v>150</v>
      </c>
    </row>
    <row r="662" spans="1:28" x14ac:dyDescent="0.2">
      <c r="J662" s="479" t="s">
        <v>105</v>
      </c>
      <c r="K662" s="479"/>
      <c r="L662" s="524" t="s">
        <v>139</v>
      </c>
      <c r="M662" s="418"/>
      <c r="N662" s="421" t="s">
        <v>149</v>
      </c>
      <c r="O662" s="421"/>
      <c r="P662" s="421"/>
      <c r="Q662" s="421"/>
      <c r="R662" s="56"/>
    </row>
    <row r="663" spans="1:28" x14ac:dyDescent="0.2">
      <c r="J663" s="479"/>
      <c r="K663" s="479"/>
      <c r="L663" s="467">
        <v>6</v>
      </c>
      <c r="M663" s="467"/>
      <c r="N663" s="421"/>
      <c r="O663" s="421"/>
      <c r="P663" s="421"/>
      <c r="Q663" s="421"/>
      <c r="R663" s="56"/>
    </row>
    <row r="666" spans="1:28" ht="6" customHeight="1" x14ac:dyDescent="0.2"/>
    <row r="667" spans="1:28" x14ac:dyDescent="0.2">
      <c r="B667" s="107" t="str">
        <f>B656&amp;" - Volumen"</f>
        <v>Kuglebælte - Volumen</v>
      </c>
      <c r="C667" s="84"/>
      <c r="D667" s="94"/>
      <c r="E667" s="94"/>
      <c r="F667" s="94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 t="s">
        <v>54</v>
      </c>
      <c r="W667" s="85"/>
      <c r="X667" s="85"/>
      <c r="Y667" s="85"/>
      <c r="Z667" s="85"/>
      <c r="AA667" s="82">
        <v>4</v>
      </c>
    </row>
    <row r="668" spans="1:28" x14ac:dyDescent="0.2">
      <c r="B668" s="34"/>
      <c r="C668" s="59" t="s">
        <v>15</v>
      </c>
      <c r="D668" s="473">
        <v>5</v>
      </c>
      <c r="E668" s="473"/>
      <c r="F668" s="473"/>
      <c r="G668" s="35"/>
      <c r="H668" s="35"/>
      <c r="I668" s="35"/>
      <c r="J668" s="66"/>
      <c r="K668" s="78"/>
      <c r="L668" s="78"/>
      <c r="M668" s="78"/>
      <c r="N668" s="78"/>
      <c r="O668" s="66"/>
      <c r="P668" s="66"/>
      <c r="Q668" s="66"/>
      <c r="R668" s="66"/>
      <c r="S668" s="35"/>
      <c r="T668" s="35"/>
      <c r="U668" s="35"/>
      <c r="V668" s="35"/>
      <c r="W668" s="35"/>
      <c r="X668" s="35"/>
      <c r="Y668" s="35"/>
      <c r="AA668" s="36"/>
    </row>
    <row r="669" spans="1:28" x14ac:dyDescent="0.2">
      <c r="B669" s="39"/>
      <c r="C669" s="61" t="s">
        <v>14</v>
      </c>
      <c r="D669" s="447">
        <v>2</v>
      </c>
      <c r="E669" s="447"/>
      <c r="F669" s="447"/>
      <c r="G669" s="2"/>
      <c r="H669" s="2"/>
      <c r="I669" s="2"/>
      <c r="J669" s="479" t="s">
        <v>105</v>
      </c>
      <c r="K669" s="479"/>
      <c r="L669" s="524" t="str">
        <f>IF(D668*D670,"π∙"&amp;D670,L662)</f>
        <v>π∙3</v>
      </c>
      <c r="M669" s="524"/>
      <c r="N669" s="524"/>
      <c r="O669" s="476" t="str">
        <f>IF(D668*D670,"(3∙"&amp;D668&amp;"² + 3∙"&amp;D669&amp;"² + "&amp;D670&amp;"²) =",N662)</f>
        <v>(3∙5² + 3∙2² + 3²) =</v>
      </c>
      <c r="P669" s="476"/>
      <c r="Q669" s="476"/>
      <c r="R669" s="476"/>
      <c r="S669" s="476"/>
      <c r="T669" s="476"/>
      <c r="U669" s="476"/>
      <c r="V669" s="476"/>
      <c r="W669" s="476">
        <f>IF(D668*D670,ROUND(PI()*D670/6*(3*D668^2+3*D669^2+D670^2),AA667),"")</f>
        <v>150.79640000000001</v>
      </c>
      <c r="X669" s="476"/>
      <c r="Y669" s="476"/>
      <c r="Z669" s="476"/>
      <c r="AA669" s="517"/>
    </row>
    <row r="670" spans="1:28" x14ac:dyDescent="0.2">
      <c r="B670" s="39"/>
      <c r="C670" s="61" t="s">
        <v>9</v>
      </c>
      <c r="D670" s="447">
        <v>3</v>
      </c>
      <c r="E670" s="447"/>
      <c r="F670" s="447"/>
      <c r="G670" s="2"/>
      <c r="H670" s="2"/>
      <c r="I670" s="2"/>
      <c r="J670" s="479"/>
      <c r="K670" s="479"/>
      <c r="L670" s="307">
        <v>6</v>
      </c>
      <c r="M670" s="307"/>
      <c r="N670" s="307"/>
      <c r="O670" s="476"/>
      <c r="P670" s="476"/>
      <c r="Q670" s="476"/>
      <c r="R670" s="476"/>
      <c r="S670" s="476"/>
      <c r="T670" s="476"/>
      <c r="U670" s="476"/>
      <c r="V670" s="476"/>
      <c r="W670" s="476"/>
      <c r="X670" s="476"/>
      <c r="Y670" s="476"/>
      <c r="Z670" s="476"/>
      <c r="AA670" s="517"/>
    </row>
    <row r="671" spans="1:28" ht="6" customHeight="1" x14ac:dyDescent="0.2">
      <c r="B671" s="37"/>
      <c r="C671" s="60"/>
      <c r="D671" s="65"/>
      <c r="E671" s="65"/>
      <c r="F671" s="6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8"/>
    </row>
    <row r="672" spans="1:28" x14ac:dyDescent="0.2">
      <c r="A672" s="423" t="s">
        <v>0</v>
      </c>
      <c r="B672" s="378"/>
      <c r="C672" s="378"/>
      <c r="D672" s="378"/>
      <c r="E672" s="378"/>
      <c r="F672" s="378"/>
      <c r="G672" s="374" t="s">
        <v>1</v>
      </c>
      <c r="H672" s="374"/>
      <c r="I672" s="374"/>
      <c r="J672" s="374"/>
      <c r="K672" s="374"/>
      <c r="L672" s="374"/>
      <c r="M672" s="374"/>
      <c r="N672" s="374"/>
      <c r="O672" s="374"/>
      <c r="P672" s="374"/>
      <c r="Q672" s="374"/>
      <c r="R672" s="374"/>
      <c r="S672" s="374"/>
      <c r="T672" s="374"/>
      <c r="U672" s="8"/>
      <c r="V672" s="8"/>
      <c r="W672" s="9"/>
      <c r="X672" s="9"/>
      <c r="Y672" s="378" t="s">
        <v>2</v>
      </c>
      <c r="Z672" s="378"/>
      <c r="AA672" s="378"/>
      <c r="AB672" s="1"/>
    </row>
    <row r="673" spans="1:28" x14ac:dyDescent="0.2">
      <c r="A673" s="382"/>
      <c r="B673" s="379"/>
      <c r="C673" s="379"/>
      <c r="D673" s="379"/>
      <c r="E673" s="379"/>
      <c r="F673" s="379"/>
      <c r="G673" s="375"/>
      <c r="H673" s="375"/>
      <c r="I673" s="375"/>
      <c r="J673" s="375"/>
      <c r="K673" s="375"/>
      <c r="L673" s="375"/>
      <c r="M673" s="375"/>
      <c r="N673" s="375"/>
      <c r="O673" s="375"/>
      <c r="P673" s="375"/>
      <c r="Q673" s="375"/>
      <c r="R673" s="375"/>
      <c r="S673" s="375"/>
      <c r="T673" s="375"/>
      <c r="U673" s="6"/>
      <c r="V673" s="6"/>
      <c r="W673" s="10"/>
      <c r="X673" s="14">
        <f>X609+1</f>
        <v>13</v>
      </c>
      <c r="Y673" s="379"/>
      <c r="Z673" s="379"/>
      <c r="AA673" s="379"/>
      <c r="AB673" s="4"/>
    </row>
    <row r="674" spans="1:28" x14ac:dyDescent="0.2">
      <c r="A674" s="380" t="s">
        <v>3</v>
      </c>
      <c r="B674" s="381"/>
      <c r="C674" s="381"/>
      <c r="D674" s="381"/>
      <c r="E674" s="381"/>
      <c r="F674" s="381"/>
      <c r="G674" s="383" t="s">
        <v>5</v>
      </c>
      <c r="H674" s="383"/>
      <c r="I674" s="383"/>
      <c r="J674" s="383"/>
      <c r="K674" s="383"/>
      <c r="L674" s="383"/>
      <c r="M674" s="383"/>
      <c r="N674" s="383"/>
      <c r="O674" s="383"/>
      <c r="P674" s="383"/>
      <c r="Q674" s="383"/>
      <c r="R674" s="383"/>
      <c r="S674" s="383"/>
      <c r="T674" s="383"/>
      <c r="U674" s="5"/>
      <c r="V674" s="5"/>
      <c r="W674" s="2"/>
      <c r="X674" s="384" t="s">
        <v>4</v>
      </c>
      <c r="Y674" s="384"/>
      <c r="Z674" s="384"/>
      <c r="AA674" s="384"/>
      <c r="AB674" s="385"/>
    </row>
    <row r="675" spans="1:28" x14ac:dyDescent="0.2">
      <c r="A675" s="382"/>
      <c r="B675" s="379"/>
      <c r="C675" s="379"/>
      <c r="D675" s="379"/>
      <c r="E675" s="379"/>
      <c r="F675" s="379"/>
      <c r="G675" s="388" t="s">
        <v>203</v>
      </c>
      <c r="H675" s="388"/>
      <c r="I675" s="388"/>
      <c r="J675" s="388"/>
      <c r="K675" s="388"/>
      <c r="L675" s="388"/>
      <c r="M675" s="388"/>
      <c r="N675" s="388"/>
      <c r="O675" s="388"/>
      <c r="P675" s="388"/>
      <c r="Q675" s="388"/>
      <c r="R675" s="388"/>
      <c r="S675" s="388"/>
      <c r="T675" s="388"/>
      <c r="U675" s="7"/>
      <c r="V675" s="7"/>
      <c r="W675" s="3"/>
      <c r="X675" s="386"/>
      <c r="Y675" s="386"/>
      <c r="Z675" s="386"/>
      <c r="AA675" s="386"/>
      <c r="AB675" s="387"/>
    </row>
    <row r="677" spans="1:28" x14ac:dyDescent="0.2">
      <c r="B677" s="492" t="s">
        <v>160</v>
      </c>
      <c r="C677" s="492"/>
      <c r="D677" s="492"/>
      <c r="E677" s="492"/>
      <c r="F677" s="492"/>
      <c r="G677" s="492"/>
      <c r="H677" s="492"/>
    </row>
    <row r="678" spans="1:28" x14ac:dyDescent="0.2">
      <c r="B678" s="492"/>
      <c r="C678" s="492"/>
      <c r="D678" s="492"/>
      <c r="E678" s="492"/>
      <c r="F678" s="492"/>
      <c r="G678" s="492"/>
      <c r="H678" s="492"/>
    </row>
    <row r="680" spans="1:28" x14ac:dyDescent="0.2">
      <c r="B680" s="436" t="s">
        <v>161</v>
      </c>
      <c r="C680" s="436"/>
      <c r="D680" s="436"/>
      <c r="E680" s="436"/>
      <c r="F680" s="436"/>
      <c r="G680" s="436"/>
      <c r="H680" s="436"/>
    </row>
    <row r="681" spans="1:28" x14ac:dyDescent="0.2">
      <c r="B681" s="436"/>
      <c r="C681" s="436"/>
      <c r="D681" s="436"/>
      <c r="E681" s="436"/>
      <c r="F681" s="436"/>
      <c r="G681" s="436"/>
      <c r="H681" s="436"/>
    </row>
    <row r="682" spans="1:28" x14ac:dyDescent="0.2">
      <c r="L682" t="s">
        <v>165</v>
      </c>
    </row>
    <row r="683" spans="1:28" x14ac:dyDescent="0.2">
      <c r="C683" s="521" t="s">
        <v>164</v>
      </c>
      <c r="D683" s="521"/>
      <c r="E683" s="521"/>
      <c r="F683" s="521"/>
      <c r="U683" s="40"/>
      <c r="V683" s="518" t="s">
        <v>170</v>
      </c>
    </row>
    <row r="684" spans="1:28" x14ac:dyDescent="0.2">
      <c r="D684" s="39"/>
      <c r="E684" s="40"/>
      <c r="U684" s="40"/>
      <c r="V684" s="518"/>
    </row>
    <row r="685" spans="1:28" x14ac:dyDescent="0.2">
      <c r="C685" t="s">
        <v>79</v>
      </c>
      <c r="D685" s="39"/>
      <c r="E685" s="40"/>
      <c r="I685" s="504" t="s">
        <v>169</v>
      </c>
      <c r="J685" s="39"/>
      <c r="U685" s="40"/>
      <c r="V685" s="518"/>
    </row>
    <row r="686" spans="1:28" x14ac:dyDescent="0.2">
      <c r="D686" s="37"/>
      <c r="E686" s="38"/>
      <c r="I686" s="504"/>
      <c r="J686" s="39"/>
    </row>
    <row r="687" spans="1:28" x14ac:dyDescent="0.2">
      <c r="D687" s="467" t="s">
        <v>14</v>
      </c>
      <c r="E687" s="467"/>
    </row>
    <row r="688" spans="1:28" ht="6" customHeight="1" x14ac:dyDescent="0.2"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2:34" x14ac:dyDescent="0.2">
      <c r="O689" t="s">
        <v>166</v>
      </c>
    </row>
    <row r="690" spans="2:34" ht="6" customHeight="1" x14ac:dyDescent="0.2"/>
    <row r="691" spans="2:34" x14ac:dyDescent="0.2">
      <c r="C691" t="s">
        <v>14</v>
      </c>
      <c r="D691" t="s">
        <v>162</v>
      </c>
      <c r="J691" t="s">
        <v>167</v>
      </c>
      <c r="M691" t="s">
        <v>168</v>
      </c>
    </row>
    <row r="692" spans="2:34" ht="12.75" customHeight="1" x14ac:dyDescent="0.2">
      <c r="C692" t="s">
        <v>79</v>
      </c>
      <c r="D692" t="s">
        <v>163</v>
      </c>
      <c r="J692" s="17" t="s">
        <v>171</v>
      </c>
      <c r="M692" t="s">
        <v>172</v>
      </c>
    </row>
    <row r="693" spans="2:34" ht="6" customHeight="1" x14ac:dyDescent="0.2">
      <c r="J693" s="17"/>
    </row>
    <row r="694" spans="2:34" ht="18.75" x14ac:dyDescent="0.2">
      <c r="C694" s="95" t="s">
        <v>175</v>
      </c>
    </row>
    <row r="695" spans="2:34" ht="6" customHeight="1" x14ac:dyDescent="0.2">
      <c r="C695" s="95"/>
    </row>
    <row r="696" spans="2:34" ht="12.75" customHeight="1" x14ac:dyDescent="0.2">
      <c r="B696" s="107" t="str">
        <f>B680&amp;" - Volumen"</f>
        <v>Rektangulær grøft - Volumen</v>
      </c>
      <c r="C696" s="84"/>
      <c r="D696" s="94"/>
      <c r="E696" s="94"/>
      <c r="F696" s="94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 t="s">
        <v>54</v>
      </c>
      <c r="W696" s="85"/>
      <c r="X696" s="85"/>
      <c r="Y696" s="85"/>
      <c r="Z696" s="85"/>
      <c r="AA696" s="106">
        <v>4</v>
      </c>
      <c r="AD696" s="294" t="s">
        <v>690</v>
      </c>
      <c r="AE696" s="294"/>
      <c r="AF696" s="294"/>
      <c r="AG696" s="294"/>
      <c r="AH696" s="294"/>
    </row>
    <row r="697" spans="2:34" x14ac:dyDescent="0.2">
      <c r="B697" s="34"/>
      <c r="C697" s="59" t="s">
        <v>14</v>
      </c>
      <c r="D697" s="473">
        <v>0.6</v>
      </c>
      <c r="E697" s="473"/>
      <c r="F697" s="473"/>
      <c r="G697" s="35"/>
      <c r="H697" s="35"/>
      <c r="I697" s="35"/>
      <c r="J697" s="66"/>
      <c r="K697" s="78"/>
      <c r="L697" s="78"/>
      <c r="M697" s="78"/>
      <c r="N697" s="78"/>
      <c r="O697" s="66"/>
      <c r="P697" s="66"/>
      <c r="Q697" s="66"/>
      <c r="R697" s="66"/>
      <c r="S697" s="35"/>
      <c r="T697" s="35"/>
      <c r="U697" s="35"/>
      <c r="V697" s="35"/>
      <c r="W697" s="35"/>
      <c r="X697" s="35"/>
      <c r="Y697" s="35"/>
      <c r="AA697" s="36"/>
    </row>
    <row r="698" spans="2:34" ht="14.25" x14ac:dyDescent="0.2">
      <c r="B698" s="39"/>
      <c r="C698" s="96" t="s">
        <v>173</v>
      </c>
      <c r="D698" s="447">
        <v>2.2999999999999998</v>
      </c>
      <c r="E698" s="447"/>
      <c r="F698" s="447"/>
      <c r="G698" s="476" t="str">
        <f>" V = ½("&amp;D698&amp;" + "&amp;D699&amp;") "&amp;D700&amp;"∙"&amp;D697&amp;" = "&amp;ROUND(0.5*(D698+D699)*D700*D697,AA696)</f>
        <v xml:space="preserve"> V = ½(2,3 + 3,5) 159∙0,6 = 276,66</v>
      </c>
      <c r="H698" s="476"/>
      <c r="I698" s="476"/>
      <c r="J698" s="476"/>
      <c r="K698" s="476"/>
      <c r="L698" s="476"/>
      <c r="M698" s="476"/>
      <c r="N698" s="476"/>
      <c r="O698" s="476"/>
      <c r="P698" s="476"/>
      <c r="Q698" s="476"/>
      <c r="R698" s="476"/>
      <c r="S698" s="476"/>
      <c r="T698" s="476"/>
      <c r="U698" s="476"/>
      <c r="V698" s="476"/>
      <c r="W698" s="476"/>
      <c r="X698" s="476"/>
      <c r="Y698" s="476"/>
      <c r="Z698" s="476"/>
      <c r="AA698" s="517"/>
    </row>
    <row r="699" spans="2:34" ht="14.25" x14ac:dyDescent="0.2">
      <c r="B699" s="39"/>
      <c r="C699" s="96" t="s">
        <v>174</v>
      </c>
      <c r="D699" s="447">
        <v>3.5</v>
      </c>
      <c r="E699" s="447"/>
      <c r="F699" s="447"/>
      <c r="G699" s="476"/>
      <c r="H699" s="476"/>
      <c r="I699" s="476"/>
      <c r="J699" s="476"/>
      <c r="K699" s="476"/>
      <c r="L699" s="476"/>
      <c r="M699" s="476"/>
      <c r="N699" s="476"/>
      <c r="O699" s="476"/>
      <c r="P699" s="476"/>
      <c r="Q699" s="476"/>
      <c r="R699" s="476"/>
      <c r="S699" s="476"/>
      <c r="T699" s="476"/>
      <c r="U699" s="476"/>
      <c r="V699" s="476"/>
      <c r="W699" s="476"/>
      <c r="X699" s="476"/>
      <c r="Y699" s="476"/>
      <c r="Z699" s="476"/>
      <c r="AA699" s="517"/>
    </row>
    <row r="700" spans="2:34" x14ac:dyDescent="0.2">
      <c r="B700" s="37"/>
      <c r="C700" s="60" t="s">
        <v>166</v>
      </c>
      <c r="D700" s="520">
        <v>159</v>
      </c>
      <c r="E700" s="520"/>
      <c r="F700" s="520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8"/>
    </row>
    <row r="702" spans="2:34" x14ac:dyDescent="0.2">
      <c r="B702" s="436" t="s">
        <v>176</v>
      </c>
      <c r="C702" s="436"/>
      <c r="D702" s="436"/>
      <c r="E702" s="436"/>
      <c r="F702" s="436"/>
      <c r="G702" s="436"/>
      <c r="H702" s="436"/>
    </row>
    <row r="703" spans="2:34" x14ac:dyDescent="0.2">
      <c r="B703" s="436"/>
      <c r="C703" s="436"/>
      <c r="D703" s="436"/>
      <c r="E703" s="436"/>
      <c r="F703" s="436"/>
      <c r="G703" s="436"/>
      <c r="H703" s="436"/>
    </row>
    <row r="705" spans="2:21" x14ac:dyDescent="0.2">
      <c r="T705" t="s">
        <v>14</v>
      </c>
      <c r="U705" t="s">
        <v>177</v>
      </c>
    </row>
    <row r="706" spans="2:21" x14ac:dyDescent="0.2">
      <c r="T706" t="s">
        <v>11</v>
      </c>
      <c r="U706" t="s">
        <v>178</v>
      </c>
    </row>
    <row r="707" spans="2:21" x14ac:dyDescent="0.2">
      <c r="T707" t="s">
        <v>15</v>
      </c>
      <c r="U707" t="s">
        <v>179</v>
      </c>
    </row>
    <row r="708" spans="2:21" x14ac:dyDescent="0.2">
      <c r="T708" t="s">
        <v>79</v>
      </c>
      <c r="U708" t="s">
        <v>180</v>
      </c>
    </row>
    <row r="717" spans="2:21" ht="15.75" x14ac:dyDescent="0.25">
      <c r="B717" s="97" t="s">
        <v>181</v>
      </c>
      <c r="C717" s="97"/>
      <c r="D717" s="97"/>
      <c r="E717" s="97"/>
      <c r="G717" s="97"/>
      <c r="H717" s="97" t="s">
        <v>182</v>
      </c>
      <c r="I717" s="97"/>
      <c r="J717" s="97"/>
      <c r="K717" s="2"/>
      <c r="L717" s="2"/>
      <c r="M717" s="2"/>
      <c r="N717" s="2"/>
    </row>
    <row r="718" spans="2:21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2:21" ht="15.75" x14ac:dyDescent="0.25">
      <c r="B719" s="97" t="s">
        <v>183</v>
      </c>
      <c r="C719" s="2"/>
      <c r="D719" s="2"/>
      <c r="E719" s="2"/>
      <c r="F719" s="2"/>
      <c r="G719" s="2"/>
      <c r="H719" s="2"/>
      <c r="I719" s="97" t="s">
        <v>184</v>
      </c>
      <c r="J719" s="2"/>
      <c r="K719" s="2"/>
      <c r="L719" s="2"/>
      <c r="M719" s="2"/>
      <c r="N719" s="2"/>
    </row>
    <row r="720" spans="2:21" ht="15.75" x14ac:dyDescent="0.25">
      <c r="B720" s="97"/>
      <c r="C720" s="2"/>
      <c r="D720" s="2"/>
      <c r="E720" s="2"/>
      <c r="F720" s="2"/>
      <c r="G720" s="2"/>
      <c r="H720" s="2"/>
      <c r="I720" s="97"/>
      <c r="J720" s="2"/>
      <c r="K720" s="2"/>
      <c r="L720" s="2"/>
      <c r="M720" s="2"/>
      <c r="N720" s="2"/>
    </row>
    <row r="721" spans="1:34" x14ac:dyDescent="0.2">
      <c r="B721" s="107" t="str">
        <f>B702&amp;" - Overbredde og tværsnitsareal"</f>
        <v>Grøft med anlæg - Overbredde og tværsnitsareal</v>
      </c>
      <c r="C721" s="84"/>
      <c r="D721" s="94"/>
      <c r="E721" s="94"/>
      <c r="F721" s="94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 t="s">
        <v>54</v>
      </c>
      <c r="W721" s="85"/>
      <c r="X721" s="85"/>
      <c r="Y721" s="85"/>
      <c r="Z721" s="85"/>
      <c r="AA721" s="105">
        <v>3</v>
      </c>
      <c r="AD721" s="294" t="s">
        <v>690</v>
      </c>
      <c r="AE721" s="294"/>
      <c r="AF721" s="294"/>
      <c r="AG721" s="294"/>
      <c r="AH721" s="294"/>
    </row>
    <row r="722" spans="1:34" x14ac:dyDescent="0.2">
      <c r="B722" s="34"/>
      <c r="C722" s="59" t="s">
        <v>14</v>
      </c>
      <c r="D722" s="473">
        <v>0.8</v>
      </c>
      <c r="E722" s="473"/>
      <c r="F722" s="473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6"/>
    </row>
    <row r="723" spans="1:34" x14ac:dyDescent="0.2">
      <c r="B723" s="39"/>
      <c r="C723" s="96" t="s">
        <v>79</v>
      </c>
      <c r="D723" s="447">
        <v>2.2999999999999998</v>
      </c>
      <c r="E723" s="447"/>
      <c r="F723" s="447"/>
      <c r="G723" s="2"/>
      <c r="H723" s="2"/>
      <c r="I723" s="2" t="str">
        <f>"B  = "&amp;D722&amp;" + 2∙"&amp;D723&amp;"∙"&amp;D724&amp;" = "&amp;ROUND(D722+2*D723*D724,AA721)</f>
        <v>B  = 0,8 + 2∙2,3∙0,5 = 3,1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40"/>
    </row>
    <row r="724" spans="1:34" x14ac:dyDescent="0.2">
      <c r="B724" s="37"/>
      <c r="C724" s="60" t="s">
        <v>15</v>
      </c>
      <c r="D724" s="520">
        <v>0.5</v>
      </c>
      <c r="E724" s="520"/>
      <c r="F724" s="520"/>
      <c r="G724" s="3"/>
      <c r="H724" s="3"/>
      <c r="I724" s="3" t="str">
        <f>"A  = "&amp;D723&amp;"∙"&amp;D722&amp;" + "&amp;D723&amp;"²∙"&amp;D724&amp;" = "&amp;ROUND(D723*D722+D723^2*D724,AA721)</f>
        <v>A  = 2,3∙0,8 + 2,3²∙0,5 = 4,485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8"/>
    </row>
    <row r="732" spans="1:34" x14ac:dyDescent="0.2">
      <c r="A732" s="423" t="s">
        <v>0</v>
      </c>
      <c r="B732" s="378"/>
      <c r="C732" s="378"/>
      <c r="D732" s="378"/>
      <c r="E732" s="378"/>
      <c r="F732" s="378"/>
      <c r="G732" s="374" t="s">
        <v>1</v>
      </c>
      <c r="H732" s="374"/>
      <c r="I732" s="374"/>
      <c r="J732" s="374"/>
      <c r="K732" s="374"/>
      <c r="L732" s="374"/>
      <c r="M732" s="374"/>
      <c r="N732" s="374"/>
      <c r="O732" s="374"/>
      <c r="P732" s="374"/>
      <c r="Q732" s="374"/>
      <c r="R732" s="374"/>
      <c r="S732" s="374"/>
      <c r="T732" s="374"/>
      <c r="U732" s="8"/>
      <c r="V732" s="8"/>
      <c r="W732" s="9"/>
      <c r="X732" s="9"/>
      <c r="Y732" s="378" t="s">
        <v>2</v>
      </c>
      <c r="Z732" s="378"/>
      <c r="AA732" s="378"/>
      <c r="AB732" s="1"/>
    </row>
    <row r="733" spans="1:34" x14ac:dyDescent="0.2">
      <c r="A733" s="382"/>
      <c r="B733" s="379"/>
      <c r="C733" s="379"/>
      <c r="D733" s="379"/>
      <c r="E733" s="379"/>
      <c r="F733" s="379"/>
      <c r="G733" s="375"/>
      <c r="H733" s="375"/>
      <c r="I733" s="375"/>
      <c r="J733" s="375"/>
      <c r="K733" s="375"/>
      <c r="L733" s="375"/>
      <c r="M733" s="375"/>
      <c r="N733" s="375"/>
      <c r="O733" s="375"/>
      <c r="P733" s="375"/>
      <c r="Q733" s="375"/>
      <c r="R733" s="375"/>
      <c r="S733" s="375"/>
      <c r="T733" s="375"/>
      <c r="U733" s="6"/>
      <c r="V733" s="6"/>
      <c r="W733" s="10"/>
      <c r="X733" s="14">
        <f>X673+1</f>
        <v>14</v>
      </c>
      <c r="Y733" s="379"/>
      <c r="Z733" s="379"/>
      <c r="AA733" s="379"/>
      <c r="AB733" s="4"/>
    </row>
    <row r="734" spans="1:34" x14ac:dyDescent="0.2">
      <c r="A734" s="380" t="s">
        <v>3</v>
      </c>
      <c r="B734" s="381"/>
      <c r="C734" s="381"/>
      <c r="D734" s="381"/>
      <c r="E734" s="381"/>
      <c r="F734" s="381"/>
      <c r="G734" s="383" t="s">
        <v>5</v>
      </c>
      <c r="H734" s="383"/>
      <c r="I734" s="383"/>
      <c r="J734" s="383"/>
      <c r="K734" s="383"/>
      <c r="L734" s="383"/>
      <c r="M734" s="383"/>
      <c r="N734" s="383"/>
      <c r="O734" s="383"/>
      <c r="P734" s="383"/>
      <c r="Q734" s="383"/>
      <c r="R734" s="383"/>
      <c r="S734" s="383"/>
      <c r="T734" s="383"/>
      <c r="U734" s="5"/>
      <c r="V734" s="5"/>
      <c r="W734" s="2"/>
      <c r="X734" s="384" t="s">
        <v>4</v>
      </c>
      <c r="Y734" s="384"/>
      <c r="Z734" s="384"/>
      <c r="AA734" s="384"/>
      <c r="AB734" s="385"/>
    </row>
    <row r="735" spans="1:34" x14ac:dyDescent="0.2">
      <c r="A735" s="382"/>
      <c r="B735" s="379"/>
      <c r="C735" s="379"/>
      <c r="D735" s="379"/>
      <c r="E735" s="379"/>
      <c r="F735" s="379"/>
      <c r="G735" s="388" t="s">
        <v>203</v>
      </c>
      <c r="H735" s="388"/>
      <c r="I735" s="388"/>
      <c r="J735" s="388"/>
      <c r="K735" s="388"/>
      <c r="L735" s="388"/>
      <c r="M735" s="388"/>
      <c r="N735" s="388"/>
      <c r="O735" s="388"/>
      <c r="P735" s="388"/>
      <c r="Q735" s="388"/>
      <c r="R735" s="388"/>
      <c r="S735" s="388"/>
      <c r="T735" s="388"/>
      <c r="U735" s="7"/>
      <c r="V735" s="7"/>
      <c r="W735" s="3"/>
      <c r="X735" s="386"/>
      <c r="Y735" s="386"/>
      <c r="Z735" s="386"/>
      <c r="AA735" s="386"/>
      <c r="AB735" s="387"/>
    </row>
    <row r="736" spans="1:34" x14ac:dyDescent="0.2">
      <c r="B736" s="398" t="s">
        <v>198</v>
      </c>
      <c r="C736" s="398"/>
      <c r="D736" s="398"/>
      <c r="E736" s="398"/>
      <c r="F736" s="398"/>
      <c r="G736" s="398"/>
      <c r="H736" s="398"/>
      <c r="I736" s="398"/>
      <c r="J736" s="398"/>
      <c r="K736" s="398"/>
      <c r="L736" s="398"/>
      <c r="M736" s="398"/>
      <c r="N736" s="398"/>
    </row>
    <row r="737" spans="2:34" x14ac:dyDescent="0.2">
      <c r="B737" s="436"/>
      <c r="C737" s="436"/>
      <c r="D737" s="436"/>
      <c r="E737" s="436"/>
      <c r="F737" s="436"/>
      <c r="G737" s="436"/>
      <c r="H737" s="436"/>
      <c r="I737" s="436"/>
      <c r="J737" s="436"/>
      <c r="K737" s="436"/>
      <c r="L737" s="436"/>
      <c r="M737" s="436"/>
      <c r="N737" s="436"/>
      <c r="AD737" s="294" t="s">
        <v>690</v>
      </c>
      <c r="AE737" s="294"/>
      <c r="AF737" s="294"/>
      <c r="AG737" s="294"/>
      <c r="AH737" s="294"/>
    </row>
    <row r="739" spans="2:34" x14ac:dyDescent="0.2">
      <c r="L739" t="s">
        <v>165</v>
      </c>
    </row>
    <row r="740" spans="2:34" x14ac:dyDescent="0.2">
      <c r="C740" s="521" t="s">
        <v>164</v>
      </c>
      <c r="D740" s="521"/>
      <c r="E740" s="521"/>
      <c r="F740" s="521"/>
      <c r="U740" s="40"/>
      <c r="V740" s="518" t="s">
        <v>170</v>
      </c>
    </row>
    <row r="741" spans="2:34" x14ac:dyDescent="0.2">
      <c r="C741" s="503"/>
      <c r="D741" s="2"/>
      <c r="E741" s="2"/>
      <c r="F741" s="519" t="s">
        <v>15</v>
      </c>
      <c r="P741" s="511" t="s">
        <v>190</v>
      </c>
      <c r="U741" s="40"/>
      <c r="V741" s="518"/>
    </row>
    <row r="742" spans="2:34" x14ac:dyDescent="0.2">
      <c r="B742" t="s">
        <v>79</v>
      </c>
      <c r="C742" s="503"/>
      <c r="D742" s="2"/>
      <c r="E742" s="98"/>
      <c r="F742" s="519"/>
      <c r="I742" s="504" t="s">
        <v>169</v>
      </c>
      <c r="J742" s="39"/>
      <c r="P742" s="511"/>
      <c r="U742" s="40"/>
      <c r="V742" s="518"/>
    </row>
    <row r="743" spans="2:34" x14ac:dyDescent="0.2">
      <c r="C743" s="503"/>
      <c r="D743" s="3"/>
      <c r="E743" s="3"/>
      <c r="F743" s="519"/>
      <c r="I743" s="504"/>
      <c r="J743" s="39"/>
    </row>
    <row r="744" spans="2:34" x14ac:dyDescent="0.2">
      <c r="D744" s="467" t="s">
        <v>14</v>
      </c>
      <c r="E744" s="467"/>
    </row>
    <row r="745" spans="2:34" x14ac:dyDescent="0.2"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2:34" x14ac:dyDescent="0.2">
      <c r="O746" t="s">
        <v>166</v>
      </c>
    </row>
    <row r="747" spans="2:34" x14ac:dyDescent="0.2">
      <c r="C747" s="479" t="s">
        <v>105</v>
      </c>
      <c r="D747" s="479"/>
      <c r="E747" s="32" t="s">
        <v>166</v>
      </c>
      <c r="F747" s="476" t="s">
        <v>191</v>
      </c>
      <c r="G747" s="476"/>
      <c r="H747" s="476"/>
      <c r="I747" s="476"/>
      <c r="J747" s="476"/>
      <c r="L747" s="476" t="str">
        <f>"Formel for ikke retvinklet prismatoide anvendes, se s."&amp;X489</f>
        <v>Formel for ikke retvinklet prismatoide anvendes, se s.10</v>
      </c>
      <c r="M747" s="476"/>
      <c r="N747" s="476"/>
      <c r="O747" s="476"/>
      <c r="P747" s="476"/>
      <c r="Q747" s="476"/>
      <c r="R747" s="476"/>
      <c r="S747" s="476"/>
      <c r="T747" s="476"/>
      <c r="U747" s="476"/>
      <c r="V747" s="476"/>
      <c r="W747" s="476"/>
      <c r="X747" s="476"/>
      <c r="Y747" s="476"/>
      <c r="Z747" s="476"/>
    </row>
    <row r="748" spans="2:34" x14ac:dyDescent="0.2">
      <c r="C748" s="479"/>
      <c r="D748" s="479"/>
      <c r="E748" s="11">
        <v>6</v>
      </c>
      <c r="F748" s="476"/>
      <c r="G748" s="476"/>
      <c r="H748" s="476"/>
      <c r="I748" s="476"/>
      <c r="J748" s="476"/>
      <c r="L748" s="476"/>
      <c r="M748" s="476"/>
      <c r="N748" s="476"/>
      <c r="O748" s="476"/>
      <c r="P748" s="476"/>
      <c r="Q748" s="476"/>
      <c r="R748" s="476"/>
      <c r="S748" s="476"/>
      <c r="T748" s="476"/>
      <c r="U748" s="476"/>
      <c r="V748" s="476"/>
      <c r="W748" s="476"/>
      <c r="X748" s="476"/>
      <c r="Y748" s="476"/>
      <c r="Z748" s="476"/>
    </row>
    <row r="750" spans="2:34" x14ac:dyDescent="0.2">
      <c r="B750" s="107" t="str">
        <f>B736</f>
        <v>Volumen af grøft med anlæg</v>
      </c>
      <c r="C750" s="84"/>
      <c r="D750" s="94"/>
      <c r="E750" s="94"/>
      <c r="F750" s="94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 t="s">
        <v>54</v>
      </c>
      <c r="W750" s="85"/>
      <c r="X750" s="85"/>
      <c r="Y750" s="85"/>
      <c r="Z750" s="85"/>
      <c r="AA750" s="105">
        <v>2</v>
      </c>
    </row>
    <row r="751" spans="2:34" x14ac:dyDescent="0.2">
      <c r="B751" s="34"/>
      <c r="C751" s="59" t="s">
        <v>14</v>
      </c>
      <c r="D751" s="473">
        <v>0.85</v>
      </c>
      <c r="E751" s="473"/>
      <c r="F751" s="473"/>
      <c r="G751" s="35"/>
      <c r="H751" s="35" t="s">
        <v>185</v>
      </c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6"/>
    </row>
    <row r="752" spans="2:34" ht="14.25" x14ac:dyDescent="0.2">
      <c r="B752" s="39"/>
      <c r="C752" s="96" t="s">
        <v>173</v>
      </c>
      <c r="D752" s="447">
        <v>6.25</v>
      </c>
      <c r="E752" s="447"/>
      <c r="F752" s="447"/>
      <c r="G752" s="2"/>
      <c r="H752" s="2" t="s">
        <v>186</v>
      </c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40"/>
    </row>
    <row r="753" spans="2:28" ht="14.25" x14ac:dyDescent="0.2">
      <c r="B753" s="39"/>
      <c r="C753" s="96" t="s">
        <v>174</v>
      </c>
      <c r="D753" s="447">
        <v>3.45</v>
      </c>
      <c r="E753" s="447"/>
      <c r="F753" s="447"/>
      <c r="G753" s="2"/>
      <c r="H753" s="2" t="s">
        <v>187</v>
      </c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40"/>
    </row>
    <row r="754" spans="2:28" x14ac:dyDescent="0.2">
      <c r="B754" s="39"/>
      <c r="C754" s="61" t="s">
        <v>15</v>
      </c>
      <c r="D754" s="447">
        <v>2</v>
      </c>
      <c r="E754" s="447"/>
      <c r="F754" s="447"/>
      <c r="G754" s="2"/>
      <c r="H754" s="99" t="s">
        <v>188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40"/>
    </row>
    <row r="755" spans="2:28" x14ac:dyDescent="0.2">
      <c r="B755" s="39"/>
      <c r="C755" s="61" t="s">
        <v>166</v>
      </c>
      <c r="D755" s="447">
        <v>70</v>
      </c>
      <c r="E755" s="447"/>
      <c r="F755" s="447"/>
      <c r="G755" s="2"/>
      <c r="H755" s="2" t="s">
        <v>189</v>
      </c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40"/>
    </row>
    <row r="756" spans="2:28" ht="6" customHeight="1" x14ac:dyDescent="0.2">
      <c r="B756" s="39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40"/>
    </row>
    <row r="757" spans="2:28" ht="15.75" customHeight="1" x14ac:dyDescent="0.3">
      <c r="B757" s="39"/>
      <c r="C757" s="2" t="s">
        <v>194</v>
      </c>
      <c r="D757" s="2"/>
      <c r="E757" s="2"/>
      <c r="F757" s="2"/>
      <c r="G757" s="2"/>
      <c r="H757" s="2" t="str">
        <f>"½("&amp;D752&amp;" + "&amp;D753&amp;") = "&amp;0.5*(D752+D753)</f>
        <v>½(6,25 + 3,45) = 4,85</v>
      </c>
      <c r="I757" s="2"/>
      <c r="J757" s="2"/>
      <c r="K757" s="2"/>
      <c r="L757" s="2"/>
      <c r="M757" s="2"/>
      <c r="N757" s="2" t="s">
        <v>196</v>
      </c>
      <c r="O757" s="2"/>
      <c r="P757" s="2"/>
      <c r="Q757" s="2"/>
      <c r="R757" s="2"/>
      <c r="S757" s="2"/>
      <c r="T757" s="513">
        <f>0.5*(D752+D753)</f>
        <v>4.8499999999999996</v>
      </c>
      <c r="U757" s="513"/>
      <c r="V757" s="513"/>
      <c r="W757" s="513"/>
      <c r="X757" s="2"/>
      <c r="Y757" s="2"/>
      <c r="Z757" s="2"/>
      <c r="AA757" s="40"/>
    </row>
    <row r="758" spans="2:28" x14ac:dyDescent="0.2">
      <c r="B758" s="39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40"/>
    </row>
    <row r="759" spans="2:28" x14ac:dyDescent="0.2">
      <c r="B759" s="39"/>
      <c r="C759" s="61" t="s">
        <v>197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40"/>
    </row>
    <row r="760" spans="2:28" ht="15.75" x14ac:dyDescent="0.3">
      <c r="B760" s="39"/>
      <c r="C760" s="2" t="s">
        <v>192</v>
      </c>
      <c r="D760" s="2"/>
      <c r="E760" s="2"/>
      <c r="F760" s="2"/>
      <c r="G760" s="2"/>
      <c r="H760" s="2" t="str">
        <f>D752&amp;"∙"&amp;D751&amp;" + "&amp;D752&amp;"²∙"&amp;D754&amp;" = "&amp;ROUND(D752*D751+D752^2*D754,AA750)</f>
        <v>6,25∙0,85 + 6,25²∙2 = 83,44</v>
      </c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512">
        <f>D752*D751+D752^2*D754</f>
        <v>83.4375</v>
      </c>
      <c r="U760" s="512"/>
      <c r="V760" s="512"/>
      <c r="W760" s="512"/>
      <c r="X760" s="2"/>
      <c r="Y760" s="2"/>
      <c r="Z760" s="2"/>
      <c r="AA760" s="40"/>
    </row>
    <row r="761" spans="2:28" ht="15.75" x14ac:dyDescent="0.3">
      <c r="B761" s="39"/>
      <c r="C761" s="2" t="s">
        <v>193</v>
      </c>
      <c r="D761" s="2"/>
      <c r="E761" s="2"/>
      <c r="F761" s="2"/>
      <c r="G761" s="2"/>
      <c r="H761" s="2" t="str">
        <f>D753&amp;"∙"&amp;D751&amp;" + "&amp;D753&amp;"²∙"&amp;D754&amp;" = "&amp;ROUND(D753*D751+D753^2*D754,AA750)</f>
        <v>3,45∙0,85 + 3,45²∙2 = 26,74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512">
        <f>D753*D751+D753^2*D754</f>
        <v>26.737500000000004</v>
      </c>
      <c r="U761" s="512"/>
      <c r="V761" s="512"/>
      <c r="W761" s="512"/>
      <c r="X761" s="2"/>
      <c r="Y761" s="2"/>
      <c r="Z761" s="2"/>
      <c r="AA761" s="40"/>
    </row>
    <row r="762" spans="2:28" ht="15.75" customHeight="1" x14ac:dyDescent="0.3">
      <c r="B762" s="39"/>
      <c r="C762" s="2" t="s">
        <v>195</v>
      </c>
      <c r="D762" s="2"/>
      <c r="E762" s="2"/>
      <c r="F762" s="2"/>
      <c r="G762" s="2"/>
      <c r="H762" s="2" t="str">
        <f>T757&amp;"∙"&amp;D751&amp;" + "&amp;T757&amp;"²∙"&amp;D754&amp;" = "&amp;ROUND(T757*D751+T757^2*D754,AA750)</f>
        <v>4,85∙0,85 + 4,85²∙2 = 51,17</v>
      </c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512">
        <f>T757*D751+T757^2*D754</f>
        <v>51.167499999999997</v>
      </c>
      <c r="U762" s="512"/>
      <c r="V762" s="512"/>
      <c r="W762" s="512"/>
      <c r="X762" s="2"/>
      <c r="Y762" s="2"/>
      <c r="Z762" s="2"/>
      <c r="AA762" s="40"/>
    </row>
    <row r="763" spans="2:28" x14ac:dyDescent="0.2">
      <c r="B763" s="39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100"/>
      <c r="U763" s="100"/>
      <c r="V763" s="100"/>
      <c r="W763" s="100"/>
      <c r="X763" s="2"/>
      <c r="Y763" s="2"/>
      <c r="Z763" s="2"/>
      <c r="AA763" s="40"/>
    </row>
    <row r="764" spans="2:28" x14ac:dyDescent="0.2">
      <c r="B764" s="39"/>
      <c r="C764" s="101" t="s">
        <v>95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40"/>
    </row>
    <row r="765" spans="2:28" x14ac:dyDescent="0.2">
      <c r="B765" s="39"/>
      <c r="C765" s="493" t="s">
        <v>105</v>
      </c>
      <c r="D765" s="493"/>
      <c r="E765" s="32" t="s">
        <v>166</v>
      </c>
      <c r="F765" s="417" t="s">
        <v>191</v>
      </c>
      <c r="G765" s="417"/>
      <c r="H765" s="417"/>
      <c r="I765" s="417"/>
      <c r="J765" s="417"/>
      <c r="K765" s="511" t="s">
        <v>42</v>
      </c>
      <c r="L765" s="480">
        <f>D755</f>
        <v>70</v>
      </c>
      <c r="M765" s="480"/>
      <c r="N765" s="417" t="str">
        <f>"("&amp;ROUND(T760,AA750)&amp;" + "&amp;ROUND(T761,AA750)&amp;" + 4∙"&amp;ROUND(T762,AA750)&amp;") = "&amp;ROUND(D755/6*(T760+T761+4*T762),AA750)</f>
        <v>(83,44 + 26,74 + 4∙51,17) = 3673,19</v>
      </c>
      <c r="O765" s="417"/>
      <c r="P765" s="417"/>
      <c r="Q765" s="417"/>
      <c r="R765" s="417"/>
      <c r="S765" s="417"/>
      <c r="T765" s="417"/>
      <c r="U765" s="417"/>
      <c r="V765" s="417"/>
      <c r="W765" s="417"/>
      <c r="X765" s="417"/>
      <c r="Y765" s="417"/>
      <c r="Z765" s="417"/>
      <c r="AA765" s="517"/>
      <c r="AB765" s="56"/>
    </row>
    <row r="766" spans="2:28" x14ac:dyDescent="0.2">
      <c r="B766" s="39"/>
      <c r="C766" s="493"/>
      <c r="D766" s="493"/>
      <c r="E766" s="63">
        <v>6</v>
      </c>
      <c r="F766" s="417"/>
      <c r="G766" s="417"/>
      <c r="H766" s="417"/>
      <c r="I766" s="417"/>
      <c r="J766" s="417"/>
      <c r="K766" s="511"/>
      <c r="L766" s="477">
        <v>6</v>
      </c>
      <c r="M766" s="477"/>
      <c r="N766" s="417"/>
      <c r="O766" s="417"/>
      <c r="P766" s="417"/>
      <c r="Q766" s="417"/>
      <c r="R766" s="417"/>
      <c r="S766" s="417"/>
      <c r="T766" s="417"/>
      <c r="U766" s="417"/>
      <c r="V766" s="417"/>
      <c r="W766" s="417"/>
      <c r="X766" s="417"/>
      <c r="Y766" s="417"/>
      <c r="Z766" s="417"/>
      <c r="AA766" s="517"/>
      <c r="AB766" s="56"/>
    </row>
    <row r="767" spans="2:28" x14ac:dyDescent="0.2">
      <c r="B767" s="3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8"/>
    </row>
    <row r="768" spans="2:2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x14ac:dyDescent="0.2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x14ac:dyDescent="0.2">
      <c r="B770" s="399" t="s">
        <v>256</v>
      </c>
      <c r="C770" s="399"/>
      <c r="D770" s="399"/>
      <c r="E770" s="399"/>
      <c r="F770" s="399"/>
      <c r="G770" s="399"/>
      <c r="H770" s="399"/>
      <c r="I770" s="399"/>
      <c r="J770" s="399"/>
      <c r="K770" s="399"/>
      <c r="L770" s="399"/>
      <c r="M770" s="399"/>
      <c r="N770" s="399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x14ac:dyDescent="0.2">
      <c r="B771" s="399"/>
      <c r="C771" s="399"/>
      <c r="D771" s="399"/>
      <c r="E771" s="399"/>
      <c r="F771" s="399"/>
      <c r="G771" s="399"/>
      <c r="H771" s="399"/>
      <c r="I771" s="399"/>
      <c r="J771" s="399"/>
      <c r="K771" s="399"/>
      <c r="L771" s="399"/>
      <c r="M771" s="399"/>
      <c r="N771" s="399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x14ac:dyDescent="0.2">
      <c r="I772" s="2"/>
      <c r="J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x14ac:dyDescent="0.2">
      <c r="C773" s="514" t="s">
        <v>257</v>
      </c>
      <c r="D773" s="515"/>
      <c r="E773" s="515"/>
      <c r="F773" s="515"/>
      <c r="G773" s="515"/>
      <c r="H773" s="516"/>
      <c r="I773" s="514" t="s">
        <v>259</v>
      </c>
      <c r="J773" s="515"/>
      <c r="K773" s="515"/>
      <c r="L773" s="515"/>
      <c r="M773" s="515"/>
      <c r="N773" s="516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x14ac:dyDescent="0.3">
      <c r="C774" s="505" t="s">
        <v>258</v>
      </c>
      <c r="D774" s="506"/>
      <c r="E774" s="506"/>
      <c r="F774" s="506"/>
      <c r="G774" s="506"/>
      <c r="H774" s="507"/>
      <c r="I774" s="505" t="s">
        <v>260</v>
      </c>
      <c r="J774" s="506"/>
      <c r="K774" s="506"/>
      <c r="L774" s="506"/>
      <c r="M774" s="506"/>
      <c r="N774" s="507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x14ac:dyDescent="0.3">
      <c r="C775" s="508" t="s">
        <v>252</v>
      </c>
      <c r="D775" s="509"/>
      <c r="E775" s="509"/>
      <c r="F775" s="509"/>
      <c r="G775" s="509"/>
      <c r="H775" s="510"/>
      <c r="I775" s="508" t="s">
        <v>262</v>
      </c>
      <c r="J775" s="509"/>
      <c r="K775" s="509"/>
      <c r="L775" s="509"/>
      <c r="M775" s="509"/>
      <c r="N775" s="510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x14ac:dyDescent="0.3">
      <c r="C776" s="486" t="s">
        <v>253</v>
      </c>
      <c r="D776" s="487"/>
      <c r="E776" s="487"/>
      <c r="F776" s="487"/>
      <c r="G776" s="487"/>
      <c r="H776" s="488"/>
      <c r="I776" s="486" t="s">
        <v>263</v>
      </c>
      <c r="J776" s="487"/>
      <c r="K776" s="487"/>
      <c r="L776" s="487"/>
      <c r="M776" s="487"/>
      <c r="N776" s="488"/>
      <c r="T776" s="2"/>
      <c r="U776" s="2"/>
      <c r="V776" s="2"/>
      <c r="W776" s="2"/>
      <c r="X776" s="2"/>
      <c r="Y776" s="2"/>
      <c r="Z776" s="2"/>
      <c r="AA776" s="2"/>
    </row>
    <row r="777" spans="2:27" ht="15.75" x14ac:dyDescent="0.3">
      <c r="B777" s="2"/>
      <c r="C777" s="486" t="s">
        <v>254</v>
      </c>
      <c r="D777" s="487"/>
      <c r="E777" s="487"/>
      <c r="F777" s="487"/>
      <c r="G777" s="487"/>
      <c r="H777" s="488"/>
      <c r="I777" s="486" t="s">
        <v>261</v>
      </c>
      <c r="J777" s="487"/>
      <c r="K777" s="487"/>
      <c r="L777" s="487"/>
      <c r="M777" s="487"/>
      <c r="N777" s="488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x14ac:dyDescent="0.3">
      <c r="B778" s="2"/>
      <c r="C778" s="489" t="s">
        <v>255</v>
      </c>
      <c r="D778" s="490"/>
      <c r="E778" s="490"/>
      <c r="F778" s="490"/>
      <c r="G778" s="490"/>
      <c r="H778" s="491"/>
      <c r="I778" s="489" t="s">
        <v>264</v>
      </c>
      <c r="J778" s="490"/>
      <c r="K778" s="490"/>
      <c r="L778" s="490"/>
      <c r="M778" s="490"/>
      <c r="N778" s="491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x14ac:dyDescent="0.2">
      <c r="B780" s="2"/>
      <c r="C780" s="2"/>
      <c r="D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x14ac:dyDescent="0.2">
      <c r="B781" s="2"/>
      <c r="C781" s="2"/>
      <c r="D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x14ac:dyDescent="0.2">
      <c r="B782" s="2"/>
      <c r="C782" s="2"/>
      <c r="D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x14ac:dyDescent="0.2">
      <c r="B783" s="2"/>
      <c r="C783" s="2"/>
      <c r="D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x14ac:dyDescent="0.2">
      <c r="B784" s="2"/>
      <c r="C784" s="2"/>
      <c r="D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34" x14ac:dyDescent="0.2">
      <c r="B785" s="2"/>
      <c r="C785" s="2"/>
      <c r="D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34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34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34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34" x14ac:dyDescent="0.2">
      <c r="A789" s="423" t="s">
        <v>0</v>
      </c>
      <c r="B789" s="378"/>
      <c r="C789" s="378"/>
      <c r="D789" s="378"/>
      <c r="E789" s="378"/>
      <c r="F789" s="378"/>
      <c r="G789" s="374" t="s">
        <v>1</v>
      </c>
      <c r="H789" s="374"/>
      <c r="I789" s="374"/>
      <c r="J789" s="374"/>
      <c r="K789" s="374"/>
      <c r="L789" s="374"/>
      <c r="M789" s="374"/>
      <c r="N789" s="374"/>
      <c r="O789" s="374"/>
      <c r="P789" s="374"/>
      <c r="Q789" s="374"/>
      <c r="R789" s="374"/>
      <c r="S789" s="374"/>
      <c r="T789" s="374"/>
      <c r="U789" s="8"/>
      <c r="V789" s="8"/>
      <c r="W789" s="9"/>
      <c r="X789" s="9"/>
      <c r="Y789" s="378" t="s">
        <v>2</v>
      </c>
      <c r="Z789" s="378"/>
      <c r="AA789" s="378"/>
      <c r="AB789" s="1"/>
    </row>
    <row r="790" spans="1:34" x14ac:dyDescent="0.2">
      <c r="A790" s="382"/>
      <c r="B790" s="379"/>
      <c r="C790" s="379"/>
      <c r="D790" s="379"/>
      <c r="E790" s="379"/>
      <c r="F790" s="379"/>
      <c r="G790" s="375"/>
      <c r="H790" s="375"/>
      <c r="I790" s="375"/>
      <c r="J790" s="375"/>
      <c r="K790" s="375"/>
      <c r="L790" s="375"/>
      <c r="M790" s="375"/>
      <c r="N790" s="375"/>
      <c r="O790" s="375"/>
      <c r="P790" s="375"/>
      <c r="Q790" s="375"/>
      <c r="R790" s="375"/>
      <c r="S790" s="375"/>
      <c r="T790" s="375"/>
      <c r="U790" s="6"/>
      <c r="V790" s="6"/>
      <c r="W790" s="10"/>
      <c r="X790" s="14">
        <f>X733+1</f>
        <v>15</v>
      </c>
      <c r="Y790" s="379"/>
      <c r="Z790" s="379"/>
      <c r="AA790" s="379"/>
      <c r="AB790" s="4"/>
    </row>
    <row r="791" spans="1:34" x14ac:dyDescent="0.2">
      <c r="A791" s="380" t="s">
        <v>3</v>
      </c>
      <c r="B791" s="381"/>
      <c r="C791" s="381"/>
      <c r="D791" s="381"/>
      <c r="E791" s="381"/>
      <c r="F791" s="381"/>
      <c r="G791" s="383" t="s">
        <v>5</v>
      </c>
      <c r="H791" s="383"/>
      <c r="I791" s="383"/>
      <c r="J791" s="383"/>
      <c r="K791" s="383"/>
      <c r="L791" s="383"/>
      <c r="M791" s="383"/>
      <c r="N791" s="383"/>
      <c r="O791" s="383"/>
      <c r="P791" s="383"/>
      <c r="Q791" s="383"/>
      <c r="R791" s="383"/>
      <c r="S791" s="383"/>
      <c r="T791" s="383"/>
      <c r="U791" s="5"/>
      <c r="V791" s="5"/>
      <c r="W791" s="2"/>
      <c r="X791" s="384" t="s">
        <v>4</v>
      </c>
      <c r="Y791" s="384"/>
      <c r="Z791" s="384"/>
      <c r="AA791" s="384"/>
      <c r="AB791" s="385"/>
    </row>
    <row r="792" spans="1:34" x14ac:dyDescent="0.2">
      <c r="A792" s="382"/>
      <c r="B792" s="379"/>
      <c r="C792" s="379"/>
      <c r="D792" s="379"/>
      <c r="E792" s="379"/>
      <c r="F792" s="379"/>
      <c r="G792" s="388" t="s">
        <v>203</v>
      </c>
      <c r="H792" s="388"/>
      <c r="I792" s="388"/>
      <c r="J792" s="388"/>
      <c r="K792" s="388"/>
      <c r="L792" s="388"/>
      <c r="M792" s="388"/>
      <c r="N792" s="388"/>
      <c r="O792" s="388"/>
      <c r="P792" s="388"/>
      <c r="Q792" s="388"/>
      <c r="R792" s="388"/>
      <c r="S792" s="388"/>
      <c r="T792" s="388"/>
      <c r="U792" s="7"/>
      <c r="V792" s="7"/>
      <c r="W792" s="3"/>
      <c r="X792" s="386"/>
      <c r="Y792" s="386"/>
      <c r="Z792" s="386"/>
      <c r="AA792" s="386"/>
      <c r="AB792" s="387"/>
    </row>
    <row r="793" spans="1:34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D793" s="294" t="s">
        <v>690</v>
      </c>
      <c r="AE793" s="294"/>
      <c r="AF793" s="294"/>
      <c r="AG793" s="294"/>
      <c r="AH793" s="294"/>
    </row>
    <row r="794" spans="1:34" x14ac:dyDescent="0.2">
      <c r="B794" s="399" t="s">
        <v>222</v>
      </c>
      <c r="C794" s="399"/>
      <c r="D794" s="399"/>
      <c r="E794" s="399"/>
      <c r="F794" s="399"/>
      <c r="G794" s="399"/>
      <c r="H794" s="399"/>
      <c r="I794" s="399"/>
      <c r="J794" s="399"/>
      <c r="K794" s="399"/>
      <c r="L794" s="399"/>
      <c r="M794" s="399"/>
      <c r="N794" s="399"/>
    </row>
    <row r="795" spans="1:34" x14ac:dyDescent="0.2">
      <c r="B795" s="399"/>
      <c r="C795" s="399"/>
      <c r="D795" s="399"/>
      <c r="E795" s="399"/>
      <c r="F795" s="399"/>
      <c r="G795" s="399"/>
      <c r="H795" s="399"/>
      <c r="I795" s="399"/>
      <c r="J795" s="399"/>
      <c r="K795" s="399"/>
      <c r="L795" s="399"/>
      <c r="M795" s="399"/>
      <c r="N795" s="399"/>
    </row>
    <row r="800" spans="1:34" x14ac:dyDescent="0.2">
      <c r="B800" t="s">
        <v>201</v>
      </c>
      <c r="P800" t="s">
        <v>199</v>
      </c>
    </row>
    <row r="801" spans="2:23" x14ac:dyDescent="0.2">
      <c r="B801" t="s">
        <v>221</v>
      </c>
    </row>
    <row r="802" spans="2:23" x14ac:dyDescent="0.2">
      <c r="B802" t="s">
        <v>202</v>
      </c>
      <c r="W802" t="s">
        <v>79</v>
      </c>
    </row>
    <row r="804" spans="2:23" x14ac:dyDescent="0.2">
      <c r="T804" t="s">
        <v>200</v>
      </c>
    </row>
    <row r="805" spans="2:23" x14ac:dyDescent="0.2">
      <c r="B805" s="479" t="s">
        <v>105</v>
      </c>
      <c r="C805" s="479"/>
      <c r="D805" s="32" t="s">
        <v>79</v>
      </c>
      <c r="E805" s="476" t="s">
        <v>215</v>
      </c>
      <c r="F805" s="476"/>
      <c r="G805" s="476"/>
      <c r="H805" s="476"/>
      <c r="I805" s="476"/>
      <c r="J805" s="476"/>
      <c r="K805" s="476"/>
      <c r="L805" s="476"/>
      <c r="M805" s="476"/>
      <c r="N805" s="476"/>
    </row>
    <row r="806" spans="2:23" x14ac:dyDescent="0.2">
      <c r="B806" s="479"/>
      <c r="C806" s="479"/>
      <c r="D806" s="11">
        <v>6</v>
      </c>
      <c r="E806" s="476"/>
      <c r="F806" s="476"/>
      <c r="G806" s="476"/>
      <c r="H806" s="476"/>
      <c r="I806" s="476"/>
      <c r="J806" s="476"/>
      <c r="K806" s="476"/>
      <c r="L806" s="476"/>
      <c r="M806" s="476"/>
      <c r="N806" s="476"/>
    </row>
    <row r="807" spans="2:23" x14ac:dyDescent="0.2">
      <c r="S807" t="s">
        <v>204</v>
      </c>
    </row>
    <row r="808" spans="2:23" x14ac:dyDescent="0.2">
      <c r="B808" t="s">
        <v>208</v>
      </c>
    </row>
    <row r="809" spans="2:23" x14ac:dyDescent="0.2">
      <c r="B809" t="s">
        <v>205</v>
      </c>
    </row>
    <row r="810" spans="2:23" x14ac:dyDescent="0.2">
      <c r="B810" t="s">
        <v>206</v>
      </c>
      <c r="N810" t="s">
        <v>11</v>
      </c>
      <c r="P810" s="18" t="s">
        <v>14</v>
      </c>
    </row>
    <row r="812" spans="2:23" x14ac:dyDescent="0.2">
      <c r="C812" s="68" t="s">
        <v>182</v>
      </c>
      <c r="G812" t="s">
        <v>207</v>
      </c>
      <c r="I812" s="68" t="s">
        <v>209</v>
      </c>
    </row>
    <row r="813" spans="2:23" x14ac:dyDescent="0.2">
      <c r="U813" t="s">
        <v>30</v>
      </c>
    </row>
    <row r="816" spans="2:23" x14ac:dyDescent="0.2">
      <c r="U816" t="s">
        <v>166</v>
      </c>
    </row>
    <row r="818" spans="2:27" x14ac:dyDescent="0.2">
      <c r="B818" s="107" t="str">
        <f>B794&amp;" - Volumen I"</f>
        <v>Udgravning skrå sider - Volumen I</v>
      </c>
      <c r="C818" s="84"/>
      <c r="D818" s="94"/>
      <c r="E818" s="94"/>
      <c r="F818" s="94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 t="s">
        <v>54</v>
      </c>
      <c r="W818" s="85"/>
      <c r="X818" s="85"/>
      <c r="Y818" s="85"/>
      <c r="Z818" s="85"/>
      <c r="AA818" s="105">
        <v>3</v>
      </c>
    </row>
    <row r="819" spans="2:27" x14ac:dyDescent="0.2">
      <c r="B819" s="34"/>
      <c r="C819" s="59" t="s">
        <v>14</v>
      </c>
      <c r="D819" s="473">
        <v>6.56</v>
      </c>
      <c r="E819" s="473"/>
      <c r="F819" s="473"/>
      <c r="G819" s="35"/>
      <c r="H819" s="35" t="s">
        <v>185</v>
      </c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6"/>
    </row>
    <row r="820" spans="2:27" x14ac:dyDescent="0.2">
      <c r="B820" s="39"/>
      <c r="C820" s="96" t="s">
        <v>30</v>
      </c>
      <c r="D820" s="447">
        <v>12.53</v>
      </c>
      <c r="E820" s="447"/>
      <c r="F820" s="447"/>
      <c r="G820" s="2"/>
      <c r="H820" s="2" t="s">
        <v>210</v>
      </c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40"/>
    </row>
    <row r="821" spans="2:27" x14ac:dyDescent="0.2">
      <c r="B821" s="39"/>
      <c r="C821" s="96" t="s">
        <v>211</v>
      </c>
      <c r="D821" s="447">
        <v>3.85</v>
      </c>
      <c r="E821" s="447"/>
      <c r="F821" s="447"/>
      <c r="G821" s="2"/>
      <c r="H821" s="2" t="s">
        <v>212</v>
      </c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40"/>
    </row>
    <row r="822" spans="2:27" x14ac:dyDescent="0.2">
      <c r="B822" s="39"/>
      <c r="C822" s="61" t="s">
        <v>15</v>
      </c>
      <c r="D822" s="447">
        <v>0.5</v>
      </c>
      <c r="E822" s="447"/>
      <c r="F822" s="447"/>
      <c r="G822" s="2"/>
      <c r="H822" s="99" t="s">
        <v>220</v>
      </c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40"/>
    </row>
    <row r="823" spans="2:27" x14ac:dyDescent="0.2">
      <c r="B823" s="39"/>
      <c r="C823" s="61"/>
      <c r="D823" s="62"/>
      <c r="E823" s="62"/>
      <c r="F823" s="62"/>
      <c r="G823" s="2"/>
      <c r="H823" s="9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40"/>
    </row>
    <row r="824" spans="2:27" x14ac:dyDescent="0.2">
      <c r="B824" s="39"/>
      <c r="C824" s="101" t="s">
        <v>178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40"/>
    </row>
    <row r="825" spans="2:27" x14ac:dyDescent="0.2">
      <c r="B825" s="39"/>
      <c r="C825" s="68" t="s">
        <v>213</v>
      </c>
      <c r="D825" s="2"/>
      <c r="E825" s="2"/>
      <c r="F825" s="2"/>
      <c r="G825" s="2" t="str">
        <f>$D$819&amp;" + 2∙"&amp;D821&amp;"∙"&amp;$D$822&amp;" = "&amp;ROUND($D$819+2*D821*$D$822,AA818)</f>
        <v>6,56 + 2∙3,85∙0,5 = 10,41</v>
      </c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448">
        <f>D819+2*D821*D822</f>
        <v>10.41</v>
      </c>
      <c r="U825" s="448"/>
      <c r="V825" s="102"/>
      <c r="W825" s="102"/>
      <c r="X825" s="2"/>
      <c r="Y825" s="2"/>
      <c r="Z825" s="2"/>
      <c r="AA825" s="40"/>
    </row>
    <row r="826" spans="2:27" x14ac:dyDescent="0.2">
      <c r="B826" s="39"/>
      <c r="C826" s="68" t="s">
        <v>214</v>
      </c>
      <c r="D826" s="2"/>
      <c r="E826" s="2"/>
      <c r="F826" s="2"/>
      <c r="G826" s="2" t="str">
        <f>D820&amp;" + 2∙"&amp;D821&amp;"∙"&amp;$D$822&amp;" = "&amp;ROUND(D820+2*D821*D822,AA818)</f>
        <v>12,53 + 2∙3,85∙0,5 = 16,38</v>
      </c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448">
        <f>D820+2*D821*D822</f>
        <v>16.38</v>
      </c>
      <c r="U826" s="448"/>
      <c r="V826" s="2"/>
      <c r="W826" s="2"/>
      <c r="X826" s="2"/>
      <c r="Y826" s="2"/>
      <c r="Z826" s="2"/>
      <c r="AA826" s="40"/>
    </row>
    <row r="827" spans="2:27" x14ac:dyDescent="0.2">
      <c r="B827" s="39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40"/>
    </row>
    <row r="828" spans="2:27" x14ac:dyDescent="0.2">
      <c r="B828" s="39"/>
      <c r="C828" s="493" t="s">
        <v>105</v>
      </c>
      <c r="D828" s="493"/>
      <c r="E828" s="418">
        <f>D821</f>
        <v>3.85</v>
      </c>
      <c r="F828" s="418"/>
      <c r="G828" s="417" t="str">
        <f>"("&amp;ROUND(T826,AA818)&amp;"∙"&amp;ROUND(T825,AA818)&amp;" + "&amp;D820&amp;"∙"&amp;D819&amp;" + ("&amp;ROUND(T826,AA818)&amp;" + "&amp;D820&amp;")("&amp;ROUND(T825,AA818)&amp;" + "&amp;D819&amp;") ="&amp;ROUND(D821/6*(T826*T825+D820*D819+(T826+D820)*(T825+D819)),AA818)</f>
        <v>(16,38∙10,41 + 12,53∙6,56 + (16,38 + 12,53)(10,41 + 6,56) =476,961</v>
      </c>
      <c r="H828" s="417"/>
      <c r="I828" s="417"/>
      <c r="J828" s="417"/>
      <c r="K828" s="417"/>
      <c r="L828" s="417"/>
      <c r="M828" s="417"/>
      <c r="N828" s="417"/>
      <c r="O828" s="417"/>
      <c r="P828" s="417"/>
      <c r="Q828" s="417"/>
      <c r="R828" s="417"/>
      <c r="S828" s="417"/>
      <c r="T828" s="417"/>
      <c r="U828" s="417"/>
      <c r="V828" s="417"/>
      <c r="W828" s="417"/>
      <c r="X828" s="417"/>
      <c r="Y828" s="417"/>
      <c r="Z828" s="417"/>
      <c r="AA828" s="40"/>
    </row>
    <row r="829" spans="2:27" x14ac:dyDescent="0.2">
      <c r="B829" s="39"/>
      <c r="C829" s="493"/>
      <c r="D829" s="493"/>
      <c r="E829" s="467">
        <v>6</v>
      </c>
      <c r="F829" s="467"/>
      <c r="G829" s="417"/>
      <c r="H829" s="417"/>
      <c r="I829" s="417"/>
      <c r="J829" s="417"/>
      <c r="K829" s="417"/>
      <c r="L829" s="417"/>
      <c r="M829" s="417"/>
      <c r="N829" s="417"/>
      <c r="O829" s="417"/>
      <c r="P829" s="417"/>
      <c r="Q829" s="417"/>
      <c r="R829" s="417"/>
      <c r="S829" s="417"/>
      <c r="T829" s="417"/>
      <c r="U829" s="417"/>
      <c r="V829" s="417"/>
      <c r="W829" s="417"/>
      <c r="X829" s="417"/>
      <c r="Y829" s="417"/>
      <c r="Z829" s="417"/>
      <c r="AA829" s="40"/>
    </row>
    <row r="830" spans="2:27" x14ac:dyDescent="0.2">
      <c r="B830" s="3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8"/>
    </row>
    <row r="832" spans="2:27" x14ac:dyDescent="0.2">
      <c r="B832" t="s">
        <v>216</v>
      </c>
    </row>
    <row r="833" spans="1:28" x14ac:dyDescent="0.2">
      <c r="B833" s="107" t="str">
        <f>B794&amp;" - Volumen II"</f>
        <v>Udgravning skrå sider - Volumen II</v>
      </c>
      <c r="C833" s="84"/>
      <c r="D833" s="94"/>
      <c r="E833" s="94"/>
      <c r="F833" s="94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 t="s">
        <v>54</v>
      </c>
      <c r="W833" s="85"/>
      <c r="X833" s="85"/>
      <c r="Y833" s="85"/>
      <c r="Z833" s="85"/>
      <c r="AA833" s="105">
        <v>3</v>
      </c>
    </row>
    <row r="834" spans="1:28" x14ac:dyDescent="0.2">
      <c r="B834" s="34"/>
      <c r="C834" s="59" t="s">
        <v>14</v>
      </c>
      <c r="D834" s="473">
        <v>6.56</v>
      </c>
      <c r="E834" s="473"/>
      <c r="F834" s="473"/>
      <c r="G834" s="35"/>
      <c r="H834" s="35" t="s">
        <v>185</v>
      </c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6"/>
    </row>
    <row r="835" spans="1:28" x14ac:dyDescent="0.2">
      <c r="B835" s="39"/>
      <c r="C835" s="96" t="s">
        <v>30</v>
      </c>
      <c r="D835" s="447">
        <v>12.53</v>
      </c>
      <c r="E835" s="447"/>
      <c r="F835" s="447"/>
      <c r="G835" s="2"/>
      <c r="H835" s="2" t="s">
        <v>210</v>
      </c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40"/>
    </row>
    <row r="836" spans="1:28" x14ac:dyDescent="0.2">
      <c r="B836" s="39"/>
      <c r="C836" s="61" t="s">
        <v>11</v>
      </c>
      <c r="D836" s="447">
        <v>10.41</v>
      </c>
      <c r="E836" s="447"/>
      <c r="F836" s="447"/>
      <c r="G836" s="2"/>
      <c r="H836" s="99" t="s">
        <v>217</v>
      </c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40"/>
    </row>
    <row r="837" spans="1:28" x14ac:dyDescent="0.2">
      <c r="B837" s="39"/>
      <c r="C837" s="61" t="s">
        <v>166</v>
      </c>
      <c r="D837" s="447">
        <v>16</v>
      </c>
      <c r="E837" s="447"/>
      <c r="F837" s="447"/>
      <c r="G837" s="2"/>
      <c r="H837" s="99" t="s">
        <v>218</v>
      </c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40"/>
    </row>
    <row r="838" spans="1:28" x14ac:dyDescent="0.2">
      <c r="B838" s="39"/>
      <c r="C838" s="96" t="s">
        <v>211</v>
      </c>
      <c r="D838" s="447">
        <v>3.85</v>
      </c>
      <c r="E838" s="447"/>
      <c r="F838" s="447"/>
      <c r="G838" s="2"/>
      <c r="H838" s="2" t="s">
        <v>219</v>
      </c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40"/>
    </row>
    <row r="839" spans="1:28" x14ac:dyDescent="0.2">
      <c r="B839" s="39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40"/>
    </row>
    <row r="840" spans="1:28" x14ac:dyDescent="0.2">
      <c r="B840" s="39"/>
      <c r="C840" s="493" t="s">
        <v>105</v>
      </c>
      <c r="D840" s="493"/>
      <c r="E840" s="418">
        <f>D838</f>
        <v>3.85</v>
      </c>
      <c r="F840" s="418"/>
      <c r="G840" s="417" t="str">
        <f>"("&amp;ROUND(D837,AA833)&amp;"∙"&amp;ROUND(D836,AA833)&amp;" + "&amp;D835&amp;"∙"&amp;D834&amp;" + ("&amp;ROUND(D837,AA833)&amp;" + "&amp;D835&amp;")("&amp;ROUND(D836,AA833)&amp;" + "&amp;D834&amp;") ="&amp;ROUND(D838/6*(D837*D836+D835*D834+(D837+D835)*(D836+D834)),AA833)</f>
        <v>(16∙10,41 + 12,53∙6,56 + (16 + 12,53)(10,41 + 6,56) =470,284</v>
      </c>
      <c r="H840" s="417"/>
      <c r="I840" s="417"/>
      <c r="J840" s="417"/>
      <c r="K840" s="417"/>
      <c r="L840" s="417"/>
      <c r="M840" s="417"/>
      <c r="N840" s="417"/>
      <c r="O840" s="417"/>
      <c r="P840" s="417"/>
      <c r="Q840" s="417"/>
      <c r="R840" s="417"/>
      <c r="S840" s="417"/>
      <c r="T840" s="417"/>
      <c r="U840" s="417"/>
      <c r="V840" s="417"/>
      <c r="W840" s="417"/>
      <c r="X840" s="417"/>
      <c r="Y840" s="417"/>
      <c r="Z840" s="417"/>
      <c r="AA840" s="40"/>
    </row>
    <row r="841" spans="1:28" x14ac:dyDescent="0.2">
      <c r="B841" s="39"/>
      <c r="C841" s="493"/>
      <c r="D841" s="493"/>
      <c r="E841" s="467">
        <v>6</v>
      </c>
      <c r="F841" s="467"/>
      <c r="G841" s="417"/>
      <c r="H841" s="417"/>
      <c r="I841" s="417"/>
      <c r="J841" s="417"/>
      <c r="K841" s="417"/>
      <c r="L841" s="417"/>
      <c r="M841" s="417"/>
      <c r="N841" s="417"/>
      <c r="O841" s="417"/>
      <c r="P841" s="417"/>
      <c r="Q841" s="417"/>
      <c r="R841" s="417"/>
      <c r="S841" s="417"/>
      <c r="T841" s="417"/>
      <c r="U841" s="417"/>
      <c r="V841" s="417"/>
      <c r="W841" s="417"/>
      <c r="X841" s="417"/>
      <c r="Y841" s="417"/>
      <c r="Z841" s="417"/>
      <c r="AA841" s="40"/>
    </row>
    <row r="842" spans="1:28" x14ac:dyDescent="0.2">
      <c r="B842" s="3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8"/>
    </row>
    <row r="848" spans="1:28" x14ac:dyDescent="0.2">
      <c r="A848" s="423" t="s">
        <v>0</v>
      </c>
      <c r="B848" s="378"/>
      <c r="C848" s="378"/>
      <c r="D848" s="378"/>
      <c r="E848" s="378"/>
      <c r="F848" s="378"/>
      <c r="G848" s="374" t="s">
        <v>1</v>
      </c>
      <c r="H848" s="374"/>
      <c r="I848" s="374"/>
      <c r="J848" s="374"/>
      <c r="K848" s="374"/>
      <c r="L848" s="374"/>
      <c r="M848" s="374"/>
      <c r="N848" s="374"/>
      <c r="O848" s="374"/>
      <c r="P848" s="374"/>
      <c r="Q848" s="374"/>
      <c r="R848" s="374"/>
      <c r="S848" s="374"/>
      <c r="T848" s="374"/>
      <c r="U848" s="8"/>
      <c r="V848" s="8"/>
      <c r="W848" s="9"/>
      <c r="X848" s="9"/>
      <c r="Y848" s="378" t="s">
        <v>2</v>
      </c>
      <c r="Z848" s="378"/>
      <c r="AA848" s="378"/>
      <c r="AB848" s="1"/>
    </row>
    <row r="849" spans="1:34" x14ac:dyDescent="0.2">
      <c r="A849" s="382"/>
      <c r="B849" s="379"/>
      <c r="C849" s="379"/>
      <c r="D849" s="379"/>
      <c r="E849" s="379"/>
      <c r="F849" s="379"/>
      <c r="G849" s="375"/>
      <c r="H849" s="375"/>
      <c r="I849" s="375"/>
      <c r="J849" s="375"/>
      <c r="K849" s="375"/>
      <c r="L849" s="375"/>
      <c r="M849" s="375"/>
      <c r="N849" s="375"/>
      <c r="O849" s="375"/>
      <c r="P849" s="375"/>
      <c r="Q849" s="375"/>
      <c r="R849" s="375"/>
      <c r="S849" s="375"/>
      <c r="T849" s="375"/>
      <c r="U849" s="6"/>
      <c r="V849" s="6"/>
      <c r="W849" s="10"/>
      <c r="X849" s="14">
        <f>X790+1</f>
        <v>16</v>
      </c>
      <c r="Y849" s="379"/>
      <c r="Z849" s="379"/>
      <c r="AA849" s="379"/>
      <c r="AB849" s="4"/>
    </row>
    <row r="850" spans="1:34" x14ac:dyDescent="0.2">
      <c r="A850" s="380" t="s">
        <v>3</v>
      </c>
      <c r="B850" s="381"/>
      <c r="C850" s="381"/>
      <c r="D850" s="381"/>
      <c r="E850" s="381"/>
      <c r="F850" s="381"/>
      <c r="G850" s="383" t="s">
        <v>5</v>
      </c>
      <c r="H850" s="383"/>
      <c r="I850" s="383"/>
      <c r="J850" s="383"/>
      <c r="K850" s="383"/>
      <c r="L850" s="383"/>
      <c r="M850" s="383"/>
      <c r="N850" s="383"/>
      <c r="O850" s="383"/>
      <c r="P850" s="383"/>
      <c r="Q850" s="383"/>
      <c r="R850" s="383"/>
      <c r="S850" s="383"/>
      <c r="T850" s="383"/>
      <c r="U850" s="5"/>
      <c r="V850" s="5"/>
      <c r="W850" s="2"/>
      <c r="X850" s="384" t="s">
        <v>4</v>
      </c>
      <c r="Y850" s="384"/>
      <c r="Z850" s="384"/>
      <c r="AA850" s="384"/>
      <c r="AB850" s="385"/>
    </row>
    <row r="851" spans="1:34" x14ac:dyDescent="0.2">
      <c r="A851" s="382"/>
      <c r="B851" s="379"/>
      <c r="C851" s="379"/>
      <c r="D851" s="379"/>
      <c r="E851" s="379"/>
      <c r="F851" s="379"/>
      <c r="G851" s="388" t="s">
        <v>203</v>
      </c>
      <c r="H851" s="388"/>
      <c r="I851" s="388"/>
      <c r="J851" s="388"/>
      <c r="K851" s="388"/>
      <c r="L851" s="388"/>
      <c r="M851" s="388"/>
      <c r="N851" s="388"/>
      <c r="O851" s="388"/>
      <c r="P851" s="388"/>
      <c r="Q851" s="388"/>
      <c r="R851" s="388"/>
      <c r="S851" s="388"/>
      <c r="T851" s="388"/>
      <c r="U851" s="7"/>
      <c r="V851" s="7"/>
      <c r="W851" s="3"/>
      <c r="X851" s="386"/>
      <c r="Y851" s="386"/>
      <c r="Z851" s="386"/>
      <c r="AA851" s="386"/>
      <c r="AB851" s="387"/>
      <c r="AD851" s="294" t="s">
        <v>690</v>
      </c>
      <c r="AE851" s="294"/>
      <c r="AF851" s="294"/>
      <c r="AG851" s="294"/>
      <c r="AH851" s="294"/>
    </row>
    <row r="853" spans="1:34" ht="12.75" customHeight="1" x14ac:dyDescent="0.25">
      <c r="B853" s="399" t="s">
        <v>227</v>
      </c>
      <c r="C853" s="399"/>
      <c r="D853" s="399"/>
      <c r="E853" s="399"/>
      <c r="F853" s="399"/>
      <c r="G853" s="103"/>
      <c r="H853" s="103"/>
      <c r="I853" s="103"/>
      <c r="J853" s="103"/>
      <c r="K853" s="103"/>
      <c r="L853" s="103"/>
      <c r="M853" s="103"/>
      <c r="N853" s="103"/>
    </row>
    <row r="854" spans="1:34" ht="12.75" customHeight="1" x14ac:dyDescent="0.25">
      <c r="B854" s="399"/>
      <c r="C854" s="399"/>
      <c r="D854" s="399"/>
      <c r="E854" s="399"/>
      <c r="F854" s="399"/>
      <c r="G854" s="103"/>
      <c r="H854" s="103"/>
      <c r="I854" s="103"/>
      <c r="J854" s="103"/>
      <c r="K854" s="103"/>
      <c r="L854" s="103"/>
      <c r="M854" s="103"/>
      <c r="N854" s="103"/>
    </row>
    <row r="856" spans="1:34" x14ac:dyDescent="0.2">
      <c r="B856" t="s">
        <v>228</v>
      </c>
    </row>
    <row r="857" spans="1:34" x14ac:dyDescent="0.2">
      <c r="B857" t="s">
        <v>229</v>
      </c>
    </row>
    <row r="860" spans="1:34" x14ac:dyDescent="0.2">
      <c r="B860" s="479" t="s">
        <v>105</v>
      </c>
      <c r="C860" s="479"/>
      <c r="D860" s="32" t="s">
        <v>230</v>
      </c>
      <c r="E860" s="421" t="s">
        <v>238</v>
      </c>
      <c r="F860" s="421"/>
      <c r="G860" s="421"/>
      <c r="H860" s="421"/>
      <c r="I860" s="32" t="s">
        <v>75</v>
      </c>
      <c r="J860" s="479" t="s">
        <v>232</v>
      </c>
      <c r="K860" s="479"/>
      <c r="L860" s="56"/>
    </row>
    <row r="861" spans="1:34" x14ac:dyDescent="0.2">
      <c r="B861" s="479"/>
      <c r="C861" s="479"/>
      <c r="D861" s="11">
        <v>6</v>
      </c>
      <c r="E861" s="421"/>
      <c r="F861" s="421"/>
      <c r="G861" s="421"/>
      <c r="H861" s="421"/>
      <c r="I861" s="11" t="s">
        <v>231</v>
      </c>
      <c r="J861" s="479"/>
      <c r="K861" s="479"/>
      <c r="L861" s="56"/>
    </row>
    <row r="863" spans="1:34" x14ac:dyDescent="0.2">
      <c r="B863" t="s">
        <v>233</v>
      </c>
    </row>
    <row r="865" spans="2:34" x14ac:dyDescent="0.2">
      <c r="B865" t="s">
        <v>79</v>
      </c>
      <c r="C865" t="s">
        <v>219</v>
      </c>
      <c r="L865" s="56"/>
      <c r="M865" s="56"/>
      <c r="N865" s="56"/>
    </row>
    <row r="866" spans="2:34" x14ac:dyDescent="0.2">
      <c r="B866" t="s">
        <v>14</v>
      </c>
      <c r="C866" t="s">
        <v>234</v>
      </c>
    </row>
    <row r="867" spans="2:34" x14ac:dyDescent="0.2">
      <c r="B867" t="s">
        <v>231</v>
      </c>
      <c r="C867" t="s">
        <v>235</v>
      </c>
    </row>
    <row r="868" spans="2:34" x14ac:dyDescent="0.2">
      <c r="B868" t="s">
        <v>75</v>
      </c>
      <c r="C868" t="s">
        <v>236</v>
      </c>
    </row>
    <row r="870" spans="2:34" x14ac:dyDescent="0.2">
      <c r="E870" s="56" t="s">
        <v>231</v>
      </c>
      <c r="F870" s="56"/>
      <c r="I870" s="11" t="s">
        <v>75</v>
      </c>
    </row>
    <row r="871" spans="2:34" x14ac:dyDescent="0.2">
      <c r="D871" s="496"/>
      <c r="E871" s="496"/>
      <c r="F871" s="497"/>
      <c r="G871">
        <v>1</v>
      </c>
      <c r="I871" s="104"/>
      <c r="J871" s="64">
        <v>1</v>
      </c>
    </row>
    <row r="875" spans="2:34" x14ac:dyDescent="0.2">
      <c r="G875" s="53"/>
      <c r="H875" s="53"/>
      <c r="I875" s="53"/>
    </row>
    <row r="878" spans="2:34" x14ac:dyDescent="0.2">
      <c r="B878" s="107" t="str">
        <f>B853&amp;" - Volumen I"</f>
        <v>Rampe - Volumen I</v>
      </c>
      <c r="C878" s="84"/>
      <c r="D878" s="94"/>
      <c r="E878" s="94"/>
      <c r="F878" s="94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 t="s">
        <v>54</v>
      </c>
      <c r="W878" s="85"/>
      <c r="X878" s="85"/>
      <c r="Y878" s="85"/>
      <c r="Z878" s="85"/>
      <c r="AA878" s="88">
        <v>2</v>
      </c>
      <c r="AD878" s="294" t="s">
        <v>690</v>
      </c>
      <c r="AE878" s="294"/>
      <c r="AF878" s="294"/>
      <c r="AG878" s="294"/>
      <c r="AH878" s="294"/>
    </row>
    <row r="879" spans="2:34" x14ac:dyDescent="0.2">
      <c r="B879" s="34"/>
      <c r="C879" s="59" t="s">
        <v>14</v>
      </c>
      <c r="D879" s="473">
        <v>2</v>
      </c>
      <c r="E879" s="473"/>
      <c r="F879" s="473"/>
      <c r="G879" s="35"/>
      <c r="H879" s="35" t="s">
        <v>237</v>
      </c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6"/>
    </row>
    <row r="880" spans="2:34" x14ac:dyDescent="0.2">
      <c r="B880" s="39"/>
      <c r="C880" s="96" t="s">
        <v>79</v>
      </c>
      <c r="D880" s="447">
        <v>4</v>
      </c>
      <c r="E880" s="447"/>
      <c r="F880" s="447"/>
      <c r="G880" s="2"/>
      <c r="H880" s="2" t="s">
        <v>219</v>
      </c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40"/>
    </row>
    <row r="881" spans="2:27" x14ac:dyDescent="0.2">
      <c r="B881" s="39"/>
      <c r="C881" s="61" t="s">
        <v>231</v>
      </c>
      <c r="D881" s="447">
        <v>9</v>
      </c>
      <c r="E881" s="447"/>
      <c r="F881" s="447"/>
      <c r="G881" s="2"/>
      <c r="H881" s="99" t="s">
        <v>239</v>
      </c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40"/>
    </row>
    <row r="882" spans="2:27" x14ac:dyDescent="0.2">
      <c r="B882" s="39"/>
      <c r="C882" s="61" t="s">
        <v>75</v>
      </c>
      <c r="D882" s="447">
        <v>0.5</v>
      </c>
      <c r="E882" s="447"/>
      <c r="F882" s="447"/>
      <c r="G882" s="2"/>
      <c r="H882" s="99" t="s">
        <v>240</v>
      </c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40"/>
    </row>
    <row r="883" spans="2:27" x14ac:dyDescent="0.2">
      <c r="B883" s="39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40"/>
    </row>
    <row r="884" spans="2:27" x14ac:dyDescent="0.2">
      <c r="B884" s="39"/>
      <c r="C884" s="493" t="s">
        <v>105</v>
      </c>
      <c r="D884" s="493"/>
      <c r="E884" s="418" t="str">
        <f>D880&amp;"²"</f>
        <v>4²</v>
      </c>
      <c r="F884" s="418"/>
      <c r="G884" s="417" t="str">
        <f>"( 3∙"&amp;D879&amp;" + 2∙"&amp;D880&amp;"∙"&amp;D882&amp;"(1 -"&amp;D882&amp;"/ "&amp;D881&amp;"))"&amp;D881&amp;" - "&amp;D882&amp;")  = "&amp;ROUND(D880^2/6*(3*D879+2*D880*D882*(1-D882/D881))*(D881-D882),AA878)</f>
        <v>( 3∙2 + 2∙4∙0,5(1 -0,5/ 9))9 - 0,5)  = 221,63</v>
      </c>
      <c r="H884" s="417"/>
      <c r="I884" s="417"/>
      <c r="J884" s="417"/>
      <c r="K884" s="417"/>
      <c r="L884" s="417"/>
      <c r="M884" s="417"/>
      <c r="N884" s="417"/>
      <c r="O884" s="417"/>
      <c r="P884" s="417"/>
      <c r="Q884" s="417"/>
      <c r="R884" s="417"/>
      <c r="S884" s="417"/>
      <c r="T884" s="417"/>
      <c r="U884" s="417"/>
      <c r="V884" s="417"/>
      <c r="W884" s="417"/>
      <c r="X884" s="417"/>
      <c r="Y884" s="417"/>
      <c r="Z884" s="417"/>
      <c r="AA884" s="40"/>
    </row>
    <row r="885" spans="2:27" x14ac:dyDescent="0.2">
      <c r="B885" s="39"/>
      <c r="C885" s="493"/>
      <c r="D885" s="493"/>
      <c r="E885" s="467">
        <v>6</v>
      </c>
      <c r="F885" s="467"/>
      <c r="G885" s="417"/>
      <c r="H885" s="417"/>
      <c r="I885" s="417"/>
      <c r="J885" s="417"/>
      <c r="K885" s="417"/>
      <c r="L885" s="417"/>
      <c r="M885" s="417"/>
      <c r="N885" s="417"/>
      <c r="O885" s="417"/>
      <c r="P885" s="417"/>
      <c r="Q885" s="417"/>
      <c r="R885" s="417"/>
      <c r="S885" s="417"/>
      <c r="T885" s="417"/>
      <c r="U885" s="417"/>
      <c r="V885" s="417"/>
      <c r="W885" s="417"/>
      <c r="X885" s="417"/>
      <c r="Y885" s="417"/>
      <c r="Z885" s="417"/>
      <c r="AA885" s="40"/>
    </row>
    <row r="886" spans="2:27" x14ac:dyDescent="0.2">
      <c r="B886" s="3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8"/>
    </row>
    <row r="887" spans="2:27" ht="6" customHeight="1" x14ac:dyDescent="0.2"/>
    <row r="888" spans="2:27" x14ac:dyDescent="0.2">
      <c r="T888" s="504" t="s">
        <v>79</v>
      </c>
      <c r="U888" s="502"/>
      <c r="V888" s="503"/>
      <c r="W888" s="503"/>
      <c r="X888" s="503"/>
      <c r="Y888" s="503"/>
      <c r="Z888" s="503"/>
    </row>
    <row r="889" spans="2:27" ht="15.75" x14ac:dyDescent="0.25">
      <c r="B889" s="33" t="s">
        <v>242</v>
      </c>
      <c r="T889" s="504"/>
      <c r="U889" s="498"/>
      <c r="V889" s="499"/>
      <c r="W889" s="499"/>
      <c r="X889" s="499"/>
      <c r="Y889" s="499"/>
      <c r="Z889" s="499"/>
    </row>
    <row r="890" spans="2:27" x14ac:dyDescent="0.2">
      <c r="B890" t="s">
        <v>243</v>
      </c>
      <c r="K890" s="56"/>
    </row>
    <row r="891" spans="2:27" x14ac:dyDescent="0.2">
      <c r="B891" t="s">
        <v>241</v>
      </c>
      <c r="K891" s="56"/>
      <c r="U891" s="39"/>
    </row>
    <row r="892" spans="2:27" x14ac:dyDescent="0.2">
      <c r="L892" t="s">
        <v>79</v>
      </c>
      <c r="M892" t="s">
        <v>219</v>
      </c>
      <c r="U892" s="498"/>
      <c r="V892" s="499"/>
      <c r="W892" s="499"/>
      <c r="X892" s="499"/>
      <c r="Y892" s="499"/>
      <c r="Z892" s="499"/>
    </row>
    <row r="893" spans="2:27" x14ac:dyDescent="0.2">
      <c r="B893" s="479" t="s">
        <v>105</v>
      </c>
      <c r="C893" s="479"/>
      <c r="D893" s="32" t="s">
        <v>230</v>
      </c>
      <c r="E893" s="476" t="s">
        <v>245</v>
      </c>
      <c r="F893" s="476"/>
      <c r="G893" s="476"/>
      <c r="H893" s="476"/>
      <c r="I893" s="56"/>
      <c r="L893" t="s">
        <v>14</v>
      </c>
      <c r="M893" t="s">
        <v>234</v>
      </c>
      <c r="Z893" s="477" t="s">
        <v>14</v>
      </c>
    </row>
    <row r="894" spans="2:27" x14ac:dyDescent="0.2">
      <c r="B894" s="479"/>
      <c r="C894" s="479"/>
      <c r="D894" s="11">
        <v>6</v>
      </c>
      <c r="E894" s="476"/>
      <c r="F894" s="476"/>
      <c r="G894" s="476"/>
      <c r="H894" s="476"/>
      <c r="I894" s="56"/>
      <c r="J894" s="56"/>
      <c r="L894" t="s">
        <v>231</v>
      </c>
      <c r="M894" t="s">
        <v>235</v>
      </c>
      <c r="Z894" s="480"/>
    </row>
    <row r="895" spans="2:27" x14ac:dyDescent="0.2">
      <c r="J895" s="56"/>
      <c r="L895" t="s">
        <v>75</v>
      </c>
      <c r="M895" t="s">
        <v>246</v>
      </c>
      <c r="U895" s="500"/>
      <c r="V895" s="501"/>
      <c r="W895" s="501"/>
      <c r="X895" s="501"/>
      <c r="Y895" s="501"/>
      <c r="Z895" s="501"/>
    </row>
    <row r="896" spans="2:27" x14ac:dyDescent="0.2">
      <c r="U896" s="39"/>
    </row>
    <row r="897" spans="1:34" ht="6" customHeight="1" x14ac:dyDescent="0.2"/>
    <row r="898" spans="1:34" x14ac:dyDescent="0.2">
      <c r="B898" s="107" t="str">
        <f>B853&amp;" - Volumen II"</f>
        <v>Rampe - Volumen II</v>
      </c>
      <c r="C898" s="84"/>
      <c r="D898" s="94"/>
      <c r="E898" s="94"/>
      <c r="F898" s="94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 t="s">
        <v>54</v>
      </c>
      <c r="W898" s="85"/>
      <c r="X898" s="85"/>
      <c r="Y898" s="85"/>
      <c r="Z898" s="85"/>
      <c r="AA898" s="88">
        <v>3</v>
      </c>
      <c r="AD898" s="294" t="s">
        <v>690</v>
      </c>
      <c r="AE898" s="294"/>
      <c r="AF898" s="294"/>
      <c r="AG898" s="294"/>
      <c r="AH898" s="294"/>
    </row>
    <row r="899" spans="1:34" x14ac:dyDescent="0.2">
      <c r="B899" s="34"/>
      <c r="C899" s="59" t="s">
        <v>14</v>
      </c>
      <c r="D899" s="473">
        <v>2</v>
      </c>
      <c r="E899" s="473"/>
      <c r="F899" s="473"/>
      <c r="G899" s="35"/>
      <c r="H899" s="35" t="s">
        <v>237</v>
      </c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6"/>
    </row>
    <row r="900" spans="1:34" x14ac:dyDescent="0.2">
      <c r="B900" s="39"/>
      <c r="C900" s="96" t="s">
        <v>79</v>
      </c>
      <c r="D900" s="447">
        <v>4</v>
      </c>
      <c r="E900" s="447"/>
      <c r="F900" s="447"/>
      <c r="G900" s="2"/>
      <c r="H900" s="2" t="s">
        <v>219</v>
      </c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40"/>
    </row>
    <row r="901" spans="1:34" x14ac:dyDescent="0.2">
      <c r="B901" s="39"/>
      <c r="C901" s="61" t="s">
        <v>231</v>
      </c>
      <c r="D901" s="447">
        <v>8</v>
      </c>
      <c r="E901" s="447"/>
      <c r="F901" s="447"/>
      <c r="G901" s="2"/>
      <c r="H901" s="99" t="s">
        <v>239</v>
      </c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40"/>
    </row>
    <row r="902" spans="1:34" x14ac:dyDescent="0.2">
      <c r="B902" s="39"/>
      <c r="C902" s="61" t="s">
        <v>75</v>
      </c>
      <c r="D902" s="447">
        <v>0.5</v>
      </c>
      <c r="E902" s="447"/>
      <c r="F902" s="447"/>
      <c r="G902" s="2"/>
      <c r="H902" s="99" t="s">
        <v>244</v>
      </c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40"/>
    </row>
    <row r="903" spans="1:34" x14ac:dyDescent="0.2">
      <c r="B903" s="39"/>
      <c r="C903" s="61"/>
      <c r="D903" s="62"/>
      <c r="E903" s="62"/>
      <c r="F903" s="6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40"/>
    </row>
    <row r="904" spans="1:34" x14ac:dyDescent="0.2">
      <c r="B904" s="39"/>
      <c r="C904" s="493" t="s">
        <v>105</v>
      </c>
      <c r="D904" s="493"/>
      <c r="E904" s="418" t="str">
        <f>D900&amp;"²"</f>
        <v>4²</v>
      </c>
      <c r="F904" s="418"/>
      <c r="G904" s="417" t="str">
        <f>"( 3∙"&amp;D899&amp;" + 2∙"&amp;D900&amp;"∙"&amp;D902&amp;") "&amp;D901&amp;"  = "&amp;ROUND(D900^2/6*(3*D899+2*D900*D902)*D901,AA898)</f>
        <v>( 3∙2 + 2∙4∙0,5) 8  = 213,333</v>
      </c>
      <c r="H904" s="417"/>
      <c r="I904" s="417"/>
      <c r="J904" s="417"/>
      <c r="K904" s="417"/>
      <c r="L904" s="417"/>
      <c r="M904" s="417"/>
      <c r="N904" s="417"/>
      <c r="O904" s="417"/>
      <c r="P904" s="417"/>
      <c r="Q904" s="417"/>
      <c r="R904" s="417"/>
      <c r="S904" s="417"/>
      <c r="T904" s="417"/>
      <c r="U904" s="417"/>
      <c r="V904" s="417"/>
      <c r="W904" s="417"/>
      <c r="X904" s="417"/>
      <c r="Y904" s="417"/>
      <c r="Z904" s="417"/>
      <c r="AA904" s="40"/>
    </row>
    <row r="905" spans="1:34" x14ac:dyDescent="0.2">
      <c r="B905" s="39"/>
      <c r="C905" s="493"/>
      <c r="D905" s="493"/>
      <c r="E905" s="467">
        <v>6</v>
      </c>
      <c r="F905" s="467"/>
      <c r="G905" s="417"/>
      <c r="H905" s="417"/>
      <c r="I905" s="417"/>
      <c r="J905" s="417"/>
      <c r="K905" s="417"/>
      <c r="L905" s="417"/>
      <c r="M905" s="417"/>
      <c r="N905" s="417"/>
      <c r="O905" s="417"/>
      <c r="P905" s="417"/>
      <c r="Q905" s="417"/>
      <c r="R905" s="417"/>
      <c r="S905" s="417"/>
      <c r="T905" s="417"/>
      <c r="U905" s="417"/>
      <c r="V905" s="417"/>
      <c r="W905" s="417"/>
      <c r="X905" s="417"/>
      <c r="Y905" s="417"/>
      <c r="Z905" s="417"/>
      <c r="AA905" s="40"/>
    </row>
    <row r="906" spans="1:34" x14ac:dyDescent="0.2">
      <c r="B906" s="3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8"/>
    </row>
    <row r="908" spans="1:34" x14ac:dyDescent="0.2">
      <c r="A908" s="423" t="s">
        <v>0</v>
      </c>
      <c r="B908" s="378"/>
      <c r="C908" s="378"/>
      <c r="D908" s="378"/>
      <c r="E908" s="378"/>
      <c r="F908" s="378"/>
      <c r="G908" s="374" t="s">
        <v>1</v>
      </c>
      <c r="H908" s="374"/>
      <c r="I908" s="374"/>
      <c r="J908" s="374"/>
      <c r="K908" s="374"/>
      <c r="L908" s="374"/>
      <c r="M908" s="374"/>
      <c r="N908" s="374"/>
      <c r="O908" s="374"/>
      <c r="P908" s="374"/>
      <c r="Q908" s="374"/>
      <c r="R908" s="374"/>
      <c r="S908" s="374"/>
      <c r="T908" s="374"/>
      <c r="U908" s="8"/>
      <c r="V908" s="8"/>
      <c r="W908" s="9"/>
      <c r="X908" s="9"/>
      <c r="Y908" s="378" t="s">
        <v>2</v>
      </c>
      <c r="Z908" s="378"/>
      <c r="AA908" s="378"/>
      <c r="AB908" s="1"/>
    </row>
    <row r="909" spans="1:34" x14ac:dyDescent="0.2">
      <c r="A909" s="382"/>
      <c r="B909" s="379"/>
      <c r="C909" s="379"/>
      <c r="D909" s="379"/>
      <c r="E909" s="379"/>
      <c r="F909" s="379"/>
      <c r="G909" s="375"/>
      <c r="H909" s="375"/>
      <c r="I909" s="375"/>
      <c r="J909" s="375"/>
      <c r="K909" s="375"/>
      <c r="L909" s="375"/>
      <c r="M909" s="375"/>
      <c r="N909" s="375"/>
      <c r="O909" s="375"/>
      <c r="P909" s="375"/>
      <c r="Q909" s="375"/>
      <c r="R909" s="375"/>
      <c r="S909" s="375"/>
      <c r="T909" s="375"/>
      <c r="U909" s="6"/>
      <c r="V909" s="6"/>
      <c r="W909" s="10"/>
      <c r="X909" s="14">
        <f>X849+1</f>
        <v>17</v>
      </c>
      <c r="Y909" s="379"/>
      <c r="Z909" s="379"/>
      <c r="AA909" s="379"/>
      <c r="AB909" s="4"/>
    </row>
    <row r="910" spans="1:34" x14ac:dyDescent="0.2">
      <c r="A910" s="380" t="s">
        <v>3</v>
      </c>
      <c r="B910" s="381"/>
      <c r="C910" s="381"/>
      <c r="D910" s="381"/>
      <c r="E910" s="381"/>
      <c r="F910" s="381"/>
      <c r="G910" s="383" t="s">
        <v>5</v>
      </c>
      <c r="H910" s="383"/>
      <c r="I910" s="383"/>
      <c r="J910" s="383"/>
      <c r="K910" s="383"/>
      <c r="L910" s="383"/>
      <c r="M910" s="383"/>
      <c r="N910" s="383"/>
      <c r="O910" s="383"/>
      <c r="P910" s="383"/>
      <c r="Q910" s="383"/>
      <c r="R910" s="383"/>
      <c r="S910" s="383"/>
      <c r="T910" s="383"/>
      <c r="U910" s="5"/>
      <c r="V910" s="5"/>
      <c r="W910" s="2"/>
      <c r="X910" s="384" t="s">
        <v>4</v>
      </c>
      <c r="Y910" s="384"/>
      <c r="Z910" s="384"/>
      <c r="AA910" s="384"/>
      <c r="AB910" s="385"/>
    </row>
    <row r="911" spans="1:34" x14ac:dyDescent="0.2">
      <c r="A911" s="382"/>
      <c r="B911" s="379"/>
      <c r="C911" s="379"/>
      <c r="D911" s="379"/>
      <c r="E911" s="379"/>
      <c r="F911" s="379"/>
      <c r="G911" s="388" t="s">
        <v>250</v>
      </c>
      <c r="H911" s="388"/>
      <c r="I911" s="388"/>
      <c r="J911" s="388"/>
      <c r="K911" s="388"/>
      <c r="L911" s="388"/>
      <c r="M911" s="388"/>
      <c r="N911" s="388"/>
      <c r="O911" s="388"/>
      <c r="P911" s="388"/>
      <c r="Q911" s="388"/>
      <c r="R911" s="388"/>
      <c r="S911" s="388"/>
      <c r="T911" s="388"/>
      <c r="U911" s="7"/>
      <c r="V911" s="7"/>
      <c r="W911" s="3"/>
      <c r="X911" s="386"/>
      <c r="Y911" s="386"/>
      <c r="Z911" s="386"/>
      <c r="AA911" s="386"/>
      <c r="AB911" s="387"/>
    </row>
    <row r="913" spans="2:10" x14ac:dyDescent="0.2">
      <c r="B913" s="492" t="s">
        <v>250</v>
      </c>
      <c r="C913" s="492"/>
      <c r="D913" s="492"/>
      <c r="E913" s="492"/>
      <c r="F913" s="492"/>
      <c r="G913" s="492"/>
      <c r="H913" s="492"/>
      <c r="I913" s="492"/>
      <c r="J913" s="492"/>
    </row>
    <row r="914" spans="2:10" x14ac:dyDescent="0.2">
      <c r="B914" s="492"/>
      <c r="C914" s="492"/>
      <c r="D914" s="492"/>
      <c r="E914" s="492"/>
      <c r="F914" s="492"/>
      <c r="G914" s="492"/>
      <c r="H914" s="492"/>
      <c r="I914" s="492"/>
      <c r="J914" s="492"/>
    </row>
    <row r="915" spans="2:10" x14ac:dyDescent="0.2">
      <c r="B915" s="485" t="s">
        <v>265</v>
      </c>
      <c r="C915" s="485"/>
      <c r="D915" s="485"/>
      <c r="E915" s="485"/>
      <c r="F915" s="485"/>
      <c r="G915" s="485"/>
      <c r="H915" s="485"/>
      <c r="I915" s="485"/>
      <c r="J915" s="485"/>
    </row>
    <row r="916" spans="2:10" ht="12.75" customHeight="1" x14ac:dyDescent="0.2">
      <c r="B916" s="485"/>
      <c r="C916" s="485"/>
      <c r="D916" s="485"/>
      <c r="E916" s="485"/>
      <c r="F916" s="485"/>
      <c r="G916" s="485"/>
      <c r="H916" s="485"/>
      <c r="I916" s="485"/>
      <c r="J916" s="485"/>
    </row>
    <row r="934" spans="2:10" x14ac:dyDescent="0.2">
      <c r="B934" t="s">
        <v>266</v>
      </c>
    </row>
    <row r="935" spans="2:10" x14ac:dyDescent="0.2">
      <c r="B935" t="s">
        <v>267</v>
      </c>
    </row>
    <row r="936" spans="2:10" ht="6" customHeight="1" x14ac:dyDescent="0.2"/>
    <row r="937" spans="2:10" x14ac:dyDescent="0.2">
      <c r="D937" t="s">
        <v>268</v>
      </c>
    </row>
    <row r="939" spans="2:10" x14ac:dyDescent="0.2">
      <c r="D939" t="s">
        <v>269</v>
      </c>
    </row>
    <row r="940" spans="2:10" x14ac:dyDescent="0.2">
      <c r="D940" t="s">
        <v>270</v>
      </c>
    </row>
    <row r="941" spans="2:10" ht="6" customHeight="1" x14ac:dyDescent="0.2"/>
    <row r="942" spans="2:10" x14ac:dyDescent="0.2">
      <c r="B942" s="495" t="s">
        <v>271</v>
      </c>
      <c r="C942" s="495"/>
      <c r="D942" s="495"/>
      <c r="E942" s="495"/>
      <c r="F942" s="495"/>
      <c r="G942" s="495"/>
      <c r="H942" s="495"/>
      <c r="I942" s="495"/>
      <c r="J942" s="495"/>
    </row>
    <row r="943" spans="2:10" x14ac:dyDescent="0.2">
      <c r="B943" s="495"/>
      <c r="C943" s="495"/>
      <c r="D943" s="495"/>
      <c r="E943" s="495"/>
      <c r="F943" s="495"/>
      <c r="G943" s="495"/>
      <c r="H943" s="495"/>
      <c r="I943" s="495"/>
      <c r="J943" s="495"/>
    </row>
    <row r="961" spans="1:34" x14ac:dyDescent="0.2">
      <c r="B961" t="s">
        <v>272</v>
      </c>
    </row>
    <row r="962" spans="1:34" x14ac:dyDescent="0.2">
      <c r="B962" t="s">
        <v>273</v>
      </c>
    </row>
    <row r="964" spans="1:34" ht="18" x14ac:dyDescent="0.25">
      <c r="B964" s="117" t="s">
        <v>293</v>
      </c>
    </row>
    <row r="968" spans="1:34" x14ac:dyDescent="0.2">
      <c r="A968" s="423" t="s">
        <v>0</v>
      </c>
      <c r="B968" s="378"/>
      <c r="C968" s="378"/>
      <c r="D968" s="378"/>
      <c r="E968" s="378"/>
      <c r="F968" s="378"/>
      <c r="G968" s="374" t="s">
        <v>1</v>
      </c>
      <c r="H968" s="374"/>
      <c r="I968" s="374"/>
      <c r="J968" s="374"/>
      <c r="K968" s="374"/>
      <c r="L968" s="374"/>
      <c r="M968" s="374"/>
      <c r="N968" s="374"/>
      <c r="O968" s="374"/>
      <c r="P968" s="374"/>
      <c r="Q968" s="374"/>
      <c r="R968" s="374"/>
      <c r="S968" s="374"/>
      <c r="T968" s="374"/>
      <c r="U968" s="8"/>
      <c r="V968" s="8"/>
      <c r="W968" s="9"/>
      <c r="X968" s="9"/>
      <c r="Y968" s="378" t="s">
        <v>2</v>
      </c>
      <c r="Z968" s="378"/>
      <c r="AA968" s="378"/>
      <c r="AB968" s="1"/>
      <c r="AD968" s="294" t="s">
        <v>690</v>
      </c>
      <c r="AE968" s="294"/>
      <c r="AF968" s="294"/>
      <c r="AG968" s="294"/>
      <c r="AH968" s="294"/>
    </row>
    <row r="969" spans="1:34" x14ac:dyDescent="0.2">
      <c r="A969" s="382"/>
      <c r="B969" s="379"/>
      <c r="C969" s="379"/>
      <c r="D969" s="379"/>
      <c r="E969" s="379"/>
      <c r="F969" s="379"/>
      <c r="G969" s="375"/>
      <c r="H969" s="375"/>
      <c r="I969" s="375"/>
      <c r="J969" s="375"/>
      <c r="K969" s="375"/>
      <c r="L969" s="375"/>
      <c r="M969" s="375"/>
      <c r="N969" s="375"/>
      <c r="O969" s="375"/>
      <c r="P969" s="375"/>
      <c r="Q969" s="375"/>
      <c r="R969" s="375"/>
      <c r="S969" s="375"/>
      <c r="T969" s="375"/>
      <c r="U969" s="6"/>
      <c r="V969" s="6"/>
      <c r="W969" s="10"/>
      <c r="X969" s="14">
        <f>X909+1</f>
        <v>18</v>
      </c>
      <c r="Y969" s="379"/>
      <c r="Z969" s="379"/>
      <c r="AA969" s="379"/>
      <c r="AB969" s="4"/>
    </row>
    <row r="970" spans="1:34" x14ac:dyDescent="0.2">
      <c r="A970" s="380" t="s">
        <v>3</v>
      </c>
      <c r="B970" s="381"/>
      <c r="C970" s="381"/>
      <c r="D970" s="381"/>
      <c r="E970" s="381"/>
      <c r="F970" s="381"/>
      <c r="G970" s="383" t="s">
        <v>5</v>
      </c>
      <c r="H970" s="383"/>
      <c r="I970" s="383"/>
      <c r="J970" s="383"/>
      <c r="K970" s="383"/>
      <c r="L970" s="383"/>
      <c r="M970" s="383"/>
      <c r="N970" s="383"/>
      <c r="O970" s="383"/>
      <c r="P970" s="383"/>
      <c r="Q970" s="383"/>
      <c r="R970" s="383"/>
      <c r="S970" s="383"/>
      <c r="T970" s="383"/>
      <c r="U970" s="5"/>
      <c r="V970" s="5"/>
      <c r="W970" s="2"/>
      <c r="X970" s="384" t="s">
        <v>4</v>
      </c>
      <c r="Y970" s="384"/>
      <c r="Z970" s="384"/>
      <c r="AA970" s="384"/>
      <c r="AB970" s="385"/>
    </row>
    <row r="971" spans="1:34" x14ac:dyDescent="0.2">
      <c r="A971" s="382"/>
      <c r="B971" s="379"/>
      <c r="C971" s="379"/>
      <c r="D971" s="379"/>
      <c r="E971" s="379"/>
      <c r="F971" s="379"/>
      <c r="G971" s="388" t="s">
        <v>250</v>
      </c>
      <c r="H971" s="388"/>
      <c r="I971" s="388"/>
      <c r="J971" s="388"/>
      <c r="K971" s="388"/>
      <c r="L971" s="388"/>
      <c r="M971" s="388"/>
      <c r="N971" s="388"/>
      <c r="O971" s="388"/>
      <c r="P971" s="388"/>
      <c r="Q971" s="388"/>
      <c r="R971" s="388"/>
      <c r="S971" s="388"/>
      <c r="T971" s="388"/>
      <c r="U971" s="7"/>
      <c r="V971" s="7"/>
      <c r="W971" s="3"/>
      <c r="X971" s="386"/>
      <c r="Y971" s="386"/>
      <c r="Z971" s="386"/>
      <c r="AA971" s="386"/>
      <c r="AB971" s="387"/>
    </row>
    <row r="972" spans="1:34" ht="18" x14ac:dyDescent="0.2">
      <c r="A972" s="57"/>
      <c r="B972" s="398" t="s">
        <v>292</v>
      </c>
      <c r="C972" s="398"/>
      <c r="D972" s="398"/>
      <c r="E972" s="398"/>
      <c r="F972" s="398"/>
      <c r="G972" s="398"/>
      <c r="H972" s="398"/>
      <c r="I972" s="398"/>
      <c r="J972" s="398"/>
      <c r="K972" s="398"/>
      <c r="L972" s="398"/>
      <c r="M972" s="398"/>
      <c r="N972" s="5"/>
      <c r="O972" s="5"/>
      <c r="P972" s="5"/>
      <c r="Q972" s="5"/>
      <c r="R972" s="5"/>
      <c r="S972" s="5"/>
      <c r="T972" s="5"/>
      <c r="U972" s="5"/>
      <c r="V972" s="5"/>
      <c r="W972" s="2"/>
      <c r="X972" s="6"/>
      <c r="Y972" s="6"/>
      <c r="Z972" s="6"/>
      <c r="AA972" s="6"/>
      <c r="AB972" s="6"/>
    </row>
    <row r="973" spans="1:34" x14ac:dyDescent="0.2">
      <c r="B973" s="436"/>
      <c r="C973" s="436"/>
      <c r="D973" s="436"/>
      <c r="E973" s="436"/>
      <c r="F973" s="436"/>
      <c r="G973" s="436"/>
      <c r="H973" s="436"/>
      <c r="I973" s="436"/>
      <c r="J973" s="436"/>
      <c r="K973" s="436"/>
      <c r="L973" s="436"/>
      <c r="M973" s="436"/>
    </row>
    <row r="996" spans="2:27" ht="15.75" x14ac:dyDescent="0.25">
      <c r="B996" s="33" t="s">
        <v>279</v>
      </c>
    </row>
    <row r="997" spans="2:27" ht="6" customHeight="1" x14ac:dyDescent="0.2"/>
    <row r="998" spans="2:27" x14ac:dyDescent="0.2">
      <c r="B998" t="s">
        <v>280</v>
      </c>
      <c r="G998" t="s">
        <v>281</v>
      </c>
    </row>
    <row r="999" spans="2:27" x14ac:dyDescent="0.2">
      <c r="B999" t="s">
        <v>282</v>
      </c>
      <c r="G999" t="s">
        <v>283</v>
      </c>
    </row>
    <row r="1001" spans="2:27" x14ac:dyDescent="0.2">
      <c r="B1001" s="107" t="str">
        <f>B996</f>
        <v>Minimal afstand fra fundament til rende</v>
      </c>
      <c r="C1001" s="84"/>
      <c r="D1001" s="94"/>
      <c r="E1001" s="94"/>
      <c r="F1001" s="94"/>
      <c r="G1001" s="85"/>
      <c r="H1001" s="85"/>
      <c r="I1001" s="85"/>
      <c r="J1001" s="85"/>
      <c r="K1001" s="85"/>
      <c r="L1001" s="85"/>
      <c r="M1001" s="85"/>
      <c r="N1001" s="85"/>
      <c r="O1001" s="85"/>
      <c r="P1001" s="85"/>
      <c r="Q1001" s="85"/>
      <c r="R1001" s="85"/>
      <c r="S1001" s="85"/>
      <c r="T1001" s="85"/>
      <c r="U1001" s="85"/>
      <c r="V1001" s="85" t="s">
        <v>54</v>
      </c>
      <c r="W1001" s="85"/>
      <c r="X1001" s="85"/>
      <c r="Y1001" s="85"/>
      <c r="Z1001" s="85"/>
      <c r="AA1001" s="88">
        <v>2</v>
      </c>
    </row>
    <row r="1002" spans="2:27" x14ac:dyDescent="0.2">
      <c r="B1002" s="471" t="s">
        <v>274</v>
      </c>
      <c r="C1002" s="472"/>
      <c r="D1002" s="473">
        <f>2.1-0.5</f>
        <v>1.6</v>
      </c>
      <c r="E1002" s="473"/>
      <c r="F1002" s="473"/>
      <c r="G1002" s="35"/>
      <c r="H1002" s="35" t="s">
        <v>275</v>
      </c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6"/>
    </row>
    <row r="1003" spans="2:27" x14ac:dyDescent="0.2">
      <c r="B1003" s="115"/>
      <c r="C1003" s="116" t="s">
        <v>9</v>
      </c>
      <c r="D1003" s="447">
        <v>1.8</v>
      </c>
      <c r="E1003" s="447"/>
      <c r="F1003" s="447"/>
      <c r="G1003" s="2"/>
      <c r="H1003" s="2" t="s">
        <v>276</v>
      </c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40"/>
    </row>
    <row r="1004" spans="2:27" x14ac:dyDescent="0.2">
      <c r="B1004" s="115"/>
      <c r="C1004" s="116"/>
      <c r="D1004" s="62"/>
      <c r="E1004" s="62"/>
      <c r="F1004" s="6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40"/>
    </row>
    <row r="1005" spans="2:27" x14ac:dyDescent="0.2">
      <c r="B1005" s="115"/>
      <c r="C1005" s="114" t="s">
        <v>278</v>
      </c>
      <c r="D1005" s="62"/>
      <c r="E1005" s="62"/>
      <c r="F1005" s="62"/>
      <c r="G1005" s="2"/>
      <c r="H1005" s="2"/>
      <c r="I1005" s="307">
        <f>D1002-D1003</f>
        <v>-0.19999999999999996</v>
      </c>
      <c r="J1005" s="307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40"/>
    </row>
    <row r="1006" spans="2:27" ht="6" customHeight="1" x14ac:dyDescent="0.2">
      <c r="B1006" s="115"/>
      <c r="C1006" s="116"/>
      <c r="D1006" s="62"/>
      <c r="E1006" s="62"/>
      <c r="F1006" s="6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40"/>
    </row>
    <row r="1007" spans="2:27" x14ac:dyDescent="0.2">
      <c r="B1007" s="115"/>
      <c r="C1007" s="114" t="s">
        <v>277</v>
      </c>
      <c r="D1007" s="62"/>
      <c r="E1007" s="62"/>
      <c r="F1007" s="62"/>
      <c r="G1007" s="2"/>
      <c r="H1007" s="2" t="str">
        <f>IF(D1003&lt;=2/3,"3 ∙ "&amp;D1003&amp;" = "&amp;ROUND(3*D1003,AA1001),"2,0 + ("&amp;D1003&amp;" - 0,67)1,5 = "&amp;ROUND(2+(D1003-0.67)*1.5,AA1001))</f>
        <v>2,0 + (1,8 - 0,67)1,5 = 3,7</v>
      </c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40"/>
    </row>
    <row r="1008" spans="2:27" x14ac:dyDescent="0.2">
      <c r="B1008" s="39"/>
      <c r="C1008" s="61"/>
      <c r="D1008" s="62"/>
      <c r="E1008" s="62"/>
      <c r="F1008" s="6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40"/>
    </row>
    <row r="1009" spans="2:27" x14ac:dyDescent="0.2">
      <c r="B1009" s="37"/>
      <c r="C1009" s="60" t="s">
        <v>302</v>
      </c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8"/>
    </row>
    <row r="1011" spans="2:27" ht="15.75" x14ac:dyDescent="0.25">
      <c r="B1011" s="33" t="s">
        <v>284</v>
      </c>
    </row>
    <row r="1012" spans="2:27" ht="6" customHeight="1" x14ac:dyDescent="0.2"/>
    <row r="1013" spans="2:27" x14ac:dyDescent="0.2">
      <c r="B1013" s="476" t="s">
        <v>285</v>
      </c>
      <c r="C1013" s="476"/>
      <c r="D1013" s="476"/>
      <c r="E1013" s="476"/>
      <c r="F1013" s="479" t="s">
        <v>286</v>
      </c>
      <c r="G1013" s="479"/>
      <c r="H1013" s="418" t="s">
        <v>10</v>
      </c>
      <c r="I1013" s="418"/>
      <c r="L1013" s="56"/>
    </row>
    <row r="1014" spans="2:27" x14ac:dyDescent="0.2">
      <c r="B1014" s="476"/>
      <c r="C1014" s="476"/>
      <c r="D1014" s="476"/>
      <c r="E1014" s="476"/>
      <c r="F1014" s="479"/>
      <c r="G1014" s="479"/>
      <c r="H1014" s="467">
        <v>3</v>
      </c>
      <c r="I1014" s="467"/>
      <c r="L1014" s="56"/>
    </row>
    <row r="1015" spans="2:27" x14ac:dyDescent="0.2">
      <c r="B1015" s="476" t="s">
        <v>287</v>
      </c>
      <c r="C1015" s="476"/>
      <c r="D1015" s="476"/>
      <c r="E1015" s="476"/>
      <c r="F1015" s="479" t="s">
        <v>286</v>
      </c>
      <c r="G1015" s="479"/>
      <c r="H1015" s="418" t="s">
        <v>288</v>
      </c>
      <c r="I1015" s="418"/>
      <c r="J1015" s="418"/>
      <c r="K1015" s="494" t="s">
        <v>291</v>
      </c>
      <c r="L1015" s="476"/>
    </row>
    <row r="1016" spans="2:27" x14ac:dyDescent="0.2">
      <c r="B1016" s="476"/>
      <c r="C1016" s="476"/>
      <c r="D1016" s="476"/>
      <c r="E1016" s="476"/>
      <c r="F1016" s="479"/>
      <c r="G1016" s="479"/>
      <c r="H1016" s="307">
        <v>1.5</v>
      </c>
      <c r="I1016" s="307"/>
      <c r="J1016" s="307"/>
      <c r="K1016" s="476"/>
      <c r="L1016" s="476"/>
    </row>
    <row r="1018" spans="2:27" x14ac:dyDescent="0.2">
      <c r="B1018" s="107" t="str">
        <f>B1011</f>
        <v>Maksimal dybde af udgravning</v>
      </c>
      <c r="C1018" s="84"/>
      <c r="D1018" s="94"/>
      <c r="E1018" s="94"/>
      <c r="F1018" s="94"/>
      <c r="G1018" s="85"/>
      <c r="H1018" s="85"/>
      <c r="I1018" s="85"/>
      <c r="J1018" s="85"/>
      <c r="K1018" s="85"/>
      <c r="L1018" s="85"/>
      <c r="M1018" s="85"/>
      <c r="N1018" s="85"/>
      <c r="O1018" s="85"/>
      <c r="P1018" s="85"/>
      <c r="Q1018" s="85"/>
      <c r="R1018" s="85"/>
      <c r="S1018" s="85"/>
      <c r="T1018" s="85"/>
      <c r="U1018" s="85"/>
      <c r="V1018" s="85" t="s">
        <v>54</v>
      </c>
      <c r="W1018" s="85"/>
      <c r="X1018" s="85"/>
      <c r="Y1018" s="85"/>
      <c r="Z1018" s="85"/>
      <c r="AA1018" s="88">
        <v>2</v>
      </c>
    </row>
    <row r="1019" spans="2:27" x14ac:dyDescent="0.2">
      <c r="B1019" s="471" t="s">
        <v>274</v>
      </c>
      <c r="C1019" s="472"/>
      <c r="D1019" s="473">
        <v>1.6</v>
      </c>
      <c r="E1019" s="473"/>
      <c r="F1019" s="473"/>
      <c r="G1019" s="35"/>
      <c r="H1019" s="35" t="s">
        <v>275</v>
      </c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6"/>
    </row>
    <row r="1020" spans="2:27" x14ac:dyDescent="0.2">
      <c r="B1020" s="115"/>
      <c r="C1020" s="116" t="s">
        <v>10</v>
      </c>
      <c r="D1020" s="447">
        <v>2.4500000000000002</v>
      </c>
      <c r="E1020" s="447"/>
      <c r="F1020" s="447"/>
      <c r="G1020" s="2"/>
      <c r="H1020" s="2" t="s">
        <v>316</v>
      </c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40"/>
    </row>
    <row r="1021" spans="2:27" x14ac:dyDescent="0.2">
      <c r="B1021" s="115"/>
      <c r="C1021" s="116"/>
      <c r="D1021" s="62"/>
      <c r="E1021" s="62"/>
      <c r="F1021" s="6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40"/>
    </row>
    <row r="1022" spans="2:27" x14ac:dyDescent="0.2">
      <c r="B1022" s="115"/>
      <c r="C1022" s="114" t="s">
        <v>294</v>
      </c>
      <c r="D1022" s="62"/>
      <c r="E1022" s="62"/>
      <c r="F1022" s="62"/>
      <c r="G1022" s="2"/>
      <c r="H1022" s="2"/>
      <c r="J1022" s="484">
        <f>IF(D1020&lt;=2,ROUND(D1019-D1020/3,AA1018),ROUND(D1019-(0.67+(D1020-2)/1.5),AA1018))</f>
        <v>0.63</v>
      </c>
      <c r="K1022" s="484"/>
      <c r="L1022" s="484"/>
      <c r="M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40"/>
    </row>
    <row r="1023" spans="2:27" ht="6" customHeight="1" x14ac:dyDescent="0.2">
      <c r="B1023" s="115"/>
      <c r="C1023" s="116"/>
      <c r="D1023" s="62"/>
      <c r="E1023" s="62"/>
      <c r="F1023" s="62"/>
      <c r="G1023" s="2"/>
      <c r="H1023" s="2"/>
      <c r="I1023" s="2"/>
      <c r="J1023" s="2"/>
      <c r="K1023" s="2"/>
      <c r="L1023" s="2"/>
      <c r="M1023" s="2"/>
      <c r="N1023" s="2"/>
      <c r="O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40"/>
    </row>
    <row r="1024" spans="2:27" x14ac:dyDescent="0.2">
      <c r="B1024" s="115"/>
      <c r="C1024" s="478" t="s">
        <v>289</v>
      </c>
      <c r="D1024" s="478"/>
      <c r="E1024" s="478"/>
      <c r="F1024" s="478"/>
      <c r="G1024" s="478"/>
      <c r="H1024" s="479" t="s">
        <v>290</v>
      </c>
      <c r="I1024" s="479"/>
      <c r="J1024" s="480" t="str">
        <f>IF($D$1020&lt;=2,D1020,D1020&amp;" - 2")</f>
        <v>2,45 - 2</v>
      </c>
      <c r="K1024" s="480"/>
      <c r="L1024" s="421" t="str">
        <f>IF($D$1020&lt;=2," =","+")</f>
        <v>+</v>
      </c>
      <c r="M1024" s="476" t="str">
        <f>IF($D$1020&lt;=2,ROUND(D1020/3,AA1018),"0,67 = "&amp;ROUND(2/3+(D1020-2)/1.5,AA1018))</f>
        <v>0,67 = 0,97</v>
      </c>
      <c r="N1024" s="476"/>
      <c r="O1024" s="476"/>
      <c r="P1024" s="476"/>
      <c r="Q1024" s="476"/>
      <c r="R1024" s="56"/>
      <c r="T1024" s="2"/>
      <c r="X1024" s="2"/>
      <c r="Y1024" s="2"/>
      <c r="Z1024" s="2"/>
      <c r="AA1024" s="40"/>
    </row>
    <row r="1025" spans="1:28" x14ac:dyDescent="0.2">
      <c r="B1025" s="39"/>
      <c r="C1025" s="478"/>
      <c r="D1025" s="478"/>
      <c r="E1025" s="478"/>
      <c r="F1025" s="478"/>
      <c r="G1025" s="478"/>
      <c r="H1025" s="479"/>
      <c r="I1025" s="479"/>
      <c r="J1025" s="477">
        <f>IF($D$1020&lt;=2,3,1.5)</f>
        <v>1.5</v>
      </c>
      <c r="K1025" s="477"/>
      <c r="L1025" s="421"/>
      <c r="M1025" s="476"/>
      <c r="N1025" s="476"/>
      <c r="O1025" s="476"/>
      <c r="P1025" s="476"/>
      <c r="Q1025" s="476"/>
      <c r="R1025" s="56"/>
      <c r="T1025" s="2"/>
      <c r="X1025" s="2"/>
      <c r="Y1025" s="2"/>
      <c r="Z1025" s="2"/>
      <c r="AA1025" s="40"/>
    </row>
    <row r="1026" spans="1:28" x14ac:dyDescent="0.2">
      <c r="B1026" s="37"/>
      <c r="C1026" s="60" t="s">
        <v>303</v>
      </c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8"/>
    </row>
    <row r="1028" spans="1:28" x14ac:dyDescent="0.2">
      <c r="A1028" s="423" t="s">
        <v>0</v>
      </c>
      <c r="B1028" s="378"/>
      <c r="C1028" s="378"/>
      <c r="D1028" s="378"/>
      <c r="E1028" s="378"/>
      <c r="F1028" s="378"/>
      <c r="G1028" s="374" t="s">
        <v>1</v>
      </c>
      <c r="H1028" s="374"/>
      <c r="I1028" s="374"/>
      <c r="J1028" s="374"/>
      <c r="K1028" s="374"/>
      <c r="L1028" s="374"/>
      <c r="M1028" s="374"/>
      <c r="N1028" s="374"/>
      <c r="O1028" s="374"/>
      <c r="P1028" s="374"/>
      <c r="Q1028" s="374"/>
      <c r="R1028" s="374"/>
      <c r="S1028" s="374"/>
      <c r="T1028" s="374"/>
      <c r="U1028" s="8"/>
      <c r="V1028" s="8"/>
      <c r="W1028" s="9"/>
      <c r="X1028" s="9"/>
      <c r="Y1028" s="378" t="s">
        <v>2</v>
      </c>
      <c r="Z1028" s="378"/>
      <c r="AA1028" s="378"/>
      <c r="AB1028" s="1"/>
    </row>
    <row r="1029" spans="1:28" x14ac:dyDescent="0.2">
      <c r="A1029" s="382"/>
      <c r="B1029" s="379"/>
      <c r="C1029" s="379"/>
      <c r="D1029" s="379"/>
      <c r="E1029" s="379"/>
      <c r="F1029" s="379"/>
      <c r="G1029" s="375"/>
      <c r="H1029" s="375"/>
      <c r="I1029" s="375"/>
      <c r="J1029" s="375"/>
      <c r="K1029" s="375"/>
      <c r="L1029" s="375"/>
      <c r="M1029" s="375"/>
      <c r="N1029" s="375"/>
      <c r="O1029" s="375"/>
      <c r="P1029" s="375"/>
      <c r="Q1029" s="375"/>
      <c r="R1029" s="375"/>
      <c r="S1029" s="375"/>
      <c r="T1029" s="375"/>
      <c r="U1029" s="6"/>
      <c r="V1029" s="6"/>
      <c r="W1029" s="10"/>
      <c r="X1029" s="14">
        <f>X969+1</f>
        <v>19</v>
      </c>
      <c r="Y1029" s="379"/>
      <c r="Z1029" s="379"/>
      <c r="AA1029" s="379"/>
      <c r="AB1029" s="4"/>
    </row>
    <row r="1030" spans="1:28" x14ac:dyDescent="0.2">
      <c r="A1030" s="380" t="s">
        <v>3</v>
      </c>
      <c r="B1030" s="381"/>
      <c r="C1030" s="381"/>
      <c r="D1030" s="381"/>
      <c r="E1030" s="381"/>
      <c r="F1030" s="381"/>
      <c r="G1030" s="383" t="s">
        <v>5</v>
      </c>
      <c r="H1030" s="383"/>
      <c r="I1030" s="383"/>
      <c r="J1030" s="383"/>
      <c r="K1030" s="383"/>
      <c r="L1030" s="383"/>
      <c r="M1030" s="383"/>
      <c r="N1030" s="383"/>
      <c r="O1030" s="383"/>
      <c r="P1030" s="383"/>
      <c r="Q1030" s="383"/>
      <c r="R1030" s="383"/>
      <c r="S1030" s="383"/>
      <c r="T1030" s="383"/>
      <c r="U1030" s="5"/>
      <c r="V1030" s="5"/>
      <c r="W1030" s="2"/>
      <c r="X1030" s="384" t="s">
        <v>4</v>
      </c>
      <c r="Y1030" s="384"/>
      <c r="Z1030" s="384"/>
      <c r="AA1030" s="384"/>
      <c r="AB1030" s="385"/>
    </row>
    <row r="1031" spans="1:28" x14ac:dyDescent="0.2">
      <c r="A1031" s="382"/>
      <c r="B1031" s="379"/>
      <c r="C1031" s="379"/>
      <c r="D1031" s="379"/>
      <c r="E1031" s="379"/>
      <c r="F1031" s="379"/>
      <c r="G1031" s="388" t="s">
        <v>250</v>
      </c>
      <c r="H1031" s="388"/>
      <c r="I1031" s="388"/>
      <c r="J1031" s="388"/>
      <c r="K1031" s="388"/>
      <c r="L1031" s="388"/>
      <c r="M1031" s="388"/>
      <c r="N1031" s="388"/>
      <c r="O1031" s="388"/>
      <c r="P1031" s="388"/>
      <c r="Q1031" s="388"/>
      <c r="R1031" s="388"/>
      <c r="S1031" s="388"/>
      <c r="T1031" s="388"/>
      <c r="U1031" s="7"/>
      <c r="V1031" s="7"/>
      <c r="W1031" s="3"/>
      <c r="X1031" s="386"/>
      <c r="Y1031" s="386"/>
      <c r="Z1031" s="386"/>
      <c r="AA1031" s="386"/>
      <c r="AB1031" s="387"/>
    </row>
    <row r="1032" spans="1:28" x14ac:dyDescent="0.2">
      <c r="B1032" s="398" t="s">
        <v>296</v>
      </c>
      <c r="C1032" s="398"/>
      <c r="D1032" s="398"/>
      <c r="E1032" s="398"/>
      <c r="F1032" s="398"/>
      <c r="G1032" s="398"/>
      <c r="H1032" s="398"/>
      <c r="I1032" s="398"/>
      <c r="J1032" s="398"/>
      <c r="K1032" s="398"/>
      <c r="L1032" s="398"/>
      <c r="M1032" s="398"/>
    </row>
    <row r="1033" spans="1:28" x14ac:dyDescent="0.2">
      <c r="B1033" s="436"/>
      <c r="C1033" s="436"/>
      <c r="D1033" s="436"/>
      <c r="E1033" s="436"/>
      <c r="F1033" s="436"/>
      <c r="G1033" s="436"/>
      <c r="H1033" s="436"/>
      <c r="I1033" s="436"/>
      <c r="J1033" s="436"/>
      <c r="K1033" s="436"/>
      <c r="L1033" s="436"/>
      <c r="M1033" s="436"/>
    </row>
    <row r="1036" spans="1:28" x14ac:dyDescent="0.2">
      <c r="B1036" s="120"/>
      <c r="C1036" s="121"/>
    </row>
    <row r="1037" spans="1:28" x14ac:dyDescent="0.2">
      <c r="B1037" s="120"/>
      <c r="C1037" s="121"/>
    </row>
    <row r="1038" spans="1:28" x14ac:dyDescent="0.2">
      <c r="B1038" s="120"/>
      <c r="C1038" s="121"/>
    </row>
    <row r="1039" spans="1:28" x14ac:dyDescent="0.2">
      <c r="B1039" s="120"/>
      <c r="C1039" s="121"/>
    </row>
    <row r="1040" spans="1:28" x14ac:dyDescent="0.2">
      <c r="B1040" s="120"/>
      <c r="C1040" s="121"/>
    </row>
    <row r="1041" spans="1:16" x14ac:dyDescent="0.2">
      <c r="B1041" s="120"/>
      <c r="C1041" s="121"/>
    </row>
    <row r="1042" spans="1:16" x14ac:dyDescent="0.2">
      <c r="B1042" s="120"/>
      <c r="C1042" s="121"/>
    </row>
    <row r="1043" spans="1:16" x14ac:dyDescent="0.2">
      <c r="B1043" s="120"/>
      <c r="C1043" s="121"/>
    </row>
    <row r="1044" spans="1:16" x14ac:dyDescent="0.2">
      <c r="B1044" s="120"/>
      <c r="C1044" s="121"/>
      <c r="D1044" s="118"/>
      <c r="E1044" s="119"/>
      <c r="F1044" s="481" t="s">
        <v>10</v>
      </c>
      <c r="G1044" s="481"/>
      <c r="H1044" s="119"/>
      <c r="I1044" s="119"/>
    </row>
    <row r="1045" spans="1:16" x14ac:dyDescent="0.2">
      <c r="B1045" s="120"/>
      <c r="C1045" s="121"/>
    </row>
    <row r="1047" spans="1:16" x14ac:dyDescent="0.2">
      <c r="C1047" t="s">
        <v>297</v>
      </c>
    </row>
    <row r="1048" spans="1:16" x14ac:dyDescent="0.2">
      <c r="C1048" t="s">
        <v>298</v>
      </c>
    </row>
    <row r="1051" spans="1:16" x14ac:dyDescent="0.2">
      <c r="B1051" s="120"/>
      <c r="C1051" s="121"/>
    </row>
    <row r="1052" spans="1:16" x14ac:dyDescent="0.2">
      <c r="B1052" s="120"/>
      <c r="C1052" s="121"/>
    </row>
    <row r="1053" spans="1:16" x14ac:dyDescent="0.2">
      <c r="B1053" s="120"/>
      <c r="C1053" s="121"/>
      <c r="L1053" s="128"/>
      <c r="M1053" s="39"/>
      <c r="N1053" s="2"/>
      <c r="O1053" s="40"/>
      <c r="P1053" s="130"/>
    </row>
    <row r="1054" spans="1:16" x14ac:dyDescent="0.2">
      <c r="B1054" s="120"/>
      <c r="C1054" s="121"/>
      <c r="L1054" s="128"/>
      <c r="M1054" s="39"/>
      <c r="N1054" s="2"/>
      <c r="O1054" s="40"/>
      <c r="P1054" s="130"/>
    </row>
    <row r="1055" spans="1:16" x14ac:dyDescent="0.2">
      <c r="A1055" s="122"/>
      <c r="B1055" s="127"/>
      <c r="C1055" s="127"/>
      <c r="D1055" s="123"/>
      <c r="L1055" s="128"/>
      <c r="M1055" s="39"/>
      <c r="N1055" s="2"/>
      <c r="O1055" s="40"/>
      <c r="P1055" s="130"/>
    </row>
    <row r="1056" spans="1:16" x14ac:dyDescent="0.2">
      <c r="A1056" s="124"/>
      <c r="B1056" s="125"/>
      <c r="C1056" s="125"/>
      <c r="D1056" s="126"/>
      <c r="L1056" s="128"/>
      <c r="M1056" s="482" t="s">
        <v>299</v>
      </c>
      <c r="N1056" s="307"/>
      <c r="O1056" s="483"/>
      <c r="P1056" s="130"/>
    </row>
    <row r="1057" spans="2:20" x14ac:dyDescent="0.2">
      <c r="C1057" t="s">
        <v>274</v>
      </c>
      <c r="H1057" s="132"/>
      <c r="L1057" s="128"/>
      <c r="M1057" s="39"/>
      <c r="N1057" s="2"/>
      <c r="O1057" s="40"/>
      <c r="P1057" s="130"/>
    </row>
    <row r="1058" spans="2:20" x14ac:dyDescent="0.2">
      <c r="H1058" s="132" t="s">
        <v>9</v>
      </c>
      <c r="L1058" s="128"/>
      <c r="M1058" s="39"/>
      <c r="N1058" s="2"/>
      <c r="O1058" s="40"/>
      <c r="P1058" s="130"/>
    </row>
    <row r="1059" spans="2:20" x14ac:dyDescent="0.2">
      <c r="H1059" s="132"/>
      <c r="L1059" s="129"/>
      <c r="M1059" s="37"/>
      <c r="N1059" s="3"/>
      <c r="O1059" s="38"/>
      <c r="P1059" s="131"/>
    </row>
    <row r="1060" spans="2:20" x14ac:dyDescent="0.2">
      <c r="E1060" s="133"/>
      <c r="F1060" s="133"/>
      <c r="G1060" s="133"/>
      <c r="H1060" s="133"/>
      <c r="I1060" s="133"/>
      <c r="J1060" s="133"/>
      <c r="K1060" s="133"/>
      <c r="S1060" s="2"/>
      <c r="T1060" s="2"/>
    </row>
    <row r="1061" spans="2:20" x14ac:dyDescent="0.2">
      <c r="E1061" s="119"/>
      <c r="F1061" s="119"/>
      <c r="G1061" s="481" t="s">
        <v>10</v>
      </c>
      <c r="H1061" s="481"/>
      <c r="I1061" s="119"/>
      <c r="J1061" s="119"/>
      <c r="K1061" s="119"/>
      <c r="S1061" s="2"/>
      <c r="T1061" s="2"/>
    </row>
    <row r="1063" spans="2:20" x14ac:dyDescent="0.2">
      <c r="C1063" t="s">
        <v>300</v>
      </c>
    </row>
    <row r="1064" spans="2:20" x14ac:dyDescent="0.2">
      <c r="C1064" t="s">
        <v>301</v>
      </c>
    </row>
    <row r="1065" spans="2:20" x14ac:dyDescent="0.2">
      <c r="C1065" t="s">
        <v>304</v>
      </c>
    </row>
    <row r="1066" spans="2:20" x14ac:dyDescent="0.2">
      <c r="C1066" t="s">
        <v>305</v>
      </c>
    </row>
    <row r="1068" spans="2:20" x14ac:dyDescent="0.2">
      <c r="B1068" s="120"/>
      <c r="C1068" s="121"/>
    </row>
    <row r="1069" spans="2:20" x14ac:dyDescent="0.2">
      <c r="B1069" s="134"/>
      <c r="C1069" s="135"/>
    </row>
    <row r="1070" spans="2:20" x14ac:dyDescent="0.2">
      <c r="B1070" s="134"/>
      <c r="C1070" s="135"/>
      <c r="G1070" t="s">
        <v>308</v>
      </c>
    </row>
    <row r="1071" spans="2:20" x14ac:dyDescent="0.2">
      <c r="B1071" s="134"/>
      <c r="C1071" s="135"/>
    </row>
    <row r="1072" spans="2:20" x14ac:dyDescent="0.2">
      <c r="B1072" s="134"/>
      <c r="C1072" s="135"/>
    </row>
    <row r="1073" spans="1:28" x14ac:dyDescent="0.2">
      <c r="B1073" s="134"/>
      <c r="C1073" s="135"/>
    </row>
    <row r="1074" spans="1:28" x14ac:dyDescent="0.2">
      <c r="B1074" s="134"/>
      <c r="C1074" s="135"/>
    </row>
    <row r="1075" spans="1:28" x14ac:dyDescent="0.2">
      <c r="B1075" s="134"/>
      <c r="C1075" s="135"/>
      <c r="D1075" s="118"/>
      <c r="E1075" s="119"/>
      <c r="F1075" s="481" t="s">
        <v>10</v>
      </c>
      <c r="G1075" s="481"/>
      <c r="H1075" s="119"/>
      <c r="I1075" s="119"/>
    </row>
    <row r="1076" spans="1:28" x14ac:dyDescent="0.2">
      <c r="B1076" s="134"/>
      <c r="C1076" s="135"/>
    </row>
    <row r="1077" spans="1:28" x14ac:dyDescent="0.2">
      <c r="B1077" s="134"/>
      <c r="C1077" s="135"/>
      <c r="D1077" s="39"/>
      <c r="E1077" s="2"/>
      <c r="F1077" s="2"/>
      <c r="G1077" s="2"/>
      <c r="H1077" s="2"/>
      <c r="I1077" s="2"/>
    </row>
    <row r="1078" spans="1:28" x14ac:dyDescent="0.2">
      <c r="B1078" s="134"/>
      <c r="C1078" s="135"/>
      <c r="D1078" s="39"/>
      <c r="E1078" s="2"/>
      <c r="F1078" s="307"/>
      <c r="G1078" s="307"/>
      <c r="H1078" s="2"/>
      <c r="I1078" s="2"/>
    </row>
    <row r="1079" spans="1:28" x14ac:dyDescent="0.2">
      <c r="B1079" s="134"/>
      <c r="C1079" s="135"/>
      <c r="G1079" t="s">
        <v>306</v>
      </c>
    </row>
    <row r="1080" spans="1:28" x14ac:dyDescent="0.2">
      <c r="B1080" s="134"/>
      <c r="C1080" s="135"/>
      <c r="G1080" t="s">
        <v>307</v>
      </c>
    </row>
    <row r="1081" spans="1:28" x14ac:dyDescent="0.2">
      <c r="B1081" s="120"/>
      <c r="C1081" s="121"/>
    </row>
    <row r="1082" spans="1:28" x14ac:dyDescent="0.2">
      <c r="B1082" s="120"/>
      <c r="C1082" s="121"/>
      <c r="G1082" t="s">
        <v>309</v>
      </c>
    </row>
    <row r="1087" spans="1:28" x14ac:dyDescent="0.2">
      <c r="A1087" s="423" t="s">
        <v>0</v>
      </c>
      <c r="B1087" s="378"/>
      <c r="C1087" s="378"/>
      <c r="D1087" s="378"/>
      <c r="E1087" s="378"/>
      <c r="F1087" s="378"/>
      <c r="G1087" s="374" t="s">
        <v>1</v>
      </c>
      <c r="H1087" s="374"/>
      <c r="I1087" s="374"/>
      <c r="J1087" s="374"/>
      <c r="K1087" s="374"/>
      <c r="L1087" s="374"/>
      <c r="M1087" s="374"/>
      <c r="N1087" s="374"/>
      <c r="O1087" s="374"/>
      <c r="P1087" s="374"/>
      <c r="Q1087" s="374"/>
      <c r="R1087" s="374"/>
      <c r="S1087" s="374"/>
      <c r="T1087" s="374"/>
      <c r="U1087" s="8"/>
      <c r="V1087" s="8"/>
      <c r="W1087" s="9"/>
      <c r="X1087" s="9"/>
      <c r="Y1087" s="378" t="s">
        <v>2</v>
      </c>
      <c r="Z1087" s="378"/>
      <c r="AA1087" s="378"/>
      <c r="AB1087" s="1"/>
    </row>
    <row r="1088" spans="1:28" x14ac:dyDescent="0.2">
      <c r="A1088" s="382"/>
      <c r="B1088" s="379"/>
      <c r="C1088" s="379"/>
      <c r="D1088" s="379"/>
      <c r="E1088" s="379"/>
      <c r="F1088" s="379"/>
      <c r="G1088" s="375"/>
      <c r="H1088" s="375"/>
      <c r="I1088" s="375"/>
      <c r="J1088" s="375"/>
      <c r="K1088" s="375"/>
      <c r="L1088" s="375"/>
      <c r="M1088" s="375"/>
      <c r="N1088" s="375"/>
      <c r="O1088" s="375"/>
      <c r="P1088" s="375"/>
      <c r="Q1088" s="375"/>
      <c r="R1088" s="375"/>
      <c r="S1088" s="375"/>
      <c r="T1088" s="375"/>
      <c r="U1088" s="6"/>
      <c r="V1088" s="6"/>
      <c r="W1088" s="10"/>
      <c r="X1088" s="14">
        <f>X1029+1</f>
        <v>20</v>
      </c>
      <c r="Y1088" s="379"/>
      <c r="Z1088" s="379"/>
      <c r="AA1088" s="379"/>
      <c r="AB1088" s="4"/>
    </row>
    <row r="1089" spans="1:34" x14ac:dyDescent="0.2">
      <c r="A1089" s="380" t="s">
        <v>3</v>
      </c>
      <c r="B1089" s="381"/>
      <c r="C1089" s="381"/>
      <c r="D1089" s="381"/>
      <c r="E1089" s="381"/>
      <c r="F1089" s="381"/>
      <c r="G1089" s="383" t="s">
        <v>5</v>
      </c>
      <c r="H1089" s="383"/>
      <c r="I1089" s="383"/>
      <c r="J1089" s="383"/>
      <c r="K1089" s="383"/>
      <c r="L1089" s="383"/>
      <c r="M1089" s="383"/>
      <c r="N1089" s="383"/>
      <c r="O1089" s="383"/>
      <c r="P1089" s="383"/>
      <c r="Q1089" s="383"/>
      <c r="R1089" s="383"/>
      <c r="S1089" s="383"/>
      <c r="T1089" s="383"/>
      <c r="U1089" s="5"/>
      <c r="V1089" s="5"/>
      <c r="W1089" s="2"/>
      <c r="X1089" s="384" t="s">
        <v>4</v>
      </c>
      <c r="Y1089" s="384"/>
      <c r="Z1089" s="384"/>
      <c r="AA1089" s="384"/>
      <c r="AB1089" s="385"/>
    </row>
    <row r="1090" spans="1:34" x14ac:dyDescent="0.2">
      <c r="A1090" s="382"/>
      <c r="B1090" s="379"/>
      <c r="C1090" s="379"/>
      <c r="D1090" s="379"/>
      <c r="E1090" s="379"/>
      <c r="F1090" s="379"/>
      <c r="G1090" s="388" t="s">
        <v>250</v>
      </c>
      <c r="H1090" s="388"/>
      <c r="I1090" s="388"/>
      <c r="J1090" s="388"/>
      <c r="K1090" s="388"/>
      <c r="L1090" s="388"/>
      <c r="M1090" s="388"/>
      <c r="N1090" s="388"/>
      <c r="O1090" s="388"/>
      <c r="P1090" s="388"/>
      <c r="Q1090" s="388"/>
      <c r="R1090" s="388"/>
      <c r="S1090" s="388"/>
      <c r="T1090" s="388"/>
      <c r="U1090" s="7"/>
      <c r="V1090" s="7"/>
      <c r="W1090" s="3"/>
      <c r="X1090" s="386"/>
      <c r="Y1090" s="386"/>
      <c r="Z1090" s="386"/>
      <c r="AA1090" s="386"/>
      <c r="AB1090" s="387"/>
      <c r="AD1090" s="294" t="s">
        <v>690</v>
      </c>
      <c r="AE1090" s="294"/>
      <c r="AF1090" s="294"/>
      <c r="AG1090" s="294"/>
      <c r="AH1090" s="294"/>
    </row>
    <row r="1092" spans="1:34" ht="15.75" x14ac:dyDescent="0.25">
      <c r="G1092" s="33" t="s">
        <v>310</v>
      </c>
    </row>
    <row r="1093" spans="1:34" x14ac:dyDescent="0.2">
      <c r="B1093" s="120"/>
      <c r="C1093" s="121"/>
    </row>
    <row r="1094" spans="1:34" x14ac:dyDescent="0.2">
      <c r="B1094" s="134"/>
      <c r="C1094" s="135"/>
    </row>
    <row r="1095" spans="1:34" ht="15.75" x14ac:dyDescent="0.3">
      <c r="B1095" s="134"/>
      <c r="C1095" s="135"/>
      <c r="G1095" t="s">
        <v>325</v>
      </c>
    </row>
    <row r="1096" spans="1:34" x14ac:dyDescent="0.2">
      <c r="B1096" s="134"/>
      <c r="C1096" s="135"/>
    </row>
    <row r="1097" spans="1:34" x14ac:dyDescent="0.2">
      <c r="B1097" s="134"/>
      <c r="C1097" s="135"/>
      <c r="D1097" t="s">
        <v>313</v>
      </c>
    </row>
    <row r="1098" spans="1:34" x14ac:dyDescent="0.2">
      <c r="B1098" s="134"/>
      <c r="C1098" s="135"/>
    </row>
    <row r="1099" spans="1:34" x14ac:dyDescent="0.2">
      <c r="B1099" s="134"/>
      <c r="C1099" s="135"/>
      <c r="D1099" s="136"/>
    </row>
    <row r="1100" spans="1:34" x14ac:dyDescent="0.2">
      <c r="B1100" s="134"/>
      <c r="C1100" s="135"/>
      <c r="D1100" s="118"/>
      <c r="E1100" s="119"/>
      <c r="F1100" s="481" t="s">
        <v>324</v>
      </c>
      <c r="G1100" s="481"/>
      <c r="H1100" s="119"/>
      <c r="I1100" s="119"/>
    </row>
    <row r="1101" spans="1:34" x14ac:dyDescent="0.2">
      <c r="B1101" s="134"/>
      <c r="C1101" s="135"/>
    </row>
    <row r="1102" spans="1:34" x14ac:dyDescent="0.2">
      <c r="B1102" s="134"/>
      <c r="C1102" s="135"/>
      <c r="D1102" s="39"/>
      <c r="E1102" s="2"/>
      <c r="F1102" s="2"/>
      <c r="G1102" s="2"/>
      <c r="H1102" s="2"/>
      <c r="I1102" s="2"/>
    </row>
    <row r="1103" spans="1:34" x14ac:dyDescent="0.2">
      <c r="B1103" s="134"/>
      <c r="C1103" s="135"/>
      <c r="D1103" s="39"/>
      <c r="E1103" s="2"/>
      <c r="F1103" s="307"/>
      <c r="G1103" s="307"/>
      <c r="H1103" s="2"/>
      <c r="I1103" s="2"/>
    </row>
    <row r="1104" spans="1:34" x14ac:dyDescent="0.2">
      <c r="B1104" s="134"/>
      <c r="C1104" s="135"/>
      <c r="I1104" t="s">
        <v>311</v>
      </c>
    </row>
    <row r="1105" spans="2:34" x14ac:dyDescent="0.2">
      <c r="B1105" s="134"/>
      <c r="C1105" s="135"/>
      <c r="I1105" t="s">
        <v>312</v>
      </c>
    </row>
    <row r="1106" spans="2:34" x14ac:dyDescent="0.2">
      <c r="B1106" s="120"/>
      <c r="C1106" s="121"/>
    </row>
    <row r="1107" spans="2:34" x14ac:dyDescent="0.2">
      <c r="B1107" s="120"/>
      <c r="C1107" s="121"/>
      <c r="H1107" t="s">
        <v>314</v>
      </c>
    </row>
    <row r="1109" spans="2:34" ht="15.75" x14ac:dyDescent="0.3">
      <c r="H1109" t="s">
        <v>327</v>
      </c>
      <c r="P1109" t="s">
        <v>326</v>
      </c>
    </row>
    <row r="1113" spans="2:34" x14ac:dyDescent="0.2">
      <c r="B1113" s="107" t="s">
        <v>315</v>
      </c>
      <c r="C1113" s="84"/>
      <c r="D1113" s="94"/>
      <c r="E1113" s="94"/>
      <c r="F1113" s="94"/>
      <c r="G1113" s="85"/>
      <c r="H1113" s="85"/>
      <c r="I1113" s="85"/>
      <c r="J1113" s="85"/>
      <c r="K1113" s="85"/>
      <c r="L1113" s="85"/>
      <c r="M1113" s="85"/>
      <c r="N1113" s="85"/>
      <c r="O1113" s="85"/>
      <c r="P1113" s="85"/>
      <c r="Q1113" s="85"/>
      <c r="R1113" s="85"/>
      <c r="S1113" s="85"/>
      <c r="T1113" s="85"/>
      <c r="U1113" s="85"/>
      <c r="V1113" s="85" t="s">
        <v>54</v>
      </c>
      <c r="W1113" s="85"/>
      <c r="X1113" s="85"/>
      <c r="Y1113" s="85"/>
      <c r="Z1113" s="85"/>
      <c r="AA1113" s="88">
        <v>3</v>
      </c>
      <c r="AD1113" s="294" t="s">
        <v>690</v>
      </c>
      <c r="AE1113" s="294"/>
      <c r="AF1113" s="294"/>
      <c r="AG1113" s="294"/>
      <c r="AH1113" s="294"/>
    </row>
    <row r="1114" spans="2:34" x14ac:dyDescent="0.2">
      <c r="B1114" s="471" t="s">
        <v>274</v>
      </c>
      <c r="C1114" s="472"/>
      <c r="D1114" s="473">
        <v>11.07</v>
      </c>
      <c r="E1114" s="473"/>
      <c r="F1114" s="473"/>
      <c r="G1114" s="35"/>
      <c r="H1114" s="35" t="s">
        <v>275</v>
      </c>
      <c r="I1114" s="35"/>
      <c r="J1114" s="35"/>
      <c r="K1114" s="35"/>
      <c r="L1114" s="35"/>
      <c r="M1114" s="35"/>
      <c r="N1114" s="35"/>
      <c r="O1114" s="35"/>
      <c r="P1114" s="35"/>
      <c r="Q1114" s="35"/>
      <c r="R1114" s="35"/>
      <c r="S1114" s="35"/>
      <c r="T1114" s="35"/>
      <c r="U1114" s="35"/>
      <c r="V1114" s="35"/>
      <c r="W1114" s="35"/>
      <c r="X1114" s="35"/>
      <c r="Y1114" s="35"/>
      <c r="Z1114" s="35"/>
      <c r="AA1114" s="36"/>
    </row>
    <row r="1115" spans="2:34" x14ac:dyDescent="0.2">
      <c r="B1115" s="115"/>
      <c r="C1115" s="116" t="s">
        <v>10</v>
      </c>
      <c r="D1115" s="447">
        <v>2.8</v>
      </c>
      <c r="E1115" s="447"/>
      <c r="F1115" s="447"/>
      <c r="G1115" s="2"/>
      <c r="H1115" s="2" t="s">
        <v>317</v>
      </c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40"/>
    </row>
    <row r="1116" spans="2:34" x14ac:dyDescent="0.2">
      <c r="B1116" s="115"/>
      <c r="C1116" s="116" t="s">
        <v>9</v>
      </c>
      <c r="D1116" s="447">
        <v>1.9</v>
      </c>
      <c r="E1116" s="447"/>
      <c r="F1116" s="447"/>
      <c r="G1116" s="2"/>
      <c r="H1116" s="2" t="s">
        <v>318</v>
      </c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448">
        <f>IF(D1116&lt;=2/3,3*D1116,2+(D1116-0.67)*1.5)</f>
        <v>3.8449999999999998</v>
      </c>
      <c r="Y1116" s="448"/>
      <c r="Z1116" s="448"/>
      <c r="AA1116" s="40"/>
    </row>
    <row r="1117" spans="2:34" x14ac:dyDescent="0.2">
      <c r="B1117" s="115"/>
      <c r="C1117" s="116" t="s">
        <v>101</v>
      </c>
      <c r="D1117" s="447">
        <v>2</v>
      </c>
      <c r="E1117" s="447"/>
      <c r="F1117" s="447"/>
      <c r="G1117" s="2"/>
      <c r="H1117" s="99" t="s">
        <v>320</v>
      </c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448">
        <f>IF(D1115&lt;=2,ROUND(D1115/3,AA1113),ROUND(2/3+(D1115-2)/1.5,AA1113))</f>
        <v>1.2</v>
      </c>
      <c r="Y1117" s="448"/>
      <c r="Z1117" s="448"/>
      <c r="AA1117" s="40"/>
    </row>
    <row r="1118" spans="2:34" ht="6" customHeight="1" x14ac:dyDescent="0.2">
      <c r="B1118" s="115"/>
      <c r="C1118" s="116"/>
      <c r="D1118" s="62"/>
      <c r="E1118" s="62"/>
      <c r="F1118" s="6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40"/>
    </row>
    <row r="1119" spans="2:34" x14ac:dyDescent="0.2">
      <c r="B1119" s="115"/>
      <c r="C1119" s="478" t="s">
        <v>319</v>
      </c>
      <c r="D1119" s="478"/>
      <c r="E1119" s="478"/>
      <c r="F1119" s="478"/>
      <c r="G1119" s="478"/>
      <c r="H1119" s="478"/>
      <c r="I1119" s="478"/>
      <c r="J1119" s="479" t="s">
        <v>290</v>
      </c>
      <c r="K1119" s="479"/>
      <c r="L1119" s="480" t="str">
        <f>IF(D1115&lt;=2,D1115,D1115&amp;" - 2")</f>
        <v>2,8 - 2</v>
      </c>
      <c r="M1119" s="480"/>
      <c r="N1119" s="421" t="str">
        <f>IF(D1115&lt;=2," =","+")</f>
        <v>+</v>
      </c>
      <c r="O1119" s="476" t="str">
        <f>IF(D1115&lt;=2,ROUND(D1115/3,AA1113),"0,67 = "&amp;ROUND(2/3+(D1115-2)/1.5,AA1113))</f>
        <v>0,67 = 1,2</v>
      </c>
      <c r="P1119" s="476"/>
      <c r="Q1119" s="476"/>
      <c r="R1119" s="476"/>
      <c r="S1119" s="476"/>
      <c r="T1119" s="2"/>
      <c r="U1119" s="2"/>
      <c r="V1119" s="2"/>
      <c r="W1119" s="2"/>
      <c r="X1119" s="2"/>
      <c r="Y1119" s="2"/>
      <c r="Z1119" s="2"/>
      <c r="AA1119" s="40"/>
    </row>
    <row r="1120" spans="2:34" x14ac:dyDescent="0.2">
      <c r="B1120" s="115"/>
      <c r="C1120" s="478"/>
      <c r="D1120" s="478"/>
      <c r="E1120" s="478"/>
      <c r="F1120" s="478"/>
      <c r="G1120" s="478"/>
      <c r="H1120" s="478"/>
      <c r="I1120" s="478"/>
      <c r="J1120" s="479"/>
      <c r="K1120" s="479"/>
      <c r="L1120" s="477">
        <f>IF(D1115&lt;=2,3,1.5)</f>
        <v>1.5</v>
      </c>
      <c r="M1120" s="477"/>
      <c r="N1120" s="421"/>
      <c r="O1120" s="476"/>
      <c r="P1120" s="476"/>
      <c r="Q1120" s="476"/>
      <c r="R1120" s="476"/>
      <c r="S1120" s="476"/>
      <c r="T1120" s="2"/>
      <c r="U1120" s="2"/>
      <c r="V1120" s="2"/>
      <c r="W1120" s="2"/>
      <c r="X1120" s="2"/>
      <c r="Y1120" s="2"/>
      <c r="Z1120" s="2"/>
      <c r="AA1120" s="40"/>
    </row>
    <row r="1121" spans="2:27" ht="6" customHeight="1" x14ac:dyDescent="0.2">
      <c r="B1121" s="115"/>
      <c r="C1121" s="114"/>
      <c r="D1121" s="114"/>
      <c r="E1121" s="114"/>
      <c r="F1121" s="114"/>
      <c r="G1121" s="114"/>
      <c r="H1121" s="114"/>
      <c r="I1121" s="114"/>
      <c r="J1121" s="110"/>
      <c r="K1121" s="110"/>
      <c r="L1121" s="112"/>
      <c r="M1121" s="112"/>
      <c r="N1121" s="111"/>
      <c r="O1121" s="109"/>
      <c r="P1121" s="109"/>
      <c r="Q1121" s="109"/>
      <c r="R1121" s="109"/>
      <c r="S1121" s="109"/>
      <c r="T1121" s="2"/>
      <c r="U1121" s="2"/>
      <c r="V1121" s="2"/>
      <c r="W1121" s="2"/>
      <c r="X1121" s="2"/>
      <c r="Y1121" s="2"/>
      <c r="Z1121" s="2"/>
      <c r="AA1121" s="40"/>
    </row>
    <row r="1122" spans="2:27" x14ac:dyDescent="0.2">
      <c r="B1122" s="115"/>
      <c r="C1122" s="114" t="s">
        <v>321</v>
      </c>
      <c r="D1122" s="62"/>
      <c r="E1122" s="62"/>
      <c r="F1122" s="62"/>
      <c r="G1122" s="2"/>
      <c r="H1122" s="2"/>
      <c r="J1122" s="138" t="str">
        <f>IF(D1115&lt;=2,D1116&amp;" - "&amp;ROUND(D1115/3,AA1113)&amp;" = "&amp;ROUND(D1116-D1115/3,AA1113),D1116&amp;" - "&amp;ROUND((2/3+(D1115-2)/1.5),AA1113)&amp;" = "&amp;ROUND(D1116-(0.67+(D1115-2)/1.5),AA1113))</f>
        <v>1,9 - 1,2 = 0,697</v>
      </c>
      <c r="K1122" s="137"/>
      <c r="L1122" s="137"/>
      <c r="M1122" s="2"/>
      <c r="P1122" s="474" t="s">
        <v>331</v>
      </c>
      <c r="Q1122" s="474"/>
      <c r="R1122" s="474"/>
      <c r="S1122" s="307">
        <f>IF(D1116&gt;X1117,D1114-D1116+X1117,D1114)</f>
        <v>10.37</v>
      </c>
      <c r="T1122" s="307"/>
      <c r="U1122" s="307"/>
      <c r="V1122" s="2"/>
      <c r="W1122" s="2"/>
      <c r="X1122" s="2"/>
      <c r="Y1122" s="2"/>
      <c r="Z1122" s="2"/>
      <c r="AA1122" s="40"/>
    </row>
    <row r="1123" spans="2:27" ht="6" customHeight="1" x14ac:dyDescent="0.2">
      <c r="B1123" s="115"/>
      <c r="M1123" s="2"/>
      <c r="N1123" s="2"/>
      <c r="O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40"/>
    </row>
    <row r="1124" spans="2:27" ht="14.25" x14ac:dyDescent="0.2">
      <c r="B1124" s="115"/>
      <c r="C1124" s="114" t="s">
        <v>322</v>
      </c>
      <c r="I1124" s="2" t="str">
        <f>IF(D1116&lt;=2/3,"3 ∙ "&amp;D1116&amp;" = "&amp;ROUND(3*D1116,AA1113),"2,0 + ("&amp;D1116&amp;" - 0,67)1,5 = "&amp;ROUND(2+(D1116-0.67)*1.5,AA1113))</f>
        <v>2,0 + (1,9 - 0,67)1,5 = 3,845</v>
      </c>
      <c r="J1124" s="53"/>
      <c r="K1124" s="53"/>
      <c r="L1124" s="53"/>
      <c r="T1124" s="2"/>
      <c r="X1124" s="2"/>
      <c r="Y1124" s="2"/>
      <c r="Z1124" s="2"/>
      <c r="AA1124" s="40"/>
    </row>
    <row r="1125" spans="2:27" ht="6" customHeight="1" x14ac:dyDescent="0.2">
      <c r="B1125" s="115"/>
      <c r="C1125" s="114"/>
      <c r="I1125" s="2"/>
      <c r="J1125" s="53"/>
      <c r="K1125" s="53"/>
      <c r="L1125" s="53"/>
      <c r="T1125" s="2"/>
      <c r="X1125" s="2"/>
      <c r="Y1125" s="2"/>
      <c r="Z1125" s="2"/>
      <c r="AA1125" s="40"/>
    </row>
    <row r="1126" spans="2:27" ht="14.25" x14ac:dyDescent="0.2">
      <c r="B1126" s="115"/>
      <c r="C1126" s="114" t="s">
        <v>323</v>
      </c>
      <c r="I1126" s="2"/>
      <c r="K1126" s="53"/>
      <c r="L1126" s="53"/>
      <c r="M1126" s="53" t="str">
        <f>X1116&amp;" + ½∙"&amp;D1117&amp;" = "&amp;ROUND(D1117/2+X1116,AA1113)</f>
        <v>3,845 + ½∙2 = 4,845</v>
      </c>
      <c r="T1126" s="2"/>
      <c r="X1126" s="2"/>
      <c r="Y1126" s="2"/>
      <c r="Z1126" s="2"/>
      <c r="AA1126" s="40"/>
    </row>
    <row r="1127" spans="2:27" ht="6" customHeight="1" x14ac:dyDescent="0.2">
      <c r="B1127" s="115"/>
      <c r="C1127" s="114"/>
      <c r="I1127" s="2"/>
      <c r="J1127" s="53"/>
      <c r="K1127" s="53"/>
      <c r="L1127" s="53"/>
      <c r="Q1127" s="3"/>
      <c r="R1127" s="3"/>
      <c r="S1127" s="3"/>
      <c r="T1127" s="2"/>
      <c r="X1127" s="2"/>
      <c r="Y1127" s="2"/>
      <c r="Z1127" s="2"/>
      <c r="AA1127" s="40"/>
    </row>
    <row r="1128" spans="2:27" x14ac:dyDescent="0.2">
      <c r="B1128" s="115"/>
      <c r="C1128" s="114" t="s">
        <v>330</v>
      </c>
      <c r="I1128" s="2"/>
      <c r="J1128" s="53"/>
      <c r="K1128" s="53"/>
      <c r="L1128" s="53"/>
      <c r="N1128" s="470" t="s">
        <v>328</v>
      </c>
      <c r="O1128" s="470"/>
      <c r="P1128" s="467" t="str">
        <f>ROUND(X1116+D1117/2,AA1113)&amp;"² - "&amp;D1115+D1117/2&amp;"²"</f>
        <v>4,845² - 3,8²</v>
      </c>
      <c r="Q1128" s="467"/>
      <c r="R1128" s="467"/>
      <c r="S1128" s="467"/>
      <c r="T1128" t="s">
        <v>329</v>
      </c>
      <c r="U1128" s="475">
        <f>IF(X1117&lt;D1116,ROUND(((X1116+D1117/2)^2-(D1115+D1117/2)^2)^0.5,AA1113),0)</f>
        <v>3.0059999999999998</v>
      </c>
      <c r="V1128" s="475"/>
      <c r="W1128" s="475"/>
      <c r="Y1128" s="2"/>
      <c r="Z1128" s="2"/>
      <c r="AA1128" s="40"/>
    </row>
    <row r="1129" spans="2:27" x14ac:dyDescent="0.2">
      <c r="B1129" s="115"/>
      <c r="C1129" s="114"/>
      <c r="I1129" s="2"/>
      <c r="J1129" s="53"/>
      <c r="K1129" s="53"/>
      <c r="L1129" s="53"/>
      <c r="X1129" s="2"/>
      <c r="Y1129" s="2"/>
      <c r="Z1129" s="2"/>
      <c r="AA1129" s="40"/>
    </row>
    <row r="1130" spans="2:27" x14ac:dyDescent="0.2">
      <c r="B1130" s="115"/>
      <c r="C1130" s="114" t="s">
        <v>333</v>
      </c>
      <c r="I1130" s="2"/>
      <c r="J1130" s="53"/>
      <c r="K1130" s="53"/>
      <c r="L1130" s="53"/>
      <c r="P1130" t="str">
        <f>"2 ∙ "&amp;U1128&amp;" = "&amp;2*U1128</f>
        <v>2 ∙ 3,006 = 6,012</v>
      </c>
      <c r="T1130" s="2"/>
      <c r="X1130" s="2"/>
      <c r="Y1130" s="2"/>
      <c r="Z1130" s="2"/>
      <c r="AA1130" s="40"/>
    </row>
    <row r="1131" spans="2:27" x14ac:dyDescent="0.2">
      <c r="B1131" s="39"/>
      <c r="C1131" s="2"/>
      <c r="D1131" s="98"/>
      <c r="E1131" s="114"/>
      <c r="K1131" s="2"/>
      <c r="L1131" s="53"/>
      <c r="X1131" s="2"/>
      <c r="Y1131" s="2"/>
      <c r="Z1131" s="2"/>
      <c r="AA1131" s="40"/>
    </row>
    <row r="1132" spans="2:27" x14ac:dyDescent="0.2">
      <c r="B1132" s="39"/>
      <c r="C1132" s="2"/>
      <c r="D1132" s="98"/>
      <c r="E1132" s="139"/>
      <c r="F1132" s="468" t="str">
        <f>"At + ½D = "&amp;ROUND(X1116+0.5*D1117,AA1113)</f>
        <v>At + ½D = 4,845</v>
      </c>
      <c r="G1132" s="469"/>
      <c r="H1132" s="469"/>
      <c r="I1132" s="469"/>
      <c r="K1132" s="2"/>
      <c r="L1132" s="53"/>
      <c r="X1132" s="2"/>
      <c r="Y1132" s="2"/>
      <c r="Z1132" s="2"/>
      <c r="AA1132" s="40"/>
    </row>
    <row r="1133" spans="2:27" ht="12.75" customHeight="1" x14ac:dyDescent="0.2">
      <c r="B1133" s="39"/>
      <c r="C1133" s="2"/>
      <c r="D1133" s="464">
        <f>U1128</f>
        <v>3.0059999999999998</v>
      </c>
      <c r="E1133" s="141"/>
      <c r="F1133" s="468"/>
      <c r="G1133" s="469"/>
      <c r="H1133" s="469"/>
      <c r="I1133" s="469"/>
      <c r="K1133" s="2"/>
      <c r="L1133" s="53"/>
      <c r="X1133" s="2"/>
      <c r="Y1133" s="2"/>
      <c r="Z1133" s="2"/>
      <c r="AA1133" s="40"/>
    </row>
    <row r="1134" spans="2:27" x14ac:dyDescent="0.2">
      <c r="B1134" s="39"/>
      <c r="C1134" s="142" t="s">
        <v>313</v>
      </c>
      <c r="D1134" s="465"/>
      <c r="E1134" s="141"/>
      <c r="F1134" s="468"/>
      <c r="G1134" s="469"/>
      <c r="H1134" s="469"/>
      <c r="I1134" s="469"/>
      <c r="K1134" s="2"/>
      <c r="L1134" s="53"/>
      <c r="X1134" s="2"/>
      <c r="Y1134" s="2"/>
      <c r="Z1134" s="2"/>
      <c r="AA1134" s="40"/>
    </row>
    <row r="1135" spans="2:27" x14ac:dyDescent="0.2">
      <c r="B1135" s="39"/>
      <c r="C1135" s="2"/>
      <c r="D1135" s="466"/>
      <c r="E1135" s="141"/>
      <c r="F1135" s="26" t="str">
        <f>" A+½D = "&amp;D1115+D1117/2</f>
        <v xml:space="preserve"> A+½D = 3,8</v>
      </c>
      <c r="K1135" s="2"/>
      <c r="L1135" s="53"/>
      <c r="X1135" s="2"/>
      <c r="Y1135" s="2"/>
      <c r="Z1135" s="2"/>
      <c r="AA1135" s="40"/>
    </row>
    <row r="1136" spans="2:27" x14ac:dyDescent="0.2">
      <c r="B1136" s="39"/>
      <c r="C1136" s="2"/>
      <c r="D1136" s="464">
        <f>U1128</f>
        <v>3.0059999999999998</v>
      </c>
      <c r="E1136" s="141"/>
      <c r="F1136" s="34"/>
      <c r="G1136" s="35"/>
      <c r="H1136" s="35"/>
      <c r="I1136" s="35"/>
      <c r="J1136" s="35"/>
      <c r="K1136" s="2"/>
      <c r="L1136" s="53"/>
      <c r="X1136" s="2"/>
      <c r="Y1136" s="2"/>
      <c r="Z1136" s="2"/>
      <c r="AA1136" s="40"/>
    </row>
    <row r="1137" spans="1:34" x14ac:dyDescent="0.2">
      <c r="B1137" s="39"/>
      <c r="C1137" s="142" t="s">
        <v>313</v>
      </c>
      <c r="D1137" s="465"/>
      <c r="E1137" s="141"/>
      <c r="K1137" s="2"/>
      <c r="L1137" s="53"/>
      <c r="X1137" s="2"/>
      <c r="Y1137" s="2"/>
      <c r="Z1137" s="2"/>
      <c r="AA1137" s="40"/>
    </row>
    <row r="1138" spans="1:34" x14ac:dyDescent="0.2">
      <c r="B1138" s="39"/>
      <c r="C1138" s="2"/>
      <c r="D1138" s="466"/>
      <c r="E1138" s="141"/>
      <c r="F1138" s="118"/>
      <c r="G1138" s="140" t="str">
        <f>"A = "&amp;D1115</f>
        <v>A = 2,8</v>
      </c>
      <c r="H1138" s="119"/>
      <c r="I1138" s="119"/>
      <c r="K1138" s="2"/>
      <c r="L1138" s="53"/>
      <c r="X1138" s="2"/>
      <c r="Y1138" s="2"/>
      <c r="Z1138" s="2"/>
      <c r="AA1138" s="40"/>
    </row>
    <row r="1139" spans="1:34" x14ac:dyDescent="0.2">
      <c r="B1139" s="39"/>
      <c r="C1139" s="2"/>
      <c r="D1139" s="98"/>
      <c r="E1139" s="139"/>
      <c r="K1139" s="2"/>
      <c r="L1139" s="53"/>
      <c r="X1139" s="2"/>
      <c r="Y1139" s="2"/>
      <c r="Z1139" s="2"/>
      <c r="AA1139" s="40"/>
    </row>
    <row r="1140" spans="1:34" x14ac:dyDescent="0.2">
      <c r="B1140" s="39"/>
      <c r="C1140" s="2"/>
      <c r="D1140" s="2"/>
      <c r="X1140" s="2"/>
      <c r="Y1140" s="2"/>
      <c r="Z1140" s="2"/>
      <c r="AA1140" s="40"/>
    </row>
    <row r="1141" spans="1:34" x14ac:dyDescent="0.2">
      <c r="B1141" s="37"/>
      <c r="C1141" s="3"/>
      <c r="D1141" s="3"/>
      <c r="E1141" s="60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8"/>
    </row>
    <row r="1148" spans="1:34" x14ac:dyDescent="0.2">
      <c r="A1148" s="423" t="s">
        <v>0</v>
      </c>
      <c r="B1148" s="378"/>
      <c r="C1148" s="378"/>
      <c r="D1148" s="378"/>
      <c r="E1148" s="378"/>
      <c r="F1148" s="378"/>
      <c r="G1148" s="374" t="s">
        <v>1</v>
      </c>
      <c r="H1148" s="374"/>
      <c r="I1148" s="374"/>
      <c r="J1148" s="374"/>
      <c r="K1148" s="374"/>
      <c r="L1148" s="374"/>
      <c r="M1148" s="374"/>
      <c r="N1148" s="374"/>
      <c r="O1148" s="374"/>
      <c r="P1148" s="374"/>
      <c r="Q1148" s="374"/>
      <c r="R1148" s="374"/>
      <c r="S1148" s="374"/>
      <c r="T1148" s="374"/>
      <c r="U1148" s="8"/>
      <c r="V1148" s="8"/>
      <c r="W1148" s="9"/>
      <c r="X1148" s="9"/>
      <c r="Y1148" s="378" t="s">
        <v>2</v>
      </c>
      <c r="Z1148" s="378"/>
      <c r="AA1148" s="378"/>
      <c r="AB1148" s="1"/>
    </row>
    <row r="1149" spans="1:34" x14ac:dyDescent="0.2">
      <c r="A1149" s="382"/>
      <c r="B1149" s="379"/>
      <c r="C1149" s="379"/>
      <c r="D1149" s="379"/>
      <c r="E1149" s="379"/>
      <c r="F1149" s="379"/>
      <c r="G1149" s="375"/>
      <c r="H1149" s="375"/>
      <c r="I1149" s="375"/>
      <c r="J1149" s="375"/>
      <c r="K1149" s="375"/>
      <c r="L1149" s="375"/>
      <c r="M1149" s="375"/>
      <c r="N1149" s="375"/>
      <c r="O1149" s="375"/>
      <c r="P1149" s="375"/>
      <c r="Q1149" s="375"/>
      <c r="R1149" s="375"/>
      <c r="S1149" s="375"/>
      <c r="T1149" s="375"/>
      <c r="U1149" s="6"/>
      <c r="V1149" s="6"/>
      <c r="W1149" s="10"/>
      <c r="X1149" s="14">
        <f>X1088+1</f>
        <v>21</v>
      </c>
      <c r="Y1149" s="379"/>
      <c r="Z1149" s="379"/>
      <c r="AA1149" s="379"/>
      <c r="AB1149" s="4"/>
    </row>
    <row r="1150" spans="1:34" x14ac:dyDescent="0.2">
      <c r="A1150" s="380" t="s">
        <v>3</v>
      </c>
      <c r="B1150" s="381"/>
      <c r="C1150" s="381"/>
      <c r="D1150" s="381"/>
      <c r="E1150" s="381"/>
      <c r="F1150" s="381"/>
      <c r="G1150" s="383" t="s">
        <v>5</v>
      </c>
      <c r="H1150" s="383"/>
      <c r="I1150" s="383"/>
      <c r="J1150" s="383"/>
      <c r="K1150" s="383"/>
      <c r="L1150" s="383"/>
      <c r="M1150" s="383"/>
      <c r="N1150" s="383"/>
      <c r="O1150" s="383"/>
      <c r="P1150" s="383"/>
      <c r="Q1150" s="383"/>
      <c r="R1150" s="383"/>
      <c r="S1150" s="383"/>
      <c r="T1150" s="383"/>
      <c r="U1150" s="5"/>
      <c r="V1150" s="5"/>
      <c r="W1150" s="2"/>
      <c r="X1150" s="384" t="s">
        <v>4</v>
      </c>
      <c r="Y1150" s="384"/>
      <c r="Z1150" s="384"/>
      <c r="AA1150" s="384"/>
      <c r="AB1150" s="385"/>
    </row>
    <row r="1151" spans="1:34" x14ac:dyDescent="0.2">
      <c r="A1151" s="382"/>
      <c r="B1151" s="379"/>
      <c r="C1151" s="379"/>
      <c r="D1151" s="379"/>
      <c r="E1151" s="379"/>
      <c r="F1151" s="379"/>
      <c r="G1151" s="388" t="s">
        <v>250</v>
      </c>
      <c r="H1151" s="388"/>
      <c r="I1151" s="388"/>
      <c r="J1151" s="388"/>
      <c r="K1151" s="388"/>
      <c r="L1151" s="388"/>
      <c r="M1151" s="388"/>
      <c r="N1151" s="388"/>
      <c r="O1151" s="388"/>
      <c r="P1151" s="388"/>
      <c r="Q1151" s="388"/>
      <c r="R1151" s="388"/>
      <c r="S1151" s="388"/>
      <c r="T1151" s="388"/>
      <c r="U1151" s="7"/>
      <c r="V1151" s="7"/>
      <c r="W1151" s="3"/>
      <c r="X1151" s="386"/>
      <c r="Y1151" s="386"/>
      <c r="Z1151" s="386"/>
      <c r="AA1151" s="386"/>
      <c r="AB1151" s="387"/>
      <c r="AD1151" s="294" t="s">
        <v>690</v>
      </c>
      <c r="AE1151" s="294"/>
      <c r="AF1151" s="294"/>
      <c r="AG1151" s="294"/>
      <c r="AH1151" s="294"/>
    </row>
    <row r="1152" spans="1:34" x14ac:dyDescent="0.2">
      <c r="B1152" s="398" t="s">
        <v>295</v>
      </c>
      <c r="C1152" s="398"/>
      <c r="D1152" s="398"/>
      <c r="E1152" s="398"/>
      <c r="F1152" s="398"/>
      <c r="G1152" s="398"/>
      <c r="H1152" s="398"/>
      <c r="I1152" s="398"/>
      <c r="J1152" s="398"/>
      <c r="K1152" s="398"/>
      <c r="L1152" s="398"/>
      <c r="M1152" s="398"/>
    </row>
    <row r="1153" spans="2:13" x14ac:dyDescent="0.2">
      <c r="B1153" s="436"/>
      <c r="C1153" s="436"/>
      <c r="D1153" s="436"/>
      <c r="E1153" s="436"/>
      <c r="F1153" s="436"/>
      <c r="G1153" s="436"/>
      <c r="H1153" s="436"/>
      <c r="I1153" s="436"/>
      <c r="J1153" s="436"/>
      <c r="K1153" s="436"/>
      <c r="L1153" s="436"/>
      <c r="M1153" s="436"/>
    </row>
    <row r="1193" spans="2:27" ht="15.75" x14ac:dyDescent="0.25">
      <c r="B1193" s="33" t="s">
        <v>332</v>
      </c>
    </row>
    <row r="1196" spans="2:27" x14ac:dyDescent="0.2">
      <c r="B1196" s="107" t="s">
        <v>334</v>
      </c>
      <c r="C1196" s="84"/>
      <c r="D1196" s="94"/>
      <c r="E1196" s="94"/>
      <c r="F1196" s="94"/>
      <c r="G1196" s="85"/>
      <c r="H1196" s="85"/>
      <c r="I1196" s="85"/>
      <c r="J1196" s="85"/>
      <c r="K1196" s="85"/>
      <c r="L1196" s="85"/>
      <c r="M1196" s="85"/>
      <c r="N1196" s="85"/>
      <c r="O1196" s="85"/>
      <c r="P1196" s="85"/>
      <c r="Q1196" s="85"/>
      <c r="R1196" s="85"/>
      <c r="S1196" s="85"/>
      <c r="T1196" s="85"/>
      <c r="U1196" s="85"/>
      <c r="V1196" s="85" t="s">
        <v>54</v>
      </c>
      <c r="W1196" s="85"/>
      <c r="X1196" s="85"/>
      <c r="Y1196" s="85"/>
      <c r="Z1196" s="85"/>
      <c r="AA1196" s="88">
        <v>3</v>
      </c>
    </row>
    <row r="1197" spans="2:27" x14ac:dyDescent="0.2">
      <c r="B1197" s="471" t="s">
        <v>274</v>
      </c>
      <c r="C1197" s="472"/>
      <c r="D1197" s="473">
        <v>12.43</v>
      </c>
      <c r="E1197" s="473"/>
      <c r="F1197" s="473"/>
      <c r="G1197" s="35"/>
      <c r="H1197" s="35" t="s">
        <v>275</v>
      </c>
      <c r="I1197" s="35"/>
      <c r="J1197" s="35"/>
      <c r="K1197" s="35"/>
      <c r="L1197" s="35"/>
      <c r="M1197" s="35"/>
      <c r="N1197" s="35"/>
      <c r="O1197" s="35"/>
      <c r="P1197" s="35"/>
      <c r="Q1197" s="35"/>
      <c r="R1197" s="35"/>
      <c r="S1197" s="35"/>
      <c r="T1197" s="35"/>
      <c r="U1197" s="35"/>
      <c r="V1197" s="35"/>
      <c r="W1197" s="35"/>
      <c r="X1197" s="35"/>
      <c r="Y1197" s="35"/>
      <c r="Z1197" s="35"/>
      <c r="AA1197" s="36"/>
    </row>
    <row r="1198" spans="2:27" x14ac:dyDescent="0.2">
      <c r="B1198" s="115"/>
      <c r="C1198" s="116" t="s">
        <v>335</v>
      </c>
      <c r="D1198" s="447">
        <v>11.8</v>
      </c>
      <c r="E1198" s="447"/>
      <c r="F1198" s="447"/>
      <c r="G1198" s="2"/>
      <c r="H1198" s="2" t="s">
        <v>336</v>
      </c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448">
        <f>(D1197-D1198+0.1)</f>
        <v>0.72999999999999898</v>
      </c>
      <c r="V1198" s="448"/>
      <c r="W1198" s="448"/>
      <c r="X1198" s="448">
        <f>IF(U1199&gt;X1199,X1199+1,X1199)</f>
        <v>2</v>
      </c>
      <c r="Y1198" s="448"/>
      <c r="Z1198" s="2"/>
      <c r="AA1198" s="40"/>
    </row>
    <row r="1199" spans="2:27" ht="14.25" x14ac:dyDescent="0.2">
      <c r="B1199" s="115"/>
      <c r="C1199" s="116" t="s">
        <v>337</v>
      </c>
      <c r="D1199" s="447">
        <v>110</v>
      </c>
      <c r="E1199" s="447"/>
      <c r="F1199" s="447"/>
      <c r="G1199" s="2"/>
      <c r="H1199" s="2" t="s">
        <v>339</v>
      </c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448">
        <f>U1198/0.6</f>
        <v>1.216666666666665</v>
      </c>
      <c r="V1199" s="448"/>
      <c r="W1199" s="448"/>
      <c r="X1199" s="448">
        <f>ROUND(U1198/0.6,0)</f>
        <v>1</v>
      </c>
      <c r="Y1199" s="448"/>
      <c r="Z1199" s="2"/>
      <c r="AA1199" s="40"/>
    </row>
    <row r="1200" spans="2:27" ht="6" customHeight="1" x14ac:dyDescent="0.2">
      <c r="B1200" s="115"/>
      <c r="C1200" s="116"/>
      <c r="D1200" s="62"/>
      <c r="E1200" s="62"/>
      <c r="F1200" s="6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40"/>
    </row>
    <row r="1201" spans="1:28" x14ac:dyDescent="0.2">
      <c r="B1201" s="115"/>
      <c r="C1201" s="114" t="str">
        <f>IF($D$1198&lt;$D$1197,"Aftrapning er nødvendig","Aftrapning er ikke nødvendig")</f>
        <v>Aftrapning er nødvendig</v>
      </c>
      <c r="D1201" s="62"/>
      <c r="E1201" s="62"/>
      <c r="F1201" s="62"/>
      <c r="G1201" s="2"/>
      <c r="H1201" s="2"/>
      <c r="J1201" s="137"/>
      <c r="K1201" s="137"/>
      <c r="L1201" s="137"/>
      <c r="M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40"/>
    </row>
    <row r="1202" spans="1:28" x14ac:dyDescent="0.2">
      <c r="B1202" s="115"/>
      <c r="C1202" s="114" t="str">
        <f>IF($D$1198&lt;$D$1197,"FUK - 100 mm under BK "&amp;D1198&amp;" - "&amp;0.1&amp;" = "&amp;D1198-0.1,"")</f>
        <v>FUK - 100 mm under BK 11,8 - 0,1 = 11,7</v>
      </c>
      <c r="D1202" s="62"/>
      <c r="E1202" s="62"/>
      <c r="F1202" s="62"/>
      <c r="G1202" s="2"/>
      <c r="H1202" s="2"/>
      <c r="J1202" s="113"/>
      <c r="K1202" s="113"/>
      <c r="L1202" s="113"/>
      <c r="M1202" s="2"/>
      <c r="R1202" s="2"/>
      <c r="S1202" s="69"/>
      <c r="T1202" s="69"/>
      <c r="U1202" s="2"/>
      <c r="X1202" s="2"/>
      <c r="Y1202" s="2"/>
      <c r="Z1202" s="2"/>
      <c r="AA1202" s="40"/>
    </row>
    <row r="1203" spans="1:28" x14ac:dyDescent="0.2">
      <c r="B1203" s="115"/>
      <c r="C1203" s="114"/>
      <c r="D1203" s="62"/>
      <c r="E1203" s="62"/>
      <c r="F1203" s="62"/>
      <c r="G1203" s="2"/>
      <c r="H1203" s="2"/>
      <c r="J1203" s="113"/>
      <c r="K1203" s="113"/>
      <c r="L1203" s="113"/>
      <c r="M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40"/>
    </row>
    <row r="1204" spans="1:28" x14ac:dyDescent="0.2">
      <c r="B1204" s="115"/>
      <c r="C1204" s="114" t="str">
        <f>IF($D$1198&lt;$D$1197,"Udstrækning af aftrapning: "&amp;X1198*2*0.6+D1199/1000+0.3&amp;" m","")</f>
        <v>Udstrækning af aftrapning: 2,81 m</v>
      </c>
      <c r="D1204" s="62"/>
      <c r="E1204" s="62"/>
      <c r="F1204" s="62"/>
      <c r="G1204" s="2"/>
      <c r="H1204" s="2"/>
      <c r="I1204" s="2"/>
      <c r="J1204" s="2"/>
      <c r="K1204" s="2"/>
      <c r="L1204" s="2"/>
      <c r="M1204" s="2"/>
      <c r="N1204" s="2"/>
      <c r="O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40"/>
    </row>
    <row r="1205" spans="1:28" x14ac:dyDescent="0.2">
      <c r="B1205" s="37"/>
      <c r="C1205" s="60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8"/>
    </row>
    <row r="1206" spans="1:28" x14ac:dyDescent="0.2">
      <c r="B1206" t="s">
        <v>338</v>
      </c>
    </row>
    <row r="1207" spans="1:28" x14ac:dyDescent="0.2">
      <c r="A1207" s="423" t="s">
        <v>0</v>
      </c>
      <c r="B1207" s="378"/>
      <c r="C1207" s="378"/>
      <c r="D1207" s="378"/>
      <c r="E1207" s="378"/>
      <c r="F1207" s="378"/>
      <c r="G1207" s="374" t="s">
        <v>1</v>
      </c>
      <c r="H1207" s="374"/>
      <c r="I1207" s="374"/>
      <c r="J1207" s="374"/>
      <c r="K1207" s="374"/>
      <c r="L1207" s="374"/>
      <c r="M1207" s="374"/>
      <c r="N1207" s="374"/>
      <c r="O1207" s="374"/>
      <c r="P1207" s="374"/>
      <c r="Q1207" s="374"/>
      <c r="R1207" s="374"/>
      <c r="S1207" s="374"/>
      <c r="T1207" s="374"/>
      <c r="U1207" s="8"/>
      <c r="V1207" s="8"/>
      <c r="W1207" s="9"/>
      <c r="X1207" s="9"/>
      <c r="Y1207" s="378" t="s">
        <v>2</v>
      </c>
      <c r="Z1207" s="378"/>
      <c r="AA1207" s="378"/>
      <c r="AB1207" s="1"/>
    </row>
    <row r="1208" spans="1:28" x14ac:dyDescent="0.2">
      <c r="A1208" s="382"/>
      <c r="B1208" s="379"/>
      <c r="C1208" s="379"/>
      <c r="D1208" s="379"/>
      <c r="E1208" s="379"/>
      <c r="F1208" s="379"/>
      <c r="G1208" s="375"/>
      <c r="H1208" s="375"/>
      <c r="I1208" s="375"/>
      <c r="J1208" s="375"/>
      <c r="K1208" s="375"/>
      <c r="L1208" s="375"/>
      <c r="M1208" s="375"/>
      <c r="N1208" s="375"/>
      <c r="O1208" s="375"/>
      <c r="P1208" s="375"/>
      <c r="Q1208" s="375"/>
      <c r="R1208" s="375"/>
      <c r="S1208" s="375"/>
      <c r="T1208" s="375"/>
      <c r="U1208" s="6"/>
      <c r="V1208" s="6"/>
      <c r="W1208" s="10"/>
      <c r="X1208" s="14">
        <f>X1149+1</f>
        <v>22</v>
      </c>
      <c r="Y1208" s="379"/>
      <c r="Z1208" s="379"/>
      <c r="AA1208" s="379"/>
      <c r="AB1208" s="4"/>
    </row>
    <row r="1209" spans="1:28" x14ac:dyDescent="0.2">
      <c r="A1209" s="380" t="s">
        <v>3</v>
      </c>
      <c r="B1209" s="381"/>
      <c r="C1209" s="381"/>
      <c r="D1209" s="381"/>
      <c r="E1209" s="381"/>
      <c r="F1209" s="381"/>
      <c r="G1209" s="383" t="s">
        <v>5</v>
      </c>
      <c r="H1209" s="383"/>
      <c r="I1209" s="383"/>
      <c r="J1209" s="383"/>
      <c r="K1209" s="383"/>
      <c r="L1209" s="383"/>
      <c r="M1209" s="383"/>
      <c r="N1209" s="383"/>
      <c r="O1209" s="383"/>
      <c r="P1209" s="383"/>
      <c r="Q1209" s="383"/>
      <c r="R1209" s="383"/>
      <c r="S1209" s="383"/>
      <c r="T1209" s="383"/>
      <c r="U1209" s="5"/>
      <c r="V1209" s="5"/>
      <c r="W1209" s="2"/>
      <c r="X1209" s="384" t="s">
        <v>4</v>
      </c>
      <c r="Y1209" s="384"/>
      <c r="Z1209" s="384"/>
      <c r="AA1209" s="384"/>
      <c r="AB1209" s="385"/>
    </row>
    <row r="1210" spans="1:28" ht="13.5" thickBot="1" x14ac:dyDescent="0.25">
      <c r="A1210" s="380"/>
      <c r="B1210" s="381"/>
      <c r="C1210" s="381"/>
      <c r="D1210" s="381"/>
      <c r="E1210" s="381"/>
      <c r="F1210" s="381"/>
      <c r="G1210" s="383" t="s">
        <v>346</v>
      </c>
      <c r="H1210" s="383"/>
      <c r="I1210" s="383"/>
      <c r="J1210" s="383"/>
      <c r="K1210" s="383"/>
      <c r="L1210" s="383"/>
      <c r="M1210" s="383"/>
      <c r="N1210" s="383"/>
      <c r="O1210" s="383"/>
      <c r="P1210" s="383"/>
      <c r="Q1210" s="383"/>
      <c r="R1210" s="383"/>
      <c r="S1210" s="383"/>
      <c r="T1210" s="383"/>
      <c r="U1210" s="5"/>
      <c r="V1210" s="5"/>
      <c r="W1210" s="2"/>
      <c r="X1210" s="384"/>
      <c r="Y1210" s="384"/>
      <c r="Z1210" s="384"/>
      <c r="AA1210" s="384"/>
      <c r="AB1210" s="385"/>
    </row>
    <row r="1211" spans="1:28" ht="14.25" x14ac:dyDescent="0.2">
      <c r="A1211" s="613" t="s">
        <v>340</v>
      </c>
      <c r="B1211" s="452"/>
      <c r="C1211" s="452"/>
      <c r="D1211" s="452"/>
      <c r="E1211" s="614"/>
      <c r="F1211" s="449" t="s">
        <v>341</v>
      </c>
      <c r="G1211" s="450"/>
      <c r="H1211" s="450"/>
      <c r="I1211" s="451"/>
      <c r="J1211" s="449" t="s">
        <v>342</v>
      </c>
      <c r="K1211" s="450"/>
      <c r="L1211" s="450"/>
      <c r="M1211" s="451"/>
      <c r="N1211" s="449" t="s">
        <v>343</v>
      </c>
      <c r="O1211" s="450"/>
      <c r="P1211" s="450"/>
      <c r="Q1211" s="451"/>
      <c r="R1211" s="449" t="s">
        <v>344</v>
      </c>
      <c r="S1211" s="450"/>
      <c r="T1211" s="450"/>
      <c r="U1211" s="451"/>
      <c r="V1211" s="449" t="s">
        <v>345</v>
      </c>
      <c r="W1211" s="452"/>
      <c r="X1211" s="452"/>
      <c r="Y1211" s="452"/>
      <c r="Z1211" s="452"/>
      <c r="AA1211" s="452"/>
      <c r="AB1211" s="453"/>
    </row>
    <row r="1212" spans="1:28" ht="18" customHeight="1" x14ac:dyDescent="0.2">
      <c r="A1212" s="460"/>
      <c r="B1212" s="458"/>
      <c r="C1212" s="458"/>
      <c r="D1212" s="458"/>
      <c r="E1212" s="461"/>
      <c r="F1212" s="457"/>
      <c r="G1212" s="462"/>
      <c r="H1212" s="462"/>
      <c r="I1212" s="463"/>
      <c r="J1212" s="454"/>
      <c r="K1212" s="455"/>
      <c r="L1212" s="455"/>
      <c r="M1212" s="456"/>
      <c r="N1212" s="454"/>
      <c r="O1212" s="455"/>
      <c r="P1212" s="455"/>
      <c r="Q1212" s="456"/>
      <c r="R1212" s="454"/>
      <c r="S1212" s="455"/>
      <c r="T1212" s="455"/>
      <c r="U1212" s="456"/>
      <c r="V1212" s="457"/>
      <c r="W1212" s="458"/>
      <c r="X1212" s="458"/>
      <c r="Y1212" s="458"/>
      <c r="Z1212" s="458"/>
      <c r="AA1212" s="458"/>
      <c r="AB1212" s="459"/>
    </row>
    <row r="1213" spans="1:28" ht="18" customHeight="1" x14ac:dyDescent="0.2">
      <c r="A1213" s="460"/>
      <c r="B1213" s="458"/>
      <c r="C1213" s="458"/>
      <c r="D1213" s="458"/>
      <c r="E1213" s="461"/>
      <c r="F1213" s="457"/>
      <c r="G1213" s="462"/>
      <c r="H1213" s="462"/>
      <c r="I1213" s="463"/>
      <c r="J1213" s="454"/>
      <c r="K1213" s="455"/>
      <c r="L1213" s="455"/>
      <c r="M1213" s="456"/>
      <c r="N1213" s="454"/>
      <c r="O1213" s="455"/>
      <c r="P1213" s="455"/>
      <c r="Q1213" s="456"/>
      <c r="R1213" s="454"/>
      <c r="S1213" s="455"/>
      <c r="T1213" s="455"/>
      <c r="U1213" s="456"/>
      <c r="V1213" s="457"/>
      <c r="W1213" s="458"/>
      <c r="X1213" s="458"/>
      <c r="Y1213" s="458"/>
      <c r="Z1213" s="458"/>
      <c r="AA1213" s="458"/>
      <c r="AB1213" s="459"/>
    </row>
    <row r="1214" spans="1:28" ht="18" customHeight="1" x14ac:dyDescent="0.2">
      <c r="A1214" s="460"/>
      <c r="B1214" s="458"/>
      <c r="C1214" s="458"/>
      <c r="D1214" s="458"/>
      <c r="E1214" s="461"/>
      <c r="F1214" s="457"/>
      <c r="G1214" s="462"/>
      <c r="H1214" s="462"/>
      <c r="I1214" s="463"/>
      <c r="J1214" s="454"/>
      <c r="K1214" s="455"/>
      <c r="L1214" s="455"/>
      <c r="M1214" s="456"/>
      <c r="N1214" s="454"/>
      <c r="O1214" s="455"/>
      <c r="P1214" s="455"/>
      <c r="Q1214" s="456"/>
      <c r="R1214" s="454"/>
      <c r="S1214" s="455"/>
      <c r="T1214" s="455"/>
      <c r="U1214" s="456"/>
      <c r="V1214" s="457"/>
      <c r="W1214" s="458"/>
      <c r="X1214" s="458"/>
      <c r="Y1214" s="458"/>
      <c r="Z1214" s="458"/>
      <c r="AA1214" s="458"/>
      <c r="AB1214" s="459"/>
    </row>
    <row r="1215" spans="1:28" ht="18" customHeight="1" x14ac:dyDescent="0.2">
      <c r="A1215" s="460"/>
      <c r="B1215" s="458"/>
      <c r="C1215" s="458"/>
      <c r="D1215" s="458"/>
      <c r="E1215" s="461"/>
      <c r="F1215" s="457"/>
      <c r="G1215" s="462"/>
      <c r="H1215" s="462"/>
      <c r="I1215" s="463"/>
      <c r="J1215" s="454"/>
      <c r="K1215" s="455"/>
      <c r="L1215" s="455"/>
      <c r="M1215" s="456"/>
      <c r="N1215" s="454"/>
      <c r="O1215" s="455"/>
      <c r="P1215" s="455"/>
      <c r="Q1215" s="456"/>
      <c r="R1215" s="454"/>
      <c r="S1215" s="455"/>
      <c r="T1215" s="455"/>
      <c r="U1215" s="456"/>
      <c r="V1215" s="457"/>
      <c r="W1215" s="458"/>
      <c r="X1215" s="458"/>
      <c r="Y1215" s="458"/>
      <c r="Z1215" s="458"/>
      <c r="AA1215" s="458"/>
      <c r="AB1215" s="459"/>
    </row>
    <row r="1216" spans="1:28" ht="18" customHeight="1" x14ac:dyDescent="0.2">
      <c r="A1216" s="460"/>
      <c r="B1216" s="458"/>
      <c r="C1216" s="458"/>
      <c r="D1216" s="458"/>
      <c r="E1216" s="461"/>
      <c r="F1216" s="457"/>
      <c r="G1216" s="462"/>
      <c r="H1216" s="462"/>
      <c r="I1216" s="463"/>
      <c r="J1216" s="454"/>
      <c r="K1216" s="455"/>
      <c r="L1216" s="455"/>
      <c r="M1216" s="456"/>
      <c r="N1216" s="454"/>
      <c r="O1216" s="455"/>
      <c r="P1216" s="455"/>
      <c r="Q1216" s="456"/>
      <c r="R1216" s="454"/>
      <c r="S1216" s="455"/>
      <c r="T1216" s="455"/>
      <c r="U1216" s="456"/>
      <c r="V1216" s="457"/>
      <c r="W1216" s="458"/>
      <c r="X1216" s="458"/>
      <c r="Y1216" s="458"/>
      <c r="Z1216" s="458"/>
      <c r="AA1216" s="458"/>
      <c r="AB1216" s="459"/>
    </row>
    <row r="1217" spans="1:28" ht="18" customHeight="1" x14ac:dyDescent="0.2">
      <c r="A1217" s="460"/>
      <c r="B1217" s="458"/>
      <c r="C1217" s="458"/>
      <c r="D1217" s="458"/>
      <c r="E1217" s="461"/>
      <c r="F1217" s="457"/>
      <c r="G1217" s="462"/>
      <c r="H1217" s="462"/>
      <c r="I1217" s="463"/>
      <c r="J1217" s="454"/>
      <c r="K1217" s="455"/>
      <c r="L1217" s="455"/>
      <c r="M1217" s="456"/>
      <c r="N1217" s="454"/>
      <c r="O1217" s="455"/>
      <c r="P1217" s="455"/>
      <c r="Q1217" s="456"/>
      <c r="R1217" s="454"/>
      <c r="S1217" s="455"/>
      <c r="T1217" s="455"/>
      <c r="U1217" s="456"/>
      <c r="V1217" s="457"/>
      <c r="W1217" s="458"/>
      <c r="X1217" s="458"/>
      <c r="Y1217" s="458"/>
      <c r="Z1217" s="458"/>
      <c r="AA1217" s="458"/>
      <c r="AB1217" s="459"/>
    </row>
    <row r="1218" spans="1:28" ht="18" customHeight="1" x14ac:dyDescent="0.2">
      <c r="A1218" s="460"/>
      <c r="B1218" s="458"/>
      <c r="C1218" s="458"/>
      <c r="D1218" s="458"/>
      <c r="E1218" s="461"/>
      <c r="F1218" s="457"/>
      <c r="G1218" s="462"/>
      <c r="H1218" s="462"/>
      <c r="I1218" s="463"/>
      <c r="J1218" s="454"/>
      <c r="K1218" s="455"/>
      <c r="L1218" s="455"/>
      <c r="M1218" s="456"/>
      <c r="N1218" s="454"/>
      <c r="O1218" s="455"/>
      <c r="P1218" s="455"/>
      <c r="Q1218" s="456"/>
      <c r="R1218" s="454"/>
      <c r="S1218" s="455"/>
      <c r="T1218" s="455"/>
      <c r="U1218" s="456"/>
      <c r="V1218" s="457"/>
      <c r="W1218" s="458"/>
      <c r="X1218" s="458"/>
      <c r="Y1218" s="458"/>
      <c r="Z1218" s="458"/>
      <c r="AA1218" s="458"/>
      <c r="AB1218" s="459"/>
    </row>
    <row r="1219" spans="1:28" ht="18" customHeight="1" x14ac:dyDescent="0.2">
      <c r="A1219" s="460"/>
      <c r="B1219" s="458"/>
      <c r="C1219" s="458"/>
      <c r="D1219" s="458"/>
      <c r="E1219" s="461"/>
      <c r="F1219" s="457"/>
      <c r="G1219" s="462"/>
      <c r="H1219" s="462"/>
      <c r="I1219" s="463"/>
      <c r="J1219" s="454"/>
      <c r="K1219" s="455"/>
      <c r="L1219" s="455"/>
      <c r="M1219" s="456"/>
      <c r="N1219" s="454"/>
      <c r="O1219" s="455"/>
      <c r="P1219" s="455"/>
      <c r="Q1219" s="456"/>
      <c r="R1219" s="454"/>
      <c r="S1219" s="455"/>
      <c r="T1219" s="455"/>
      <c r="U1219" s="456"/>
      <c r="V1219" s="457"/>
      <c r="W1219" s="458"/>
      <c r="X1219" s="458"/>
      <c r="Y1219" s="458"/>
      <c r="Z1219" s="458"/>
      <c r="AA1219" s="458"/>
      <c r="AB1219" s="459"/>
    </row>
    <row r="1220" spans="1:28" ht="18" customHeight="1" x14ac:dyDescent="0.2">
      <c r="A1220" s="460"/>
      <c r="B1220" s="458"/>
      <c r="C1220" s="458"/>
      <c r="D1220" s="458"/>
      <c r="E1220" s="461"/>
      <c r="F1220" s="457"/>
      <c r="G1220" s="462"/>
      <c r="H1220" s="462"/>
      <c r="I1220" s="463"/>
      <c r="J1220" s="454"/>
      <c r="K1220" s="455"/>
      <c r="L1220" s="455"/>
      <c r="M1220" s="456"/>
      <c r="N1220" s="454"/>
      <c r="O1220" s="455"/>
      <c r="P1220" s="455"/>
      <c r="Q1220" s="456"/>
      <c r="R1220" s="454"/>
      <c r="S1220" s="455"/>
      <c r="T1220" s="455"/>
      <c r="U1220" s="456"/>
      <c r="V1220" s="457"/>
      <c r="W1220" s="458"/>
      <c r="X1220" s="458"/>
      <c r="Y1220" s="458"/>
      <c r="Z1220" s="458"/>
      <c r="AA1220" s="458"/>
      <c r="AB1220" s="459"/>
    </row>
    <row r="1221" spans="1:28" ht="18" customHeight="1" x14ac:dyDescent="0.2">
      <c r="A1221" s="460"/>
      <c r="B1221" s="458"/>
      <c r="C1221" s="458"/>
      <c r="D1221" s="458"/>
      <c r="E1221" s="461"/>
      <c r="F1221" s="457"/>
      <c r="G1221" s="462"/>
      <c r="H1221" s="462"/>
      <c r="I1221" s="463"/>
      <c r="J1221" s="454"/>
      <c r="K1221" s="455"/>
      <c r="L1221" s="455"/>
      <c r="M1221" s="456"/>
      <c r="N1221" s="454"/>
      <c r="O1221" s="455"/>
      <c r="P1221" s="455"/>
      <c r="Q1221" s="456"/>
      <c r="R1221" s="454"/>
      <c r="S1221" s="455"/>
      <c r="T1221" s="455"/>
      <c r="U1221" s="456"/>
      <c r="V1221" s="457"/>
      <c r="W1221" s="458"/>
      <c r="X1221" s="458"/>
      <c r="Y1221" s="458"/>
      <c r="Z1221" s="458"/>
      <c r="AA1221" s="458"/>
      <c r="AB1221" s="459"/>
    </row>
    <row r="1222" spans="1:28" ht="18" customHeight="1" x14ac:dyDescent="0.2">
      <c r="A1222" s="460"/>
      <c r="B1222" s="458"/>
      <c r="C1222" s="458"/>
      <c r="D1222" s="458"/>
      <c r="E1222" s="461"/>
      <c r="F1222" s="457"/>
      <c r="G1222" s="462"/>
      <c r="H1222" s="462"/>
      <c r="I1222" s="463"/>
      <c r="J1222" s="454"/>
      <c r="K1222" s="455"/>
      <c r="L1222" s="455"/>
      <c r="M1222" s="456"/>
      <c r="N1222" s="454"/>
      <c r="O1222" s="455"/>
      <c r="P1222" s="455"/>
      <c r="Q1222" s="456"/>
      <c r="R1222" s="454"/>
      <c r="S1222" s="455"/>
      <c r="T1222" s="455"/>
      <c r="U1222" s="456"/>
      <c r="V1222" s="457"/>
      <c r="W1222" s="458"/>
      <c r="X1222" s="458"/>
      <c r="Y1222" s="458"/>
      <c r="Z1222" s="458"/>
      <c r="AA1222" s="458"/>
      <c r="AB1222" s="459"/>
    </row>
    <row r="1223" spans="1:28" ht="18" customHeight="1" x14ac:dyDescent="0.2">
      <c r="A1223" s="460"/>
      <c r="B1223" s="458"/>
      <c r="C1223" s="458"/>
      <c r="D1223" s="458"/>
      <c r="E1223" s="461"/>
      <c r="F1223" s="457"/>
      <c r="G1223" s="462"/>
      <c r="H1223" s="462"/>
      <c r="I1223" s="463"/>
      <c r="J1223" s="454"/>
      <c r="K1223" s="455"/>
      <c r="L1223" s="455"/>
      <c r="M1223" s="456"/>
      <c r="N1223" s="454"/>
      <c r="O1223" s="455"/>
      <c r="P1223" s="455"/>
      <c r="Q1223" s="456"/>
      <c r="R1223" s="454"/>
      <c r="S1223" s="455"/>
      <c r="T1223" s="455"/>
      <c r="U1223" s="456"/>
      <c r="V1223" s="457"/>
      <c r="W1223" s="458"/>
      <c r="X1223" s="458"/>
      <c r="Y1223" s="458"/>
      <c r="Z1223" s="458"/>
      <c r="AA1223" s="458"/>
      <c r="AB1223" s="459"/>
    </row>
    <row r="1224" spans="1:28" ht="18" customHeight="1" x14ac:dyDescent="0.2">
      <c r="A1224" s="460"/>
      <c r="B1224" s="458"/>
      <c r="C1224" s="458"/>
      <c r="D1224" s="458"/>
      <c r="E1224" s="461"/>
      <c r="F1224" s="457"/>
      <c r="G1224" s="462"/>
      <c r="H1224" s="462"/>
      <c r="I1224" s="463"/>
      <c r="J1224" s="454"/>
      <c r="K1224" s="455"/>
      <c r="L1224" s="455"/>
      <c r="M1224" s="456"/>
      <c r="N1224" s="454"/>
      <c r="O1224" s="455"/>
      <c r="P1224" s="455"/>
      <c r="Q1224" s="456"/>
      <c r="R1224" s="454"/>
      <c r="S1224" s="455"/>
      <c r="T1224" s="455"/>
      <c r="U1224" s="456"/>
      <c r="V1224" s="457"/>
      <c r="W1224" s="458"/>
      <c r="X1224" s="458"/>
      <c r="Y1224" s="458"/>
      <c r="Z1224" s="458"/>
      <c r="AA1224" s="458"/>
      <c r="AB1224" s="459"/>
    </row>
    <row r="1225" spans="1:28" ht="18" customHeight="1" x14ac:dyDescent="0.2">
      <c r="A1225" s="460"/>
      <c r="B1225" s="458"/>
      <c r="C1225" s="458"/>
      <c r="D1225" s="458"/>
      <c r="E1225" s="461"/>
      <c r="F1225" s="457"/>
      <c r="G1225" s="462"/>
      <c r="H1225" s="462"/>
      <c r="I1225" s="463"/>
      <c r="J1225" s="454"/>
      <c r="K1225" s="455"/>
      <c r="L1225" s="455"/>
      <c r="M1225" s="456"/>
      <c r="N1225" s="454"/>
      <c r="O1225" s="455"/>
      <c r="P1225" s="455"/>
      <c r="Q1225" s="456"/>
      <c r="R1225" s="454"/>
      <c r="S1225" s="455"/>
      <c r="T1225" s="455"/>
      <c r="U1225" s="456"/>
      <c r="V1225" s="457"/>
      <c r="W1225" s="458"/>
      <c r="X1225" s="458"/>
      <c r="Y1225" s="458"/>
      <c r="Z1225" s="458"/>
      <c r="AA1225" s="458"/>
      <c r="AB1225" s="459"/>
    </row>
    <row r="1226" spans="1:28" ht="18" customHeight="1" x14ac:dyDescent="0.2">
      <c r="A1226" s="460"/>
      <c r="B1226" s="458"/>
      <c r="C1226" s="458"/>
      <c r="D1226" s="458"/>
      <c r="E1226" s="461"/>
      <c r="F1226" s="457"/>
      <c r="G1226" s="462"/>
      <c r="H1226" s="462"/>
      <c r="I1226" s="463"/>
      <c r="J1226" s="454"/>
      <c r="K1226" s="455"/>
      <c r="L1226" s="455"/>
      <c r="M1226" s="456"/>
      <c r="N1226" s="454"/>
      <c r="O1226" s="455"/>
      <c r="P1226" s="455"/>
      <c r="Q1226" s="456"/>
      <c r="R1226" s="454"/>
      <c r="S1226" s="455"/>
      <c r="T1226" s="455"/>
      <c r="U1226" s="456"/>
      <c r="V1226" s="457"/>
      <c r="W1226" s="458"/>
      <c r="X1226" s="458"/>
      <c r="Y1226" s="458"/>
      <c r="Z1226" s="458"/>
      <c r="AA1226" s="458"/>
      <c r="AB1226" s="459"/>
    </row>
    <row r="1227" spans="1:28" ht="18" customHeight="1" x14ac:dyDescent="0.2">
      <c r="A1227" s="460"/>
      <c r="B1227" s="458"/>
      <c r="C1227" s="458"/>
      <c r="D1227" s="458"/>
      <c r="E1227" s="461"/>
      <c r="F1227" s="457"/>
      <c r="G1227" s="462"/>
      <c r="H1227" s="462"/>
      <c r="I1227" s="463"/>
      <c r="J1227" s="454"/>
      <c r="K1227" s="455"/>
      <c r="L1227" s="455"/>
      <c r="M1227" s="456"/>
      <c r="N1227" s="454"/>
      <c r="O1227" s="455"/>
      <c r="P1227" s="455"/>
      <c r="Q1227" s="456"/>
      <c r="R1227" s="454"/>
      <c r="S1227" s="455"/>
      <c r="T1227" s="455"/>
      <c r="U1227" s="456"/>
      <c r="V1227" s="457"/>
      <c r="W1227" s="458"/>
      <c r="X1227" s="458"/>
      <c r="Y1227" s="458"/>
      <c r="Z1227" s="458"/>
      <c r="AA1227" s="458"/>
      <c r="AB1227" s="459"/>
    </row>
    <row r="1228" spans="1:28" ht="18" customHeight="1" x14ac:dyDescent="0.2">
      <c r="A1228" s="460"/>
      <c r="B1228" s="458"/>
      <c r="C1228" s="458"/>
      <c r="D1228" s="458"/>
      <c r="E1228" s="461"/>
      <c r="F1228" s="457"/>
      <c r="G1228" s="462"/>
      <c r="H1228" s="462"/>
      <c r="I1228" s="463"/>
      <c r="J1228" s="454"/>
      <c r="K1228" s="455"/>
      <c r="L1228" s="455"/>
      <c r="M1228" s="456"/>
      <c r="N1228" s="454"/>
      <c r="O1228" s="455"/>
      <c r="P1228" s="455"/>
      <c r="Q1228" s="456"/>
      <c r="R1228" s="454"/>
      <c r="S1228" s="455"/>
      <c r="T1228" s="455"/>
      <c r="U1228" s="456"/>
      <c r="V1228" s="457"/>
      <c r="W1228" s="458"/>
      <c r="X1228" s="458"/>
      <c r="Y1228" s="458"/>
      <c r="Z1228" s="458"/>
      <c r="AA1228" s="458"/>
      <c r="AB1228" s="459"/>
    </row>
    <row r="1229" spans="1:28" ht="18" customHeight="1" x14ac:dyDescent="0.2">
      <c r="A1229" s="460"/>
      <c r="B1229" s="458"/>
      <c r="C1229" s="458"/>
      <c r="D1229" s="458"/>
      <c r="E1229" s="461"/>
      <c r="F1229" s="457"/>
      <c r="G1229" s="462"/>
      <c r="H1229" s="462"/>
      <c r="I1229" s="463"/>
      <c r="J1229" s="454"/>
      <c r="K1229" s="455"/>
      <c r="L1229" s="455"/>
      <c r="M1229" s="456"/>
      <c r="N1229" s="454"/>
      <c r="O1229" s="455"/>
      <c r="P1229" s="455"/>
      <c r="Q1229" s="456"/>
      <c r="R1229" s="454"/>
      <c r="S1229" s="455"/>
      <c r="T1229" s="455"/>
      <c r="U1229" s="456"/>
      <c r="V1229" s="457"/>
      <c r="W1229" s="458"/>
      <c r="X1229" s="458"/>
      <c r="Y1229" s="458"/>
      <c r="Z1229" s="458"/>
      <c r="AA1229" s="458"/>
      <c r="AB1229" s="459"/>
    </row>
    <row r="1230" spans="1:28" ht="18" customHeight="1" x14ac:dyDescent="0.2">
      <c r="A1230" s="460"/>
      <c r="B1230" s="458"/>
      <c r="C1230" s="458"/>
      <c r="D1230" s="458"/>
      <c r="E1230" s="461"/>
      <c r="F1230" s="457"/>
      <c r="G1230" s="462"/>
      <c r="H1230" s="462"/>
      <c r="I1230" s="463"/>
      <c r="J1230" s="454"/>
      <c r="K1230" s="455"/>
      <c r="L1230" s="455"/>
      <c r="M1230" s="456"/>
      <c r="N1230" s="454"/>
      <c r="O1230" s="455"/>
      <c r="P1230" s="455"/>
      <c r="Q1230" s="456"/>
      <c r="R1230" s="454"/>
      <c r="S1230" s="455"/>
      <c r="T1230" s="455"/>
      <c r="U1230" s="456"/>
      <c r="V1230" s="457"/>
      <c r="W1230" s="458"/>
      <c r="X1230" s="458"/>
      <c r="Y1230" s="458"/>
      <c r="Z1230" s="458"/>
      <c r="AA1230" s="458"/>
      <c r="AB1230" s="459"/>
    </row>
    <row r="1231" spans="1:28" ht="18" customHeight="1" x14ac:dyDescent="0.2">
      <c r="A1231" s="460"/>
      <c r="B1231" s="458"/>
      <c r="C1231" s="458"/>
      <c r="D1231" s="458"/>
      <c r="E1231" s="461"/>
      <c r="F1231" s="457"/>
      <c r="G1231" s="462"/>
      <c r="H1231" s="462"/>
      <c r="I1231" s="463"/>
      <c r="J1231" s="454"/>
      <c r="K1231" s="455"/>
      <c r="L1231" s="455"/>
      <c r="M1231" s="456"/>
      <c r="N1231" s="454"/>
      <c r="O1231" s="455"/>
      <c r="P1231" s="455"/>
      <c r="Q1231" s="456"/>
      <c r="R1231" s="454"/>
      <c r="S1231" s="455"/>
      <c r="T1231" s="455"/>
      <c r="U1231" s="456"/>
      <c r="V1231" s="457"/>
      <c r="W1231" s="458"/>
      <c r="X1231" s="458"/>
      <c r="Y1231" s="458"/>
      <c r="Z1231" s="458"/>
      <c r="AA1231" s="458"/>
      <c r="AB1231" s="459"/>
    </row>
    <row r="1232" spans="1:28" ht="18" customHeight="1" x14ac:dyDescent="0.2">
      <c r="A1232" s="460"/>
      <c r="B1232" s="458"/>
      <c r="C1232" s="458"/>
      <c r="D1232" s="458"/>
      <c r="E1232" s="461"/>
      <c r="F1232" s="457"/>
      <c r="G1232" s="462"/>
      <c r="H1232" s="462"/>
      <c r="I1232" s="463"/>
      <c r="J1232" s="454"/>
      <c r="K1232" s="455"/>
      <c r="L1232" s="455"/>
      <c r="M1232" s="456"/>
      <c r="N1232" s="454"/>
      <c r="O1232" s="455"/>
      <c r="P1232" s="455"/>
      <c r="Q1232" s="456"/>
      <c r="R1232" s="454"/>
      <c r="S1232" s="455"/>
      <c r="T1232" s="455"/>
      <c r="U1232" s="456"/>
      <c r="V1232" s="457"/>
      <c r="W1232" s="458"/>
      <c r="X1232" s="458"/>
      <c r="Y1232" s="458"/>
      <c r="Z1232" s="458"/>
      <c r="AA1232" s="458"/>
      <c r="AB1232" s="459"/>
    </row>
    <row r="1233" spans="1:28" ht="18" customHeight="1" x14ac:dyDescent="0.2">
      <c r="A1233" s="460"/>
      <c r="B1233" s="458"/>
      <c r="C1233" s="458"/>
      <c r="D1233" s="458"/>
      <c r="E1233" s="461"/>
      <c r="F1233" s="457"/>
      <c r="G1233" s="462"/>
      <c r="H1233" s="462"/>
      <c r="I1233" s="463"/>
      <c r="J1233" s="454"/>
      <c r="K1233" s="455"/>
      <c r="L1233" s="455"/>
      <c r="M1233" s="456"/>
      <c r="N1233" s="454"/>
      <c r="O1233" s="455"/>
      <c r="P1233" s="455"/>
      <c r="Q1233" s="456"/>
      <c r="R1233" s="454"/>
      <c r="S1233" s="455"/>
      <c r="T1233" s="455"/>
      <c r="U1233" s="456"/>
      <c r="V1233" s="457"/>
      <c r="W1233" s="458"/>
      <c r="X1233" s="458"/>
      <c r="Y1233" s="458"/>
      <c r="Z1233" s="458"/>
      <c r="AA1233" s="458"/>
      <c r="AB1233" s="459"/>
    </row>
    <row r="1234" spans="1:28" ht="18" customHeight="1" x14ac:dyDescent="0.2">
      <c r="A1234" s="460"/>
      <c r="B1234" s="458"/>
      <c r="C1234" s="458"/>
      <c r="D1234" s="458"/>
      <c r="E1234" s="461"/>
      <c r="F1234" s="457"/>
      <c r="G1234" s="462"/>
      <c r="H1234" s="462"/>
      <c r="I1234" s="463"/>
      <c r="J1234" s="454"/>
      <c r="K1234" s="455"/>
      <c r="L1234" s="455"/>
      <c r="M1234" s="456"/>
      <c r="N1234" s="454"/>
      <c r="O1234" s="455"/>
      <c r="P1234" s="455"/>
      <c r="Q1234" s="456"/>
      <c r="R1234" s="454"/>
      <c r="S1234" s="455"/>
      <c r="T1234" s="455"/>
      <c r="U1234" s="456"/>
      <c r="V1234" s="457"/>
      <c r="W1234" s="458"/>
      <c r="X1234" s="458"/>
      <c r="Y1234" s="458"/>
      <c r="Z1234" s="458"/>
      <c r="AA1234" s="458"/>
      <c r="AB1234" s="459"/>
    </row>
    <row r="1235" spans="1:28" ht="18" customHeight="1" x14ac:dyDescent="0.2">
      <c r="A1235" s="460"/>
      <c r="B1235" s="458"/>
      <c r="C1235" s="458"/>
      <c r="D1235" s="458"/>
      <c r="E1235" s="461"/>
      <c r="F1235" s="457"/>
      <c r="G1235" s="462"/>
      <c r="H1235" s="462"/>
      <c r="I1235" s="463"/>
      <c r="J1235" s="454"/>
      <c r="K1235" s="455"/>
      <c r="L1235" s="455"/>
      <c r="M1235" s="456"/>
      <c r="N1235" s="454"/>
      <c r="O1235" s="455"/>
      <c r="P1235" s="455"/>
      <c r="Q1235" s="456"/>
      <c r="R1235" s="454"/>
      <c r="S1235" s="455"/>
      <c r="T1235" s="455"/>
      <c r="U1235" s="456"/>
      <c r="V1235" s="457"/>
      <c r="W1235" s="458"/>
      <c r="X1235" s="458"/>
      <c r="Y1235" s="458"/>
      <c r="Z1235" s="458"/>
      <c r="AA1235" s="458"/>
      <c r="AB1235" s="459"/>
    </row>
    <row r="1236" spans="1:28" ht="18" customHeight="1" x14ac:dyDescent="0.2">
      <c r="A1236" s="460"/>
      <c r="B1236" s="458"/>
      <c r="C1236" s="458"/>
      <c r="D1236" s="458"/>
      <c r="E1236" s="461"/>
      <c r="F1236" s="457"/>
      <c r="G1236" s="462"/>
      <c r="H1236" s="462"/>
      <c r="I1236" s="463"/>
      <c r="J1236" s="454"/>
      <c r="K1236" s="455"/>
      <c r="L1236" s="455"/>
      <c r="M1236" s="456"/>
      <c r="N1236" s="454"/>
      <c r="O1236" s="455"/>
      <c r="P1236" s="455"/>
      <c r="Q1236" s="456"/>
      <c r="R1236" s="454"/>
      <c r="S1236" s="455"/>
      <c r="T1236" s="455"/>
      <c r="U1236" s="456"/>
      <c r="V1236" s="457"/>
      <c r="W1236" s="458"/>
      <c r="X1236" s="458"/>
      <c r="Y1236" s="458"/>
      <c r="Z1236" s="458"/>
      <c r="AA1236" s="458"/>
      <c r="AB1236" s="459"/>
    </row>
    <row r="1237" spans="1:28" ht="18" customHeight="1" x14ac:dyDescent="0.2">
      <c r="A1237" s="460"/>
      <c r="B1237" s="458"/>
      <c r="C1237" s="458"/>
      <c r="D1237" s="458"/>
      <c r="E1237" s="461"/>
      <c r="F1237" s="457"/>
      <c r="G1237" s="462"/>
      <c r="H1237" s="462"/>
      <c r="I1237" s="463"/>
      <c r="J1237" s="454"/>
      <c r="K1237" s="455"/>
      <c r="L1237" s="455"/>
      <c r="M1237" s="456"/>
      <c r="N1237" s="454"/>
      <c r="O1237" s="455"/>
      <c r="P1237" s="455"/>
      <c r="Q1237" s="456"/>
      <c r="R1237" s="454"/>
      <c r="S1237" s="455"/>
      <c r="T1237" s="455"/>
      <c r="U1237" s="456"/>
      <c r="V1237" s="457"/>
      <c r="W1237" s="458"/>
      <c r="X1237" s="458"/>
      <c r="Y1237" s="458"/>
      <c r="Z1237" s="458"/>
      <c r="AA1237" s="458"/>
      <c r="AB1237" s="459"/>
    </row>
    <row r="1238" spans="1:28" ht="18" customHeight="1" x14ac:dyDescent="0.2">
      <c r="A1238" s="460"/>
      <c r="B1238" s="458"/>
      <c r="C1238" s="458"/>
      <c r="D1238" s="458"/>
      <c r="E1238" s="461"/>
      <c r="F1238" s="457"/>
      <c r="G1238" s="462"/>
      <c r="H1238" s="462"/>
      <c r="I1238" s="463"/>
      <c r="J1238" s="454"/>
      <c r="K1238" s="455"/>
      <c r="L1238" s="455"/>
      <c r="M1238" s="456"/>
      <c r="N1238" s="454"/>
      <c r="O1238" s="455"/>
      <c r="P1238" s="455"/>
      <c r="Q1238" s="456"/>
      <c r="R1238" s="454"/>
      <c r="S1238" s="455"/>
      <c r="T1238" s="455"/>
      <c r="U1238" s="456"/>
      <c r="V1238" s="457"/>
      <c r="W1238" s="458"/>
      <c r="X1238" s="458"/>
      <c r="Y1238" s="458"/>
      <c r="Z1238" s="458"/>
      <c r="AA1238" s="458"/>
      <c r="AB1238" s="459"/>
    </row>
    <row r="1239" spans="1:28" ht="18" customHeight="1" x14ac:dyDescent="0.2">
      <c r="A1239" s="460"/>
      <c r="B1239" s="458"/>
      <c r="C1239" s="458"/>
      <c r="D1239" s="458"/>
      <c r="E1239" s="461"/>
      <c r="F1239" s="457"/>
      <c r="G1239" s="462"/>
      <c r="H1239" s="462"/>
      <c r="I1239" s="463"/>
      <c r="J1239" s="454"/>
      <c r="K1239" s="455"/>
      <c r="L1239" s="455"/>
      <c r="M1239" s="456"/>
      <c r="N1239" s="454"/>
      <c r="O1239" s="455"/>
      <c r="P1239" s="455"/>
      <c r="Q1239" s="456"/>
      <c r="R1239" s="454"/>
      <c r="S1239" s="455"/>
      <c r="T1239" s="455"/>
      <c r="U1239" s="456"/>
      <c r="V1239" s="457"/>
      <c r="W1239" s="458"/>
      <c r="X1239" s="458"/>
      <c r="Y1239" s="458"/>
      <c r="Z1239" s="458"/>
      <c r="AA1239" s="458"/>
      <c r="AB1239" s="459"/>
    </row>
    <row r="1240" spans="1:28" ht="18" customHeight="1" x14ac:dyDescent="0.2">
      <c r="A1240" s="460"/>
      <c r="B1240" s="458"/>
      <c r="C1240" s="458"/>
      <c r="D1240" s="458"/>
      <c r="E1240" s="461"/>
      <c r="F1240" s="457"/>
      <c r="G1240" s="462"/>
      <c r="H1240" s="462"/>
      <c r="I1240" s="463"/>
      <c r="J1240" s="454"/>
      <c r="K1240" s="455"/>
      <c r="L1240" s="455"/>
      <c r="M1240" s="456"/>
      <c r="N1240" s="454"/>
      <c r="O1240" s="455"/>
      <c r="P1240" s="455"/>
      <c r="Q1240" s="456"/>
      <c r="R1240" s="454"/>
      <c r="S1240" s="455"/>
      <c r="T1240" s="455"/>
      <c r="U1240" s="456"/>
      <c r="V1240" s="457"/>
      <c r="W1240" s="458"/>
      <c r="X1240" s="458"/>
      <c r="Y1240" s="458"/>
      <c r="Z1240" s="458"/>
      <c r="AA1240" s="458"/>
      <c r="AB1240" s="459"/>
    </row>
    <row r="1241" spans="1:28" ht="18" customHeight="1" x14ac:dyDescent="0.2">
      <c r="A1241" s="460"/>
      <c r="B1241" s="458"/>
      <c r="C1241" s="458"/>
      <c r="D1241" s="458"/>
      <c r="E1241" s="461"/>
      <c r="F1241" s="457"/>
      <c r="G1241" s="462"/>
      <c r="H1241" s="462"/>
      <c r="I1241" s="463"/>
      <c r="J1241" s="454"/>
      <c r="K1241" s="455"/>
      <c r="L1241" s="455"/>
      <c r="M1241" s="456"/>
      <c r="N1241" s="454"/>
      <c r="O1241" s="455"/>
      <c r="P1241" s="455"/>
      <c r="Q1241" s="456"/>
      <c r="R1241" s="454"/>
      <c r="S1241" s="455"/>
      <c r="T1241" s="455"/>
      <c r="U1241" s="456"/>
      <c r="V1241" s="457"/>
      <c r="W1241" s="458"/>
      <c r="X1241" s="458"/>
      <c r="Y1241" s="458"/>
      <c r="Z1241" s="458"/>
      <c r="AA1241" s="458"/>
      <c r="AB1241" s="459"/>
    </row>
    <row r="1242" spans="1:28" ht="18" customHeight="1" x14ac:dyDescent="0.2">
      <c r="A1242" s="460"/>
      <c r="B1242" s="458"/>
      <c r="C1242" s="458"/>
      <c r="D1242" s="458"/>
      <c r="E1242" s="461"/>
      <c r="F1242" s="457"/>
      <c r="G1242" s="462"/>
      <c r="H1242" s="462"/>
      <c r="I1242" s="463"/>
      <c r="J1242" s="454"/>
      <c r="K1242" s="455"/>
      <c r="L1242" s="455"/>
      <c r="M1242" s="456"/>
      <c r="N1242" s="454"/>
      <c r="O1242" s="455"/>
      <c r="P1242" s="455"/>
      <c r="Q1242" s="456"/>
      <c r="R1242" s="454"/>
      <c r="S1242" s="455"/>
      <c r="T1242" s="455"/>
      <c r="U1242" s="456"/>
      <c r="V1242" s="457"/>
      <c r="W1242" s="458"/>
      <c r="X1242" s="458"/>
      <c r="Y1242" s="458"/>
      <c r="Z1242" s="458"/>
      <c r="AA1242" s="458"/>
      <c r="AB1242" s="459"/>
    </row>
    <row r="1243" spans="1:28" ht="18" customHeight="1" x14ac:dyDescent="0.2">
      <c r="A1243" s="460"/>
      <c r="B1243" s="458"/>
      <c r="C1243" s="458"/>
      <c r="D1243" s="458"/>
      <c r="E1243" s="461"/>
      <c r="F1243" s="457"/>
      <c r="G1243" s="462"/>
      <c r="H1243" s="462"/>
      <c r="I1243" s="463"/>
      <c r="J1243" s="454"/>
      <c r="K1243" s="455"/>
      <c r="L1243" s="455"/>
      <c r="M1243" s="456"/>
      <c r="N1243" s="454"/>
      <c r="O1243" s="455"/>
      <c r="P1243" s="455"/>
      <c r="Q1243" s="456"/>
      <c r="R1243" s="454"/>
      <c r="S1243" s="455"/>
      <c r="T1243" s="455"/>
      <c r="U1243" s="456"/>
      <c r="V1243" s="457"/>
      <c r="W1243" s="458"/>
      <c r="X1243" s="458"/>
      <c r="Y1243" s="458"/>
      <c r="Z1243" s="458"/>
      <c r="AA1243" s="458"/>
      <c r="AB1243" s="459"/>
    </row>
    <row r="1244" spans="1:28" ht="18" customHeight="1" x14ac:dyDescent="0.2">
      <c r="A1244" s="460"/>
      <c r="B1244" s="458"/>
      <c r="C1244" s="458"/>
      <c r="D1244" s="458"/>
      <c r="E1244" s="461"/>
      <c r="F1244" s="457"/>
      <c r="G1244" s="462"/>
      <c r="H1244" s="462"/>
      <c r="I1244" s="463"/>
      <c r="J1244" s="454"/>
      <c r="K1244" s="455"/>
      <c r="L1244" s="455"/>
      <c r="M1244" s="456"/>
      <c r="N1244" s="454"/>
      <c r="O1244" s="455"/>
      <c r="P1244" s="455"/>
      <c r="Q1244" s="456"/>
      <c r="R1244" s="454"/>
      <c r="S1244" s="455"/>
      <c r="T1244" s="455"/>
      <c r="U1244" s="456"/>
      <c r="V1244" s="457"/>
      <c r="W1244" s="458"/>
      <c r="X1244" s="458"/>
      <c r="Y1244" s="458"/>
      <c r="Z1244" s="458"/>
      <c r="AA1244" s="458"/>
      <c r="AB1244" s="459"/>
    </row>
    <row r="1245" spans="1:28" ht="18" customHeight="1" x14ac:dyDescent="0.2">
      <c r="A1245" s="460"/>
      <c r="B1245" s="458"/>
      <c r="C1245" s="458"/>
      <c r="D1245" s="458"/>
      <c r="E1245" s="461"/>
      <c r="F1245" s="457"/>
      <c r="G1245" s="462"/>
      <c r="H1245" s="462"/>
      <c r="I1245" s="463"/>
      <c r="J1245" s="454"/>
      <c r="K1245" s="455"/>
      <c r="L1245" s="455"/>
      <c r="M1245" s="456"/>
      <c r="N1245" s="454"/>
      <c r="O1245" s="455"/>
      <c r="P1245" s="455"/>
      <c r="Q1245" s="456"/>
      <c r="R1245" s="454"/>
      <c r="S1245" s="455"/>
      <c r="T1245" s="455"/>
      <c r="U1245" s="456"/>
      <c r="V1245" s="457"/>
      <c r="W1245" s="458"/>
      <c r="X1245" s="458"/>
      <c r="Y1245" s="458"/>
      <c r="Z1245" s="458"/>
      <c r="AA1245" s="458"/>
      <c r="AB1245" s="459"/>
    </row>
    <row r="1246" spans="1:28" ht="18" customHeight="1" x14ac:dyDescent="0.2">
      <c r="A1246" s="460"/>
      <c r="B1246" s="458"/>
      <c r="C1246" s="458"/>
      <c r="D1246" s="458"/>
      <c r="E1246" s="461"/>
      <c r="F1246" s="457"/>
      <c r="G1246" s="462"/>
      <c r="H1246" s="462"/>
      <c r="I1246" s="463"/>
      <c r="J1246" s="454"/>
      <c r="K1246" s="455"/>
      <c r="L1246" s="455"/>
      <c r="M1246" s="456"/>
      <c r="N1246" s="454"/>
      <c r="O1246" s="455"/>
      <c r="P1246" s="455"/>
      <c r="Q1246" s="456"/>
      <c r="R1246" s="454"/>
      <c r="S1246" s="455"/>
      <c r="T1246" s="455"/>
      <c r="U1246" s="456"/>
      <c r="V1246" s="457"/>
      <c r="W1246" s="458"/>
      <c r="X1246" s="458"/>
      <c r="Y1246" s="458"/>
      <c r="Z1246" s="458"/>
      <c r="AA1246" s="458"/>
      <c r="AB1246" s="459"/>
    </row>
    <row r="1247" spans="1:28" ht="18" customHeight="1" x14ac:dyDescent="0.2">
      <c r="A1247" s="460"/>
      <c r="B1247" s="458"/>
      <c r="C1247" s="458"/>
      <c r="D1247" s="458"/>
      <c r="E1247" s="461"/>
      <c r="F1247" s="457"/>
      <c r="G1247" s="462"/>
      <c r="H1247" s="462"/>
      <c r="I1247" s="463"/>
      <c r="J1247" s="454"/>
      <c r="K1247" s="455"/>
      <c r="L1247" s="455"/>
      <c r="M1247" s="456"/>
      <c r="N1247" s="454"/>
      <c r="O1247" s="455"/>
      <c r="P1247" s="455"/>
      <c r="Q1247" s="456"/>
      <c r="R1247" s="454"/>
      <c r="S1247" s="455"/>
      <c r="T1247" s="455"/>
      <c r="U1247" s="456"/>
      <c r="V1247" s="457"/>
      <c r="W1247" s="458"/>
      <c r="X1247" s="458"/>
      <c r="Y1247" s="458"/>
      <c r="Z1247" s="458"/>
      <c r="AA1247" s="458"/>
      <c r="AB1247" s="459"/>
    </row>
    <row r="1248" spans="1:28" ht="18" customHeight="1" thickBot="1" x14ac:dyDescent="0.25">
      <c r="A1248" s="621"/>
      <c r="B1248" s="619"/>
      <c r="C1248" s="619"/>
      <c r="D1248" s="619"/>
      <c r="E1248" s="622"/>
      <c r="F1248" s="618"/>
      <c r="G1248" s="623"/>
      <c r="H1248" s="623"/>
      <c r="I1248" s="624"/>
      <c r="J1248" s="615"/>
      <c r="K1248" s="616"/>
      <c r="L1248" s="616"/>
      <c r="M1248" s="617"/>
      <c r="N1248" s="615"/>
      <c r="O1248" s="616"/>
      <c r="P1248" s="616"/>
      <c r="Q1248" s="617"/>
      <c r="R1248" s="615"/>
      <c r="S1248" s="616"/>
      <c r="T1248" s="616"/>
      <c r="U1248" s="617"/>
      <c r="V1248" s="618"/>
      <c r="W1248" s="619"/>
      <c r="X1248" s="619"/>
      <c r="Y1248" s="619"/>
      <c r="Z1248" s="619"/>
      <c r="AA1248" s="619"/>
      <c r="AB1248" s="620"/>
    </row>
    <row r="1250" spans="1:28" x14ac:dyDescent="0.2">
      <c r="A1250" s="423" t="s">
        <v>0</v>
      </c>
      <c r="B1250" s="378"/>
      <c r="C1250" s="378"/>
      <c r="D1250" s="378"/>
      <c r="E1250" s="378"/>
      <c r="F1250" s="378"/>
      <c r="G1250" s="374" t="s">
        <v>1</v>
      </c>
      <c r="H1250" s="374"/>
      <c r="I1250" s="374"/>
      <c r="J1250" s="374"/>
      <c r="K1250" s="374"/>
      <c r="L1250" s="374"/>
      <c r="M1250" s="374"/>
      <c r="N1250" s="374"/>
      <c r="O1250" s="374"/>
      <c r="P1250" s="374"/>
      <c r="Q1250" s="374"/>
      <c r="R1250" s="374"/>
      <c r="S1250" s="374"/>
      <c r="T1250" s="374"/>
      <c r="U1250" s="8"/>
      <c r="V1250" s="8"/>
      <c r="W1250" s="9"/>
      <c r="X1250" s="9"/>
      <c r="Y1250" s="378" t="s">
        <v>2</v>
      </c>
      <c r="Z1250" s="378"/>
      <c r="AA1250" s="378"/>
      <c r="AB1250" s="1"/>
    </row>
    <row r="1251" spans="1:28" x14ac:dyDescent="0.2">
      <c r="A1251" s="382"/>
      <c r="B1251" s="379"/>
      <c r="C1251" s="379"/>
      <c r="D1251" s="379"/>
      <c r="E1251" s="379"/>
      <c r="F1251" s="379"/>
      <c r="G1251" s="375"/>
      <c r="H1251" s="375"/>
      <c r="I1251" s="375"/>
      <c r="J1251" s="375"/>
      <c r="K1251" s="375"/>
      <c r="L1251" s="375"/>
      <c r="M1251" s="375"/>
      <c r="N1251" s="375"/>
      <c r="O1251" s="375"/>
      <c r="P1251" s="375"/>
      <c r="Q1251" s="375"/>
      <c r="R1251" s="375"/>
      <c r="S1251" s="375"/>
      <c r="T1251" s="375"/>
      <c r="U1251" s="6"/>
      <c r="V1251" s="6"/>
      <c r="W1251" s="10"/>
      <c r="X1251" s="14">
        <f>X1208+1</f>
        <v>23</v>
      </c>
      <c r="Y1251" s="379"/>
      <c r="Z1251" s="379"/>
      <c r="AA1251" s="379"/>
      <c r="AB1251" s="4"/>
    </row>
    <row r="1252" spans="1:28" x14ac:dyDescent="0.2">
      <c r="A1252" s="380" t="s">
        <v>3</v>
      </c>
      <c r="B1252" s="381"/>
      <c r="C1252" s="381"/>
      <c r="D1252" s="381"/>
      <c r="E1252" s="381"/>
      <c r="F1252" s="381"/>
      <c r="G1252" s="383" t="s">
        <v>5</v>
      </c>
      <c r="H1252" s="383"/>
      <c r="I1252" s="383"/>
      <c r="J1252" s="383"/>
      <c r="K1252" s="383"/>
      <c r="L1252" s="383"/>
      <c r="M1252" s="383"/>
      <c r="N1252" s="383"/>
      <c r="O1252" s="383"/>
      <c r="P1252" s="383"/>
      <c r="Q1252" s="383"/>
      <c r="R1252" s="383"/>
      <c r="S1252" s="383"/>
      <c r="T1252" s="383"/>
      <c r="U1252" s="5"/>
      <c r="V1252" s="5"/>
      <c r="W1252" s="2"/>
      <c r="X1252" s="384" t="s">
        <v>4</v>
      </c>
      <c r="Y1252" s="384"/>
      <c r="Z1252" s="384"/>
      <c r="AA1252" s="384"/>
      <c r="AB1252" s="385"/>
    </row>
    <row r="1253" spans="1:28" x14ac:dyDescent="0.2">
      <c r="A1253" s="382"/>
      <c r="B1253" s="379"/>
      <c r="C1253" s="379"/>
      <c r="D1253" s="379"/>
      <c r="E1253" s="379"/>
      <c r="F1253" s="379"/>
      <c r="G1253" s="388" t="s">
        <v>364</v>
      </c>
      <c r="H1253" s="388"/>
      <c r="I1253" s="388"/>
      <c r="J1253" s="388"/>
      <c r="K1253" s="388"/>
      <c r="L1253" s="388"/>
      <c r="M1253" s="388"/>
      <c r="N1253" s="388"/>
      <c r="O1253" s="388"/>
      <c r="P1253" s="388"/>
      <c r="Q1253" s="388"/>
      <c r="R1253" s="388"/>
      <c r="S1253" s="388"/>
      <c r="T1253" s="388"/>
      <c r="U1253" s="7"/>
      <c r="V1253" s="7"/>
      <c r="W1253" s="3"/>
      <c r="X1253" s="386"/>
      <c r="Y1253" s="386"/>
      <c r="Z1253" s="386"/>
      <c r="AA1253" s="386"/>
      <c r="AB1253" s="387"/>
    </row>
    <row r="1254" spans="1:28" ht="12.75" customHeight="1" x14ac:dyDescent="0.2">
      <c r="A1254" s="57"/>
      <c r="B1254" s="398" t="s">
        <v>365</v>
      </c>
      <c r="C1254" s="398"/>
      <c r="D1254" s="398"/>
      <c r="E1254" s="398"/>
      <c r="F1254" s="398"/>
      <c r="G1254" s="398"/>
      <c r="H1254" s="398"/>
      <c r="I1254" s="398"/>
      <c r="J1254" s="398"/>
      <c r="K1254" s="398"/>
      <c r="L1254" s="398"/>
      <c r="M1254" s="398"/>
      <c r="N1254" s="5"/>
      <c r="O1254" s="5"/>
      <c r="P1254" s="5"/>
      <c r="Q1254" s="5"/>
      <c r="R1254" s="5"/>
      <c r="S1254" s="5"/>
      <c r="T1254" s="5"/>
      <c r="U1254" s="5"/>
      <c r="V1254" s="5"/>
      <c r="W1254" s="2"/>
      <c r="X1254" s="6"/>
      <c r="Y1254" s="6"/>
      <c r="Z1254" s="6"/>
      <c r="AA1254" s="6"/>
      <c r="AB1254" s="6"/>
    </row>
    <row r="1255" spans="1:28" ht="12.75" customHeight="1" x14ac:dyDescent="0.2">
      <c r="A1255" s="57"/>
      <c r="B1255" s="436"/>
      <c r="C1255" s="436"/>
      <c r="D1255" s="436"/>
      <c r="E1255" s="436"/>
      <c r="F1255" s="436"/>
      <c r="G1255" s="436"/>
      <c r="H1255" s="436"/>
      <c r="I1255" s="436"/>
      <c r="J1255" s="436"/>
      <c r="K1255" s="436"/>
      <c r="L1255" s="436"/>
      <c r="M1255" s="436"/>
      <c r="N1255" s="5"/>
      <c r="O1255" s="5"/>
      <c r="P1255" s="5"/>
      <c r="Q1255" s="5"/>
      <c r="R1255" s="5"/>
      <c r="S1255" s="5"/>
      <c r="T1255" s="5"/>
      <c r="U1255" s="5"/>
      <c r="V1255" s="5"/>
      <c r="W1255" s="2"/>
      <c r="X1255" s="6"/>
      <c r="Y1255" s="6"/>
      <c r="Z1255" s="6"/>
      <c r="AA1255" s="6"/>
      <c r="AB1255" s="6"/>
    </row>
    <row r="1257" spans="1:28" x14ac:dyDescent="0.2">
      <c r="Y1257" s="102">
        <f>IF(D1281*D1283*D1285,D1281+D1285*D1283/1000,D1279)</f>
        <v>3700</v>
      </c>
    </row>
    <row r="1258" spans="1:28" x14ac:dyDescent="0.2">
      <c r="Y1258" s="102">
        <f>IF(D1279*D1283*D1285,D1279-D1285*D1283/1000,D1281)</f>
        <v>3640</v>
      </c>
    </row>
    <row r="1259" spans="1:28" x14ac:dyDescent="0.2">
      <c r="L1259" s="635" t="s">
        <v>166</v>
      </c>
      <c r="M1259" s="635"/>
      <c r="Y1259" s="102">
        <f>IF(D1279*D1281*D1285,(D1279-D1281)*1000/D1285,D1283)</f>
        <v>3000</v>
      </c>
    </row>
    <row r="1260" spans="1:28" x14ac:dyDescent="0.2">
      <c r="C1260" s="638">
        <f>ROUND(Y1257,3)</f>
        <v>3700</v>
      </c>
      <c r="D1260" s="638"/>
      <c r="E1260" s="638"/>
      <c r="L1260" s="635"/>
      <c r="M1260" s="635"/>
      <c r="Y1260" s="102">
        <f>IF(D1279*D1281*D1283,ROUND((D1279-D1281)*1000/D1283,0),D1285)</f>
        <v>20</v>
      </c>
    </row>
    <row r="1261" spans="1:28" ht="12.75" customHeight="1" x14ac:dyDescent="0.2">
      <c r="A1261" s="633" t="s">
        <v>348</v>
      </c>
      <c r="B1261" s="633"/>
      <c r="C1261" s="638"/>
      <c r="D1261" s="638"/>
      <c r="E1261" s="638"/>
      <c r="L1261" s="635"/>
      <c r="M1261" s="635"/>
      <c r="N1261" s="634" t="str">
        <f>ROUND(Y1259,2)&amp;" m"</f>
        <v>3000 m</v>
      </c>
      <c r="O1261" s="634"/>
      <c r="P1261" s="634"/>
      <c r="Q1261" s="634"/>
    </row>
    <row r="1262" spans="1:28" x14ac:dyDescent="0.2">
      <c r="A1262" s="633"/>
      <c r="B1262" s="633"/>
      <c r="C1262" s="638"/>
      <c r="D1262" s="638"/>
      <c r="E1262" s="638"/>
      <c r="N1262" s="634"/>
      <c r="O1262" s="634"/>
      <c r="P1262" s="634"/>
      <c r="Q1262" s="634"/>
    </row>
    <row r="1263" spans="1:28" ht="15.75" x14ac:dyDescent="0.25">
      <c r="A1263" s="633"/>
      <c r="B1263" s="633"/>
      <c r="C1263" s="33"/>
      <c r="N1263" s="634"/>
      <c r="O1263" s="634"/>
      <c r="P1263" s="634"/>
      <c r="Q1263" s="634"/>
    </row>
    <row r="1264" spans="1:28" x14ac:dyDescent="0.2">
      <c r="N1264" s="634"/>
      <c r="O1264" s="634"/>
      <c r="P1264" s="634"/>
      <c r="Q1264" s="634"/>
    </row>
    <row r="1265" spans="2:83" x14ac:dyDescent="0.2">
      <c r="K1265" s="635" t="s">
        <v>355</v>
      </c>
      <c r="L1265" s="635"/>
    </row>
    <row r="1266" spans="2:83" x14ac:dyDescent="0.2">
      <c r="K1266" s="635"/>
      <c r="L1266" s="635"/>
    </row>
    <row r="1267" spans="2:83" ht="12.75" customHeight="1" x14ac:dyDescent="0.2">
      <c r="K1267" s="635"/>
      <c r="L1267" s="635"/>
      <c r="M1267" s="637">
        <f>Y1260</f>
        <v>20</v>
      </c>
      <c r="N1267" s="637"/>
      <c r="O1267" s="143"/>
      <c r="P1267" s="143"/>
    </row>
    <row r="1268" spans="2:83" x14ac:dyDescent="0.2">
      <c r="M1268" s="637"/>
      <c r="N1268" s="637"/>
      <c r="O1268" s="636" t="s">
        <v>358</v>
      </c>
      <c r="P1268" s="636"/>
    </row>
    <row r="1269" spans="2:83" x14ac:dyDescent="0.2">
      <c r="M1269" s="143"/>
      <c r="N1269" s="143"/>
      <c r="O1269" s="636"/>
      <c r="P1269" s="636"/>
    </row>
    <row r="1270" spans="2:83" x14ac:dyDescent="0.2">
      <c r="M1270" s="143"/>
      <c r="N1270" s="143"/>
      <c r="O1270" s="636"/>
      <c r="P1270" s="636"/>
    </row>
    <row r="1275" spans="2:83" ht="12.75" customHeight="1" x14ac:dyDescent="0.2">
      <c r="V1275" s="625">
        <f>ROUND(Y1258,3)</f>
        <v>3640</v>
      </c>
      <c r="W1275" s="625"/>
      <c r="X1275" s="625"/>
      <c r="AD1275" s="294" t="s">
        <v>690</v>
      </c>
      <c r="AE1275" s="294"/>
      <c r="AF1275" s="294"/>
      <c r="AG1275" s="294"/>
      <c r="AH1275" s="294"/>
    </row>
    <row r="1276" spans="2:83" ht="12.75" customHeight="1" x14ac:dyDescent="0.2">
      <c r="T1276" s="626" t="s">
        <v>349</v>
      </c>
      <c r="U1276" s="626"/>
      <c r="V1276" s="625"/>
      <c r="W1276" s="625"/>
      <c r="X1276" s="625"/>
    </row>
    <row r="1277" spans="2:83" x14ac:dyDescent="0.2">
      <c r="T1277" s="626"/>
      <c r="U1277" s="626"/>
      <c r="V1277" s="625"/>
      <c r="W1277" s="625"/>
      <c r="X1277" s="625"/>
    </row>
    <row r="1278" spans="2:83" ht="18.75" customHeight="1" thickBot="1" x14ac:dyDescent="0.25">
      <c r="T1278" s="626"/>
      <c r="U1278" s="626"/>
    </row>
    <row r="1279" spans="2:83" ht="12.75" customHeight="1" x14ac:dyDescent="0.25">
      <c r="B1279" s="349" t="s">
        <v>350</v>
      </c>
      <c r="C1279" s="350"/>
      <c r="D1279" s="351">
        <v>3700</v>
      </c>
      <c r="E1279" s="352"/>
      <c r="F1279" s="352"/>
      <c r="G1279" s="352"/>
      <c r="H1279" s="353"/>
      <c r="I1279" s="354" t="s">
        <v>353</v>
      </c>
      <c r="J1279" s="355"/>
      <c r="K1279" s="355"/>
      <c r="L1279" s="355"/>
      <c r="M1279" s="355"/>
      <c r="N1279" s="328" t="s">
        <v>360</v>
      </c>
      <c r="O1279" s="329"/>
      <c r="P1279" s="329"/>
      <c r="Q1279" s="332" t="s">
        <v>347</v>
      </c>
      <c r="R1279" s="332"/>
      <c r="S1279" s="332"/>
      <c r="T1279" s="313" t="str">
        <f>IF(D1281*D1283*D1285," = "&amp;D1281&amp;" + "&amp;D1285&amp;"·"&amp;D1283&amp;"/1000"&amp;" = "&amp;ROUND(D1281+D1285*D1283/1000,3)," ")</f>
        <v xml:space="preserve"> </v>
      </c>
      <c r="U1279" s="313"/>
      <c r="V1279" s="313"/>
      <c r="W1279" s="313"/>
      <c r="X1279" s="313"/>
      <c r="Y1279" s="313"/>
      <c r="Z1279" s="313"/>
      <c r="AA1279" s="314"/>
      <c r="AB1279" s="144"/>
      <c r="AC1279" s="144"/>
      <c r="AD1279" s="349" t="s">
        <v>350</v>
      </c>
      <c r="AE1279" s="350"/>
      <c r="AF1279" s="351"/>
      <c r="AG1279" s="352"/>
      <c r="AH1279" s="352"/>
      <c r="AI1279" s="352"/>
      <c r="AJ1279" s="353"/>
      <c r="AK1279" s="354" t="s">
        <v>353</v>
      </c>
      <c r="AL1279" s="355"/>
      <c r="AM1279" s="355"/>
      <c r="AN1279" s="355"/>
      <c r="AO1279" s="355"/>
      <c r="AP1279" s="328" t="s">
        <v>360</v>
      </c>
      <c r="AQ1279" s="329"/>
      <c r="AR1279" s="329"/>
      <c r="AS1279" s="332" t="s">
        <v>347</v>
      </c>
      <c r="AT1279" s="332"/>
      <c r="AU1279" s="332"/>
      <c r="AV1279" s="313" t="str">
        <f>IF(AF1281*AF1283*AF1285," = "&amp;AF1281&amp;" + "&amp;AF1285&amp;"·"&amp;AF1283&amp;"/1000"&amp;" = "&amp;ROUND(AF1281+AF1285*AF1283/1000,3)," ")</f>
        <v xml:space="preserve"> </v>
      </c>
      <c r="AW1279" s="313"/>
      <c r="AX1279" s="313"/>
      <c r="AY1279" s="313"/>
      <c r="AZ1279" s="313"/>
      <c r="BA1279" s="313"/>
      <c r="BB1279" s="313"/>
      <c r="BC1279" s="314"/>
      <c r="BF1279" s="349" t="s">
        <v>350</v>
      </c>
      <c r="BG1279" s="350"/>
      <c r="BH1279" s="351"/>
      <c r="BI1279" s="352"/>
      <c r="BJ1279" s="352"/>
      <c r="BK1279" s="352"/>
      <c r="BL1279" s="353"/>
      <c r="BM1279" s="354" t="s">
        <v>353</v>
      </c>
      <c r="BN1279" s="355"/>
      <c r="BO1279" s="355"/>
      <c r="BP1279" s="355"/>
      <c r="BQ1279" s="355"/>
      <c r="BR1279" s="328" t="s">
        <v>360</v>
      </c>
      <c r="BS1279" s="329"/>
      <c r="BT1279" s="329"/>
      <c r="BU1279" s="332" t="s">
        <v>347</v>
      </c>
      <c r="BV1279" s="332"/>
      <c r="BW1279" s="332"/>
      <c r="BX1279" s="313" t="str">
        <f>IF(BH1281*BH1283*BH1285," = "&amp;BH1281&amp;" + "&amp;BH1285&amp;"·"&amp;BH1283&amp;"/1000"&amp;" = "&amp;ROUND(BH1281+BH1285*BH1283/1000,3)," ")</f>
        <v xml:space="preserve"> </v>
      </c>
      <c r="BY1279" s="313"/>
      <c r="BZ1279" s="313"/>
      <c r="CA1279" s="313"/>
      <c r="CB1279" s="313"/>
      <c r="CC1279" s="313"/>
      <c r="CD1279" s="313"/>
      <c r="CE1279" s="314"/>
    </row>
    <row r="1280" spans="2:83" ht="12.75" customHeight="1" thickBot="1" x14ac:dyDescent="0.3">
      <c r="B1280" s="320"/>
      <c r="C1280" s="321"/>
      <c r="D1280" s="304"/>
      <c r="E1280" s="305"/>
      <c r="F1280" s="305"/>
      <c r="G1280" s="305"/>
      <c r="H1280" s="306"/>
      <c r="I1280" s="325"/>
      <c r="J1280" s="326"/>
      <c r="K1280" s="326"/>
      <c r="L1280" s="326"/>
      <c r="M1280" s="326"/>
      <c r="N1280" s="330"/>
      <c r="O1280" s="331"/>
      <c r="P1280" s="331"/>
      <c r="Q1280" s="317">
        <v>1000</v>
      </c>
      <c r="R1280" s="317"/>
      <c r="S1280" s="317"/>
      <c r="T1280" s="315"/>
      <c r="U1280" s="315"/>
      <c r="V1280" s="315"/>
      <c r="W1280" s="315"/>
      <c r="X1280" s="315"/>
      <c r="Y1280" s="315"/>
      <c r="Z1280" s="315"/>
      <c r="AA1280" s="316"/>
      <c r="AB1280" s="144"/>
      <c r="AC1280" s="144"/>
      <c r="AD1280" s="320"/>
      <c r="AE1280" s="321"/>
      <c r="AF1280" s="304"/>
      <c r="AG1280" s="305"/>
      <c r="AH1280" s="305"/>
      <c r="AI1280" s="305"/>
      <c r="AJ1280" s="306"/>
      <c r="AK1280" s="325"/>
      <c r="AL1280" s="326"/>
      <c r="AM1280" s="326"/>
      <c r="AN1280" s="326"/>
      <c r="AO1280" s="326"/>
      <c r="AP1280" s="330"/>
      <c r="AQ1280" s="331"/>
      <c r="AR1280" s="331"/>
      <c r="AS1280" s="317">
        <v>1000</v>
      </c>
      <c r="AT1280" s="317"/>
      <c r="AU1280" s="317"/>
      <c r="AV1280" s="315"/>
      <c r="AW1280" s="315"/>
      <c r="AX1280" s="315"/>
      <c r="AY1280" s="315"/>
      <c r="AZ1280" s="315"/>
      <c r="BA1280" s="315"/>
      <c r="BB1280" s="315"/>
      <c r="BC1280" s="316"/>
      <c r="BF1280" s="320"/>
      <c r="BG1280" s="321"/>
      <c r="BH1280" s="304"/>
      <c r="BI1280" s="305"/>
      <c r="BJ1280" s="305"/>
      <c r="BK1280" s="305"/>
      <c r="BL1280" s="306"/>
      <c r="BM1280" s="325"/>
      <c r="BN1280" s="326"/>
      <c r="BO1280" s="326"/>
      <c r="BP1280" s="326"/>
      <c r="BQ1280" s="326"/>
      <c r="BR1280" s="330"/>
      <c r="BS1280" s="331"/>
      <c r="BT1280" s="331"/>
      <c r="BU1280" s="317">
        <v>1000</v>
      </c>
      <c r="BV1280" s="317"/>
      <c r="BW1280" s="317"/>
      <c r="BX1280" s="315"/>
      <c r="BY1280" s="315"/>
      <c r="BZ1280" s="315"/>
      <c r="CA1280" s="315"/>
      <c r="CB1280" s="315"/>
      <c r="CC1280" s="315"/>
      <c r="CD1280" s="315"/>
      <c r="CE1280" s="316"/>
    </row>
    <row r="1281" spans="2:83" ht="12.75" customHeight="1" x14ac:dyDescent="0.25">
      <c r="B1281" s="318" t="s">
        <v>351</v>
      </c>
      <c r="C1281" s="319"/>
      <c r="D1281" s="301"/>
      <c r="E1281" s="302"/>
      <c r="F1281" s="302"/>
      <c r="G1281" s="302"/>
      <c r="H1281" s="303"/>
      <c r="I1281" s="322" t="s">
        <v>352</v>
      </c>
      <c r="J1281" s="323"/>
      <c r="K1281" s="323"/>
      <c r="L1281" s="323"/>
      <c r="M1281" s="324"/>
      <c r="N1281" s="328" t="s">
        <v>361</v>
      </c>
      <c r="O1281" s="329"/>
      <c r="P1281" s="329"/>
      <c r="Q1281" s="332" t="s">
        <v>347</v>
      </c>
      <c r="R1281" s="332"/>
      <c r="S1281" s="332"/>
      <c r="T1281" s="313" t="str">
        <f>IF(D1279*D1283*D1285," = "&amp;D1279&amp;" - "&amp;D1285&amp;"·"&amp;D1283&amp;"/1000"&amp;" = "&amp;ROUND(D1279-D1285*D1283/1000,3)," ")</f>
        <v xml:space="preserve"> = 3700 - 20·3000/1000 = 3640</v>
      </c>
      <c r="U1281" s="313"/>
      <c r="V1281" s="313"/>
      <c r="W1281" s="313"/>
      <c r="X1281" s="313"/>
      <c r="Y1281" s="313"/>
      <c r="Z1281" s="313"/>
      <c r="AA1281" s="314"/>
      <c r="AB1281" s="144"/>
      <c r="AC1281" s="144"/>
      <c r="AD1281" s="318" t="s">
        <v>351</v>
      </c>
      <c r="AE1281" s="319"/>
      <c r="AF1281" s="301"/>
      <c r="AG1281" s="302"/>
      <c r="AH1281" s="302"/>
      <c r="AI1281" s="302"/>
      <c r="AJ1281" s="303"/>
      <c r="AK1281" s="322" t="s">
        <v>352</v>
      </c>
      <c r="AL1281" s="323"/>
      <c r="AM1281" s="323"/>
      <c r="AN1281" s="323"/>
      <c r="AO1281" s="324"/>
      <c r="AP1281" s="328" t="s">
        <v>361</v>
      </c>
      <c r="AQ1281" s="329"/>
      <c r="AR1281" s="329"/>
      <c r="AS1281" s="332" t="s">
        <v>347</v>
      </c>
      <c r="AT1281" s="332"/>
      <c r="AU1281" s="332"/>
      <c r="AV1281" s="313" t="str">
        <f>IF(AF1279*AF1283*AF1285," = "&amp;AF1279&amp;" - "&amp;AF1285&amp;"·"&amp;AF1283&amp;"/1000"&amp;" = "&amp;ROUND(AF1279-AF1285*AF1283/1000,3)," ")</f>
        <v xml:space="preserve"> </v>
      </c>
      <c r="AW1281" s="313"/>
      <c r="AX1281" s="313"/>
      <c r="AY1281" s="313"/>
      <c r="AZ1281" s="313"/>
      <c r="BA1281" s="313"/>
      <c r="BB1281" s="313"/>
      <c r="BC1281" s="314"/>
      <c r="BF1281" s="318" t="s">
        <v>351</v>
      </c>
      <c r="BG1281" s="319"/>
      <c r="BH1281" s="301"/>
      <c r="BI1281" s="302"/>
      <c r="BJ1281" s="302"/>
      <c r="BK1281" s="302"/>
      <c r="BL1281" s="303"/>
      <c r="BM1281" s="322" t="s">
        <v>352</v>
      </c>
      <c r="BN1281" s="323"/>
      <c r="BO1281" s="323"/>
      <c r="BP1281" s="323"/>
      <c r="BQ1281" s="324"/>
      <c r="BR1281" s="328" t="s">
        <v>361</v>
      </c>
      <c r="BS1281" s="329"/>
      <c r="BT1281" s="329"/>
      <c r="BU1281" s="332" t="s">
        <v>347</v>
      </c>
      <c r="BV1281" s="332"/>
      <c r="BW1281" s="332"/>
      <c r="BX1281" s="313" t="str">
        <f>IF(BH1279*BH1283*BH1285," = "&amp;BH1279&amp;" - "&amp;BH1285&amp;"·"&amp;BH1283&amp;"/1000"&amp;" = "&amp;ROUND(BH1279-BH1285*BH1283/1000,3)," ")</f>
        <v xml:space="preserve"> </v>
      </c>
      <c r="BY1281" s="313"/>
      <c r="BZ1281" s="313"/>
      <c r="CA1281" s="313"/>
      <c r="CB1281" s="313"/>
      <c r="CC1281" s="313"/>
      <c r="CD1281" s="313"/>
      <c r="CE1281" s="314"/>
    </row>
    <row r="1282" spans="2:83" ht="12.75" customHeight="1" thickBot="1" x14ac:dyDescent="0.3">
      <c r="B1282" s="320"/>
      <c r="C1282" s="321"/>
      <c r="D1282" s="304"/>
      <c r="E1282" s="305"/>
      <c r="F1282" s="305"/>
      <c r="G1282" s="305"/>
      <c r="H1282" s="306"/>
      <c r="I1282" s="325"/>
      <c r="J1282" s="326"/>
      <c r="K1282" s="326"/>
      <c r="L1282" s="326"/>
      <c r="M1282" s="327"/>
      <c r="N1282" s="330"/>
      <c r="O1282" s="331"/>
      <c r="P1282" s="331"/>
      <c r="Q1282" s="317">
        <v>1000</v>
      </c>
      <c r="R1282" s="317"/>
      <c r="S1282" s="317"/>
      <c r="T1282" s="315"/>
      <c r="U1282" s="315"/>
      <c r="V1282" s="315"/>
      <c r="W1282" s="315"/>
      <c r="X1282" s="315"/>
      <c r="Y1282" s="315"/>
      <c r="Z1282" s="315"/>
      <c r="AA1282" s="316"/>
      <c r="AB1282" s="144"/>
      <c r="AC1282" s="144"/>
      <c r="AD1282" s="320"/>
      <c r="AE1282" s="321"/>
      <c r="AF1282" s="304"/>
      <c r="AG1282" s="305"/>
      <c r="AH1282" s="305"/>
      <c r="AI1282" s="305"/>
      <c r="AJ1282" s="306"/>
      <c r="AK1282" s="325"/>
      <c r="AL1282" s="326"/>
      <c r="AM1282" s="326"/>
      <c r="AN1282" s="326"/>
      <c r="AO1282" s="327"/>
      <c r="AP1282" s="330"/>
      <c r="AQ1282" s="331"/>
      <c r="AR1282" s="331"/>
      <c r="AS1282" s="317">
        <v>1000</v>
      </c>
      <c r="AT1282" s="317"/>
      <c r="AU1282" s="317"/>
      <c r="AV1282" s="315"/>
      <c r="AW1282" s="315"/>
      <c r="AX1282" s="315"/>
      <c r="AY1282" s="315"/>
      <c r="AZ1282" s="315"/>
      <c r="BA1282" s="315"/>
      <c r="BB1282" s="315"/>
      <c r="BC1282" s="316"/>
      <c r="BF1282" s="320"/>
      <c r="BG1282" s="321"/>
      <c r="BH1282" s="304"/>
      <c r="BI1282" s="305"/>
      <c r="BJ1282" s="305"/>
      <c r="BK1282" s="305"/>
      <c r="BL1282" s="306"/>
      <c r="BM1282" s="325"/>
      <c r="BN1282" s="326"/>
      <c r="BO1282" s="326"/>
      <c r="BP1282" s="326"/>
      <c r="BQ1282" s="327"/>
      <c r="BR1282" s="330"/>
      <c r="BS1282" s="331"/>
      <c r="BT1282" s="331"/>
      <c r="BU1282" s="317">
        <v>1000</v>
      </c>
      <c r="BV1282" s="317"/>
      <c r="BW1282" s="317"/>
      <c r="BX1282" s="315"/>
      <c r="BY1282" s="315"/>
      <c r="BZ1282" s="315"/>
      <c r="CA1282" s="315"/>
      <c r="CB1282" s="315"/>
      <c r="CC1282" s="315"/>
      <c r="CD1282" s="315"/>
      <c r="CE1282" s="316"/>
    </row>
    <row r="1283" spans="2:83" ht="12.75" customHeight="1" x14ac:dyDescent="0.3">
      <c r="B1283" s="318" t="s">
        <v>166</v>
      </c>
      <c r="C1283" s="319"/>
      <c r="D1283" s="301">
        <v>3000</v>
      </c>
      <c r="E1283" s="302"/>
      <c r="F1283" s="302"/>
      <c r="G1283" s="302"/>
      <c r="H1283" s="303"/>
      <c r="I1283" s="322" t="s">
        <v>354</v>
      </c>
      <c r="J1283" s="323"/>
      <c r="K1283" s="323"/>
      <c r="L1283" s="323"/>
      <c r="M1283" s="324"/>
      <c r="N1283" s="328" t="s">
        <v>356</v>
      </c>
      <c r="O1283" s="333" t="s">
        <v>362</v>
      </c>
      <c r="P1283" s="333"/>
      <c r="Q1283" s="333"/>
      <c r="R1283" s="329" t="s">
        <v>357</v>
      </c>
      <c r="S1283" s="329"/>
      <c r="T1283" s="334" t="str">
        <f>IF(D1279*D1281*D1285," = ("&amp;D1279&amp;" - "&amp;D1281&amp;")·1000/"&amp;D1285&amp;" = "&amp;ROUND((D1279-D1281)*1000/D1285,3)," ")</f>
        <v xml:space="preserve"> </v>
      </c>
      <c r="U1283" s="334"/>
      <c r="V1283" s="334"/>
      <c r="W1283" s="334"/>
      <c r="X1283" s="334"/>
      <c r="Y1283" s="334"/>
      <c r="Z1283" s="334"/>
      <c r="AA1283" s="335"/>
      <c r="AB1283" s="56"/>
      <c r="AC1283" s="56"/>
      <c r="AD1283" s="318" t="s">
        <v>166</v>
      </c>
      <c r="AE1283" s="319"/>
      <c r="AF1283" s="301"/>
      <c r="AG1283" s="302"/>
      <c r="AH1283" s="302"/>
      <c r="AI1283" s="302"/>
      <c r="AJ1283" s="303"/>
      <c r="AK1283" s="322" t="s">
        <v>354</v>
      </c>
      <c r="AL1283" s="323"/>
      <c r="AM1283" s="323"/>
      <c r="AN1283" s="323"/>
      <c r="AO1283" s="324"/>
      <c r="AP1283" s="328" t="s">
        <v>356</v>
      </c>
      <c r="AQ1283" s="333" t="s">
        <v>362</v>
      </c>
      <c r="AR1283" s="333"/>
      <c r="AS1283" s="333"/>
      <c r="AT1283" s="329" t="s">
        <v>357</v>
      </c>
      <c r="AU1283" s="329"/>
      <c r="AV1283" s="334" t="str">
        <f>IF(AF1279*AF1281*AF1285," = ("&amp;AF1279&amp;" - "&amp;AF1281&amp;")·1000/"&amp;AF1285&amp;" = "&amp;ROUND((AF1279-AF1281)*1000/AF1285,3)," ")</f>
        <v xml:space="preserve"> </v>
      </c>
      <c r="AW1283" s="334"/>
      <c r="AX1283" s="334"/>
      <c r="AY1283" s="334"/>
      <c r="AZ1283" s="334"/>
      <c r="BA1283" s="334"/>
      <c r="BB1283" s="334"/>
      <c r="BC1283" s="335"/>
      <c r="BF1283" s="318" t="s">
        <v>166</v>
      </c>
      <c r="BG1283" s="319"/>
      <c r="BH1283" s="301"/>
      <c r="BI1283" s="302"/>
      <c r="BJ1283" s="302"/>
      <c r="BK1283" s="302"/>
      <c r="BL1283" s="303"/>
      <c r="BM1283" s="322" t="s">
        <v>354</v>
      </c>
      <c r="BN1283" s="323"/>
      <c r="BO1283" s="323"/>
      <c r="BP1283" s="323"/>
      <c r="BQ1283" s="324"/>
      <c r="BR1283" s="328" t="s">
        <v>356</v>
      </c>
      <c r="BS1283" s="333" t="s">
        <v>362</v>
      </c>
      <c r="BT1283" s="333"/>
      <c r="BU1283" s="333"/>
      <c r="BV1283" s="329" t="s">
        <v>357</v>
      </c>
      <c r="BW1283" s="329"/>
      <c r="BX1283" s="334" t="str">
        <f>IF(BH1279*BH1281*BH1285," = ("&amp;BH1279&amp;" - "&amp;BH1281&amp;")·1000/"&amp;BH1285&amp;" = "&amp;ROUND((BH1279-BH1281)*1000/BH1285,3)," ")</f>
        <v xml:space="preserve"> </v>
      </c>
      <c r="BY1283" s="334"/>
      <c r="BZ1283" s="334"/>
      <c r="CA1283" s="334"/>
      <c r="CB1283" s="334"/>
      <c r="CC1283" s="334"/>
      <c r="CD1283" s="334"/>
      <c r="CE1283" s="335"/>
    </row>
    <row r="1284" spans="2:83" ht="12.75" customHeight="1" thickBot="1" x14ac:dyDescent="0.25">
      <c r="B1284" s="320"/>
      <c r="C1284" s="321"/>
      <c r="D1284" s="304"/>
      <c r="E1284" s="305"/>
      <c r="F1284" s="305"/>
      <c r="G1284" s="305"/>
      <c r="H1284" s="306"/>
      <c r="I1284" s="325"/>
      <c r="J1284" s="326"/>
      <c r="K1284" s="326"/>
      <c r="L1284" s="326"/>
      <c r="M1284" s="327"/>
      <c r="N1284" s="330"/>
      <c r="O1284" s="338" t="s">
        <v>355</v>
      </c>
      <c r="P1284" s="338"/>
      <c r="Q1284" s="338"/>
      <c r="R1284" s="331"/>
      <c r="S1284" s="331"/>
      <c r="T1284" s="336"/>
      <c r="U1284" s="336"/>
      <c r="V1284" s="336"/>
      <c r="W1284" s="336"/>
      <c r="X1284" s="336"/>
      <c r="Y1284" s="336"/>
      <c r="Z1284" s="336"/>
      <c r="AA1284" s="337"/>
      <c r="AB1284" s="56"/>
      <c r="AC1284" s="56"/>
      <c r="AD1284" s="320"/>
      <c r="AE1284" s="321"/>
      <c r="AF1284" s="304"/>
      <c r="AG1284" s="305"/>
      <c r="AH1284" s="305"/>
      <c r="AI1284" s="305"/>
      <c r="AJ1284" s="306"/>
      <c r="AK1284" s="325"/>
      <c r="AL1284" s="326"/>
      <c r="AM1284" s="326"/>
      <c r="AN1284" s="326"/>
      <c r="AO1284" s="327"/>
      <c r="AP1284" s="330"/>
      <c r="AQ1284" s="338" t="s">
        <v>355</v>
      </c>
      <c r="AR1284" s="338"/>
      <c r="AS1284" s="338"/>
      <c r="AT1284" s="331"/>
      <c r="AU1284" s="331"/>
      <c r="AV1284" s="336"/>
      <c r="AW1284" s="336"/>
      <c r="AX1284" s="336"/>
      <c r="AY1284" s="336"/>
      <c r="AZ1284" s="336"/>
      <c r="BA1284" s="336"/>
      <c r="BB1284" s="336"/>
      <c r="BC1284" s="337"/>
      <c r="BF1284" s="320"/>
      <c r="BG1284" s="321"/>
      <c r="BH1284" s="304"/>
      <c r="BI1284" s="305"/>
      <c r="BJ1284" s="305"/>
      <c r="BK1284" s="305"/>
      <c r="BL1284" s="306"/>
      <c r="BM1284" s="325"/>
      <c r="BN1284" s="326"/>
      <c r="BO1284" s="326"/>
      <c r="BP1284" s="326"/>
      <c r="BQ1284" s="327"/>
      <c r="BR1284" s="330"/>
      <c r="BS1284" s="338" t="s">
        <v>355</v>
      </c>
      <c r="BT1284" s="338"/>
      <c r="BU1284" s="338"/>
      <c r="BV1284" s="331"/>
      <c r="BW1284" s="331"/>
      <c r="BX1284" s="336"/>
      <c r="BY1284" s="336"/>
      <c r="BZ1284" s="336"/>
      <c r="CA1284" s="336"/>
      <c r="CB1284" s="336"/>
      <c r="CC1284" s="336"/>
      <c r="CD1284" s="336"/>
      <c r="CE1284" s="337"/>
    </row>
    <row r="1285" spans="2:83" ht="12.75" customHeight="1" x14ac:dyDescent="0.3">
      <c r="B1285" s="295" t="s">
        <v>355</v>
      </c>
      <c r="C1285" s="296"/>
      <c r="D1285" s="299">
        <v>20</v>
      </c>
      <c r="E1285" s="299"/>
      <c r="F1285" s="299"/>
      <c r="G1285" s="299"/>
      <c r="H1285" s="299"/>
      <c r="I1285" s="339" t="s">
        <v>359</v>
      </c>
      <c r="J1285" s="339"/>
      <c r="K1285" s="339"/>
      <c r="L1285" s="339"/>
      <c r="M1285" s="340"/>
      <c r="N1285" s="328" t="s">
        <v>363</v>
      </c>
      <c r="O1285" s="333" t="s">
        <v>362</v>
      </c>
      <c r="P1285" s="333"/>
      <c r="Q1285" s="333"/>
      <c r="R1285" s="329" t="s">
        <v>357</v>
      </c>
      <c r="S1285" s="329"/>
      <c r="T1285" s="313" t="str">
        <f>IF(D1279*D1281*D1283," = ("&amp;D1279&amp;"-"&amp;D1281&amp;") ·1000/"&amp;D1283&amp;" = "&amp;ROUND((D1279-D1281)*1000/D1283,2)," = "&amp;D1285)</f>
        <v xml:space="preserve"> = 20</v>
      </c>
      <c r="U1285" s="313"/>
      <c r="V1285" s="313"/>
      <c r="W1285" s="313"/>
      <c r="X1285" s="313"/>
      <c r="Y1285" s="313"/>
      <c r="Z1285" s="313"/>
      <c r="AA1285" s="314"/>
      <c r="AB1285" s="144"/>
      <c r="AC1285" s="144"/>
      <c r="AD1285" s="295" t="s">
        <v>355</v>
      </c>
      <c r="AE1285" s="296"/>
      <c r="AF1285" s="299"/>
      <c r="AG1285" s="299"/>
      <c r="AH1285" s="299"/>
      <c r="AI1285" s="299"/>
      <c r="AJ1285" s="299"/>
      <c r="AK1285" s="339" t="s">
        <v>359</v>
      </c>
      <c r="AL1285" s="339"/>
      <c r="AM1285" s="339"/>
      <c r="AN1285" s="339"/>
      <c r="AO1285" s="340"/>
      <c r="AP1285" s="328" t="s">
        <v>363</v>
      </c>
      <c r="AQ1285" s="333" t="s">
        <v>362</v>
      </c>
      <c r="AR1285" s="333"/>
      <c r="AS1285" s="333"/>
      <c r="AT1285" s="329" t="s">
        <v>357</v>
      </c>
      <c r="AU1285" s="329"/>
      <c r="AV1285" s="313" t="str">
        <f>IF(AF1279*AF1281*AF1283," = ("&amp;AF1279&amp;"-"&amp;AF1281&amp;") ·1000/"&amp;AF1283&amp;" = "&amp;ROUND((AF1279-AF1281)*1000/AF1283,2)," = "&amp;AF1285)</f>
        <v xml:space="preserve"> = </v>
      </c>
      <c r="AW1285" s="313"/>
      <c r="AX1285" s="313"/>
      <c r="AY1285" s="313"/>
      <c r="AZ1285" s="313"/>
      <c r="BA1285" s="313"/>
      <c r="BB1285" s="313"/>
      <c r="BC1285" s="314"/>
      <c r="BF1285" s="295" t="s">
        <v>355</v>
      </c>
      <c r="BG1285" s="296"/>
      <c r="BH1285" s="299"/>
      <c r="BI1285" s="299"/>
      <c r="BJ1285" s="299"/>
      <c r="BK1285" s="299"/>
      <c r="BL1285" s="299"/>
      <c r="BM1285" s="339" t="s">
        <v>359</v>
      </c>
      <c r="BN1285" s="339"/>
      <c r="BO1285" s="339"/>
      <c r="BP1285" s="339"/>
      <c r="BQ1285" s="340"/>
      <c r="BR1285" s="328" t="s">
        <v>363</v>
      </c>
      <c r="BS1285" s="333" t="s">
        <v>362</v>
      </c>
      <c r="BT1285" s="333"/>
      <c r="BU1285" s="333"/>
      <c r="BV1285" s="329" t="s">
        <v>357</v>
      </c>
      <c r="BW1285" s="329"/>
      <c r="BX1285" s="313" t="str">
        <f>IF(BH1279*BH1281*BH1283," = ("&amp;BH1279&amp;"-"&amp;BH1281&amp;") ·1000/"&amp;BH1283&amp;" = "&amp;ROUND((BH1279-BH1281)*1000/BH1283,2)," = "&amp;BH1285)</f>
        <v xml:space="preserve"> = </v>
      </c>
      <c r="BY1285" s="313"/>
      <c r="BZ1285" s="313"/>
      <c r="CA1285" s="313"/>
      <c r="CB1285" s="313"/>
      <c r="CC1285" s="313"/>
      <c r="CD1285" s="313"/>
      <c r="CE1285" s="314"/>
    </row>
    <row r="1286" spans="2:83" ht="12.75" customHeight="1" thickBot="1" x14ac:dyDescent="0.3">
      <c r="B1286" s="297"/>
      <c r="C1286" s="298"/>
      <c r="D1286" s="300"/>
      <c r="E1286" s="300"/>
      <c r="F1286" s="300"/>
      <c r="G1286" s="300"/>
      <c r="H1286" s="300"/>
      <c r="I1286" s="341"/>
      <c r="J1286" s="341"/>
      <c r="K1286" s="341"/>
      <c r="L1286" s="341"/>
      <c r="M1286" s="342"/>
      <c r="N1286" s="330"/>
      <c r="O1286" s="338" t="s">
        <v>355</v>
      </c>
      <c r="P1286" s="338"/>
      <c r="Q1286" s="338"/>
      <c r="R1286" s="331"/>
      <c r="S1286" s="331"/>
      <c r="T1286" s="315"/>
      <c r="U1286" s="315"/>
      <c r="V1286" s="315"/>
      <c r="W1286" s="315"/>
      <c r="X1286" s="315"/>
      <c r="Y1286" s="315"/>
      <c r="Z1286" s="315"/>
      <c r="AA1286" s="316"/>
      <c r="AB1286" s="144"/>
      <c r="AC1286" s="144"/>
      <c r="AD1286" s="297"/>
      <c r="AE1286" s="298"/>
      <c r="AF1286" s="300"/>
      <c r="AG1286" s="300"/>
      <c r="AH1286" s="300"/>
      <c r="AI1286" s="300"/>
      <c r="AJ1286" s="300"/>
      <c r="AK1286" s="341"/>
      <c r="AL1286" s="341"/>
      <c r="AM1286" s="341"/>
      <c r="AN1286" s="341"/>
      <c r="AO1286" s="342"/>
      <c r="AP1286" s="330"/>
      <c r="AQ1286" s="338" t="s">
        <v>355</v>
      </c>
      <c r="AR1286" s="338"/>
      <c r="AS1286" s="338"/>
      <c r="AT1286" s="331"/>
      <c r="AU1286" s="331"/>
      <c r="AV1286" s="315"/>
      <c r="AW1286" s="315"/>
      <c r="AX1286" s="315"/>
      <c r="AY1286" s="315"/>
      <c r="AZ1286" s="315"/>
      <c r="BA1286" s="315"/>
      <c r="BB1286" s="315"/>
      <c r="BC1286" s="316"/>
      <c r="BF1286" s="297"/>
      <c r="BG1286" s="298"/>
      <c r="BH1286" s="300"/>
      <c r="BI1286" s="300"/>
      <c r="BJ1286" s="300"/>
      <c r="BK1286" s="300"/>
      <c r="BL1286" s="300"/>
      <c r="BM1286" s="341"/>
      <c r="BN1286" s="341"/>
      <c r="BO1286" s="341"/>
      <c r="BP1286" s="341"/>
      <c r="BQ1286" s="342"/>
      <c r="BR1286" s="330"/>
      <c r="BS1286" s="338" t="s">
        <v>355</v>
      </c>
      <c r="BT1286" s="338"/>
      <c r="BU1286" s="338"/>
      <c r="BV1286" s="331"/>
      <c r="BW1286" s="331"/>
      <c r="BX1286" s="315"/>
      <c r="BY1286" s="315"/>
      <c r="BZ1286" s="315"/>
      <c r="CA1286" s="315"/>
      <c r="CB1286" s="315"/>
      <c r="CC1286" s="315"/>
      <c r="CD1286" s="315"/>
      <c r="CE1286" s="316"/>
    </row>
    <row r="1287" spans="2:83" ht="12.75" customHeight="1" x14ac:dyDescent="0.2">
      <c r="B1287" s="343" t="str">
        <f>IF(D1279*D1281*D1283*D1285,"Fejl - du må kun indsætte 3 tal. Det sidste bliver beregnet","Indsæt 3 af tallene - og det sidste bliver beregnet")</f>
        <v>Indsæt 3 af tallene - og det sidste bliver beregnet</v>
      </c>
      <c r="C1287" s="344"/>
      <c r="D1287" s="344"/>
      <c r="E1287" s="344"/>
      <c r="F1287" s="344"/>
      <c r="G1287" s="344"/>
      <c r="H1287" s="344"/>
      <c r="I1287" s="344"/>
      <c r="J1287" s="344"/>
      <c r="K1287" s="344"/>
      <c r="L1287" s="344"/>
      <c r="M1287" s="344"/>
      <c r="N1287" s="344"/>
      <c r="O1287" s="344"/>
      <c r="P1287" s="344"/>
      <c r="Q1287" s="344"/>
      <c r="R1287" s="344"/>
      <c r="S1287" s="344"/>
      <c r="T1287" s="344"/>
      <c r="U1287" s="344"/>
      <c r="V1287" s="344"/>
      <c r="W1287" s="344"/>
      <c r="X1287" s="344"/>
      <c r="Y1287" s="344"/>
      <c r="Z1287" s="344"/>
      <c r="AA1287" s="345"/>
      <c r="AD1287" s="343" t="str">
        <f>IF(AF1279*AF1281*AF1283*AF1285,"Fejl - du må kun indsætte 3 tal. Det sidste bliver beregnet","Indsæt 3 af tallene - og det sidste bliver beregnet")</f>
        <v>Indsæt 3 af tallene - og det sidste bliver beregnet</v>
      </c>
      <c r="AE1287" s="344"/>
      <c r="AF1287" s="344"/>
      <c r="AG1287" s="344"/>
      <c r="AH1287" s="344"/>
      <c r="AI1287" s="344"/>
      <c r="AJ1287" s="344"/>
      <c r="AK1287" s="344"/>
      <c r="AL1287" s="344"/>
      <c r="AM1287" s="344"/>
      <c r="AN1287" s="344"/>
      <c r="AO1287" s="344"/>
      <c r="AP1287" s="344"/>
      <c r="AQ1287" s="344"/>
      <c r="AR1287" s="344"/>
      <c r="AS1287" s="344"/>
      <c r="AT1287" s="344"/>
      <c r="AU1287" s="344"/>
      <c r="AV1287" s="344"/>
      <c r="AW1287" s="344"/>
      <c r="AX1287" s="344"/>
      <c r="AY1287" s="344"/>
      <c r="AZ1287" s="344"/>
      <c r="BA1287" s="344"/>
      <c r="BB1287" s="344"/>
      <c r="BC1287" s="345"/>
      <c r="BF1287" s="343" t="str">
        <f>IF(BH1279*BH1281*BH1283*BH1285,"Fejl - du må kun indsætte 3 tal. Det sidste bliver beregnet","Indsæt 3 af tallene - og det sidste bliver beregnet")</f>
        <v>Indsæt 3 af tallene - og det sidste bliver beregnet</v>
      </c>
      <c r="BG1287" s="344"/>
      <c r="BH1287" s="344"/>
      <c r="BI1287" s="344"/>
      <c r="BJ1287" s="344"/>
      <c r="BK1287" s="344"/>
      <c r="BL1287" s="344"/>
      <c r="BM1287" s="344"/>
      <c r="BN1287" s="344"/>
      <c r="BO1287" s="344"/>
      <c r="BP1287" s="344"/>
      <c r="BQ1287" s="344"/>
      <c r="BR1287" s="344"/>
      <c r="BS1287" s="344"/>
      <c r="BT1287" s="344"/>
      <c r="BU1287" s="344"/>
      <c r="BV1287" s="344"/>
      <c r="BW1287" s="344"/>
      <c r="BX1287" s="344"/>
      <c r="BY1287" s="344"/>
      <c r="BZ1287" s="344"/>
      <c r="CA1287" s="344"/>
      <c r="CB1287" s="344"/>
      <c r="CC1287" s="344"/>
      <c r="CD1287" s="344"/>
      <c r="CE1287" s="345"/>
    </row>
    <row r="1288" spans="2:83" ht="12.75" customHeight="1" thickBot="1" x14ac:dyDescent="0.25">
      <c r="B1288" s="346"/>
      <c r="C1288" s="347"/>
      <c r="D1288" s="347"/>
      <c r="E1288" s="347"/>
      <c r="F1288" s="347"/>
      <c r="G1288" s="347"/>
      <c r="H1288" s="347"/>
      <c r="I1288" s="347"/>
      <c r="J1288" s="347"/>
      <c r="K1288" s="347"/>
      <c r="L1288" s="347"/>
      <c r="M1288" s="347"/>
      <c r="N1288" s="347"/>
      <c r="O1288" s="347"/>
      <c r="P1288" s="347"/>
      <c r="Q1288" s="347"/>
      <c r="R1288" s="347"/>
      <c r="S1288" s="347"/>
      <c r="T1288" s="347"/>
      <c r="U1288" s="347"/>
      <c r="V1288" s="347"/>
      <c r="W1288" s="347"/>
      <c r="X1288" s="347"/>
      <c r="Y1288" s="347"/>
      <c r="Z1288" s="347"/>
      <c r="AA1288" s="348"/>
      <c r="AD1288" s="346"/>
      <c r="AE1288" s="347"/>
      <c r="AF1288" s="347"/>
      <c r="AG1288" s="347"/>
      <c r="AH1288" s="347"/>
      <c r="AI1288" s="347"/>
      <c r="AJ1288" s="347"/>
      <c r="AK1288" s="347"/>
      <c r="AL1288" s="347"/>
      <c r="AM1288" s="347"/>
      <c r="AN1288" s="347"/>
      <c r="AO1288" s="347"/>
      <c r="AP1288" s="347"/>
      <c r="AQ1288" s="347"/>
      <c r="AR1288" s="347"/>
      <c r="AS1288" s="347"/>
      <c r="AT1288" s="347"/>
      <c r="AU1288" s="347"/>
      <c r="AV1288" s="347"/>
      <c r="AW1288" s="347"/>
      <c r="AX1288" s="347"/>
      <c r="AY1288" s="347"/>
      <c r="AZ1288" s="347"/>
      <c r="BA1288" s="347"/>
      <c r="BB1288" s="347"/>
      <c r="BC1288" s="348"/>
      <c r="BF1288" s="346"/>
      <c r="BG1288" s="347"/>
      <c r="BH1288" s="347"/>
      <c r="BI1288" s="347"/>
      <c r="BJ1288" s="347"/>
      <c r="BK1288" s="347"/>
      <c r="BL1288" s="347"/>
      <c r="BM1288" s="347"/>
      <c r="BN1288" s="347"/>
      <c r="BO1288" s="347"/>
      <c r="BP1288" s="347"/>
      <c r="BQ1288" s="347"/>
      <c r="BR1288" s="347"/>
      <c r="BS1288" s="347"/>
      <c r="BT1288" s="347"/>
      <c r="BU1288" s="347"/>
      <c r="BV1288" s="347"/>
      <c r="BW1288" s="347"/>
      <c r="BX1288" s="347"/>
      <c r="BY1288" s="347"/>
      <c r="BZ1288" s="347"/>
      <c r="CA1288" s="347"/>
      <c r="CB1288" s="347"/>
      <c r="CC1288" s="347"/>
      <c r="CD1288" s="347"/>
      <c r="CE1288" s="348"/>
    </row>
    <row r="1290" spans="2:83" x14ac:dyDescent="0.2">
      <c r="B1290" s="399" t="s">
        <v>367</v>
      </c>
      <c r="C1290" s="399"/>
      <c r="D1290" s="399"/>
      <c r="E1290" s="399"/>
      <c r="F1290" s="399"/>
      <c r="G1290" s="399"/>
      <c r="H1290" s="399"/>
      <c r="I1290" s="399"/>
      <c r="J1290" s="399"/>
      <c r="K1290" s="399"/>
      <c r="L1290" s="399"/>
      <c r="M1290" s="399"/>
    </row>
    <row r="1291" spans="2:83" x14ac:dyDescent="0.2">
      <c r="B1291" s="399"/>
      <c r="C1291" s="399"/>
      <c r="D1291" s="399"/>
      <c r="E1291" s="399"/>
      <c r="F1291" s="399"/>
      <c r="G1291" s="399"/>
      <c r="H1291" s="399"/>
      <c r="I1291" s="399"/>
      <c r="J1291" s="399"/>
      <c r="K1291" s="399"/>
      <c r="L1291" s="399"/>
      <c r="M1291" s="399"/>
    </row>
    <row r="1292" spans="2:83" ht="6" customHeight="1" x14ac:dyDescent="0.2"/>
    <row r="1293" spans="2:83" x14ac:dyDescent="0.2">
      <c r="U1293" s="53"/>
      <c r="V1293" s="53"/>
    </row>
    <row r="1300" spans="1:34" x14ac:dyDescent="0.2">
      <c r="B1300" t="s">
        <v>374</v>
      </c>
    </row>
    <row r="1301" spans="1:34" ht="13.5" thickBot="1" x14ac:dyDescent="0.25"/>
    <row r="1302" spans="1:34" ht="16.5" x14ac:dyDescent="0.3">
      <c r="B1302" s="153" t="s">
        <v>368</v>
      </c>
      <c r="C1302" s="154"/>
      <c r="D1302" s="154"/>
      <c r="E1302" s="154"/>
      <c r="F1302" s="154"/>
      <c r="G1302" s="155" t="s">
        <v>369</v>
      </c>
      <c r="H1302" s="437">
        <v>125</v>
      </c>
      <c r="I1302" s="438"/>
      <c r="J1302" s="439"/>
      <c r="K1302" s="630" t="str">
        <f>IF(H1302&lt;&gt;0,"f  = 1/"&amp;H1302&amp;" = "&amp;ROUND(1/H1302*1000,1),"")</f>
        <v>f  = 1/125 = 8</v>
      </c>
      <c r="L1302" s="631"/>
      <c r="M1302" s="631"/>
      <c r="N1302" s="631"/>
      <c r="O1302" s="631"/>
      <c r="P1302" s="631"/>
      <c r="Q1302" s="631"/>
      <c r="R1302" s="145" t="s">
        <v>370</v>
      </c>
      <c r="S1302" s="146"/>
      <c r="T1302" s="147"/>
      <c r="AD1302" s="294" t="s">
        <v>690</v>
      </c>
      <c r="AE1302" s="294"/>
      <c r="AF1302" s="294"/>
      <c r="AG1302" s="294"/>
      <c r="AH1302" s="294"/>
    </row>
    <row r="1303" spans="1:34" ht="16.5" x14ac:dyDescent="0.3">
      <c r="B1303" s="156" t="s">
        <v>371</v>
      </c>
      <c r="C1303" s="149"/>
      <c r="D1303" s="149"/>
      <c r="E1303" s="149"/>
      <c r="F1303" s="440" t="s">
        <v>372</v>
      </c>
      <c r="G1303" s="441"/>
      <c r="H1303" s="442">
        <v>5</v>
      </c>
      <c r="I1303" s="443"/>
      <c r="J1303" s="444"/>
      <c r="K1303" s="632" t="str">
        <f>IF(H1303&lt;&gt;0,"f  = 1/"&amp;H1303&amp;" = "&amp;ROUND(1/H1303*1000,1),"")</f>
        <v>f  = 1/5 = 200</v>
      </c>
      <c r="L1303" s="440"/>
      <c r="M1303" s="440"/>
      <c r="N1303" s="440"/>
      <c r="O1303" s="440"/>
      <c r="P1303" s="440"/>
      <c r="Q1303" s="440"/>
      <c r="R1303" s="148" t="s">
        <v>370</v>
      </c>
      <c r="S1303" s="149"/>
      <c r="T1303" s="150"/>
    </row>
    <row r="1304" spans="1:34" ht="17.25" thickBot="1" x14ac:dyDescent="0.35">
      <c r="B1304" s="151" t="s">
        <v>373</v>
      </c>
      <c r="C1304" s="157"/>
      <c r="D1304" s="157"/>
      <c r="E1304" s="157"/>
      <c r="F1304" s="445" t="s">
        <v>151</v>
      </c>
      <c r="G1304" s="446"/>
      <c r="H1304" s="627">
        <v>87</v>
      </c>
      <c r="I1304" s="628"/>
      <c r="J1304" s="629"/>
      <c r="K1304" s="151" t="s">
        <v>50</v>
      </c>
      <c r="L1304" s="445" t="str">
        <f>" f = tan(90 - "&amp;H1304&amp;") = "&amp;ROUND(1000*TAN((90-H1304)/180*PI()),1)</f>
        <v xml:space="preserve"> f = tan(90 - 87) = 52,4</v>
      </c>
      <c r="M1304" s="445"/>
      <c r="N1304" s="445"/>
      <c r="O1304" s="445"/>
      <c r="P1304" s="445"/>
      <c r="Q1304" s="445"/>
      <c r="R1304" s="445"/>
      <c r="S1304" s="445"/>
      <c r="T1304" s="152" t="s">
        <v>370</v>
      </c>
    </row>
    <row r="1308" spans="1:34" x14ac:dyDescent="0.2">
      <c r="A1308" s="423" t="s">
        <v>0</v>
      </c>
      <c r="B1308" s="378"/>
      <c r="C1308" s="378"/>
      <c r="D1308" s="378"/>
      <c r="E1308" s="378"/>
      <c r="F1308" s="378"/>
      <c r="G1308" s="374" t="s">
        <v>1</v>
      </c>
      <c r="H1308" s="374"/>
      <c r="I1308" s="374"/>
      <c r="J1308" s="374"/>
      <c r="K1308" s="374"/>
      <c r="L1308" s="374"/>
      <c r="M1308" s="374"/>
      <c r="N1308" s="374"/>
      <c r="O1308" s="374"/>
      <c r="P1308" s="374"/>
      <c r="Q1308" s="374"/>
      <c r="R1308" s="374"/>
      <c r="S1308" s="374"/>
      <c r="T1308" s="374"/>
      <c r="U1308" s="8"/>
      <c r="V1308" s="8"/>
      <c r="W1308" s="9"/>
      <c r="X1308" s="9"/>
      <c r="Y1308" s="378" t="s">
        <v>2</v>
      </c>
      <c r="Z1308" s="378"/>
      <c r="AA1308" s="378"/>
      <c r="AB1308" s="1"/>
    </row>
    <row r="1309" spans="1:34" x14ac:dyDescent="0.2">
      <c r="A1309" s="382"/>
      <c r="B1309" s="379"/>
      <c r="C1309" s="379"/>
      <c r="D1309" s="379"/>
      <c r="E1309" s="379"/>
      <c r="F1309" s="379"/>
      <c r="G1309" s="375"/>
      <c r="H1309" s="375"/>
      <c r="I1309" s="375"/>
      <c r="J1309" s="375"/>
      <c r="K1309" s="375"/>
      <c r="L1309" s="375"/>
      <c r="M1309" s="375"/>
      <c r="N1309" s="375"/>
      <c r="O1309" s="375"/>
      <c r="P1309" s="375"/>
      <c r="Q1309" s="375"/>
      <c r="R1309" s="375"/>
      <c r="S1309" s="375"/>
      <c r="T1309" s="375"/>
      <c r="U1309" s="6"/>
      <c r="V1309" s="6"/>
      <c r="W1309" s="10"/>
      <c r="X1309" s="14">
        <f>X1251+1</f>
        <v>24</v>
      </c>
      <c r="Y1309" s="379"/>
      <c r="Z1309" s="379"/>
      <c r="AA1309" s="379"/>
      <c r="AB1309" s="4"/>
    </row>
    <row r="1310" spans="1:34" x14ac:dyDescent="0.2">
      <c r="A1310" s="380" t="s">
        <v>3</v>
      </c>
      <c r="B1310" s="381"/>
      <c r="C1310" s="381"/>
      <c r="D1310" s="381"/>
      <c r="E1310" s="381"/>
      <c r="F1310" s="381"/>
      <c r="G1310" s="383" t="s">
        <v>5</v>
      </c>
      <c r="H1310" s="383"/>
      <c r="I1310" s="383"/>
      <c r="J1310" s="383"/>
      <c r="K1310" s="383"/>
      <c r="L1310" s="383"/>
      <c r="M1310" s="383"/>
      <c r="N1310" s="383"/>
      <c r="O1310" s="383"/>
      <c r="P1310" s="383"/>
      <c r="Q1310" s="383"/>
      <c r="R1310" s="383"/>
      <c r="S1310" s="383"/>
      <c r="T1310" s="383"/>
      <c r="U1310" s="5"/>
      <c r="V1310" s="5"/>
      <c r="W1310" s="2"/>
      <c r="X1310" s="384" t="s">
        <v>4</v>
      </c>
      <c r="Y1310" s="384"/>
      <c r="Z1310" s="384"/>
      <c r="AA1310" s="384"/>
      <c r="AB1310" s="385"/>
    </row>
    <row r="1311" spans="1:34" x14ac:dyDescent="0.2">
      <c r="A1311" s="382"/>
      <c r="B1311" s="379"/>
      <c r="C1311" s="379"/>
      <c r="D1311" s="379"/>
      <c r="E1311" s="379"/>
      <c r="F1311" s="379"/>
      <c r="G1311" s="388" t="s">
        <v>364</v>
      </c>
      <c r="H1311" s="388"/>
      <c r="I1311" s="388"/>
      <c r="J1311" s="388"/>
      <c r="K1311" s="388"/>
      <c r="L1311" s="388"/>
      <c r="M1311" s="388"/>
      <c r="N1311" s="388"/>
      <c r="O1311" s="388"/>
      <c r="P1311" s="388"/>
      <c r="Q1311" s="388"/>
      <c r="R1311" s="388"/>
      <c r="S1311" s="388"/>
      <c r="T1311" s="388"/>
      <c r="U1311" s="7"/>
      <c r="V1311" s="7"/>
      <c r="W1311" s="3"/>
      <c r="X1311" s="386"/>
      <c r="Y1311" s="386"/>
      <c r="Z1311" s="386"/>
      <c r="AA1311" s="386"/>
      <c r="AB1311" s="387"/>
      <c r="AD1311" s="294" t="s">
        <v>690</v>
      </c>
      <c r="AE1311" s="294"/>
      <c r="AF1311" s="294"/>
      <c r="AG1311" s="294"/>
      <c r="AH1311" s="294"/>
    </row>
    <row r="1312" spans="1:34" x14ac:dyDescent="0.2">
      <c r="B1312" s="399" t="s">
        <v>366</v>
      </c>
      <c r="C1312" s="399"/>
      <c r="D1312" s="399"/>
      <c r="E1312" s="399"/>
      <c r="F1312" s="399"/>
      <c r="G1312" s="399"/>
      <c r="H1312" s="399"/>
      <c r="I1312" s="399"/>
      <c r="J1312" s="399"/>
      <c r="K1312" s="399"/>
      <c r="L1312" s="399"/>
      <c r="M1312" s="399"/>
    </row>
    <row r="1313" spans="2:27" x14ac:dyDescent="0.2">
      <c r="B1313" s="399"/>
      <c r="C1313" s="399"/>
      <c r="D1313" s="399"/>
      <c r="E1313" s="399"/>
      <c r="F1313" s="399"/>
      <c r="G1313" s="399"/>
      <c r="H1313" s="399"/>
      <c r="I1313" s="399"/>
      <c r="J1313" s="399"/>
      <c r="K1313" s="399"/>
      <c r="L1313" s="399"/>
      <c r="M1313" s="399"/>
    </row>
    <row r="1315" spans="2:27" ht="15.75" x14ac:dyDescent="0.25">
      <c r="B1315" s="641" t="s">
        <v>376</v>
      </c>
      <c r="C1315" s="642"/>
      <c r="D1315" s="642"/>
      <c r="E1315" s="642"/>
      <c r="F1315" s="642"/>
      <c r="G1315" s="642"/>
      <c r="H1315" s="642"/>
      <c r="I1315" s="642"/>
      <c r="J1315" s="642"/>
      <c r="K1315" s="642"/>
      <c r="L1315" s="642"/>
      <c r="M1315" s="642"/>
      <c r="N1315" s="642"/>
      <c r="O1315" s="642"/>
      <c r="P1315" s="642"/>
      <c r="Q1315" s="642"/>
      <c r="R1315" s="643"/>
      <c r="S1315" s="641" t="s">
        <v>380</v>
      </c>
      <c r="T1315" s="642"/>
      <c r="U1315" s="642"/>
      <c r="V1315" s="642"/>
      <c r="W1315" s="642"/>
      <c r="X1315" s="642"/>
      <c r="Y1315" s="642"/>
      <c r="Z1315" s="642"/>
      <c r="AA1315" s="643"/>
    </row>
    <row r="1316" spans="2:27" x14ac:dyDescent="0.2">
      <c r="B1316" s="34"/>
      <c r="C1316" s="35"/>
      <c r="D1316" s="35"/>
      <c r="E1316" s="35"/>
      <c r="F1316" s="35"/>
      <c r="G1316" s="35"/>
      <c r="H1316" s="35"/>
      <c r="I1316" s="35"/>
      <c r="J1316" s="35"/>
      <c r="K1316" s="36"/>
      <c r="L1316" s="34"/>
      <c r="M1316" s="35"/>
      <c r="N1316" s="35"/>
      <c r="O1316" s="35"/>
      <c r="P1316" s="35"/>
      <c r="Q1316" s="35"/>
      <c r="R1316" s="36"/>
      <c r="S1316" s="34"/>
      <c r="T1316" s="35"/>
      <c r="U1316" s="35"/>
      <c r="V1316" s="35"/>
      <c r="W1316" s="35"/>
      <c r="X1316" s="35"/>
      <c r="Y1316" s="35"/>
      <c r="Z1316" s="35"/>
      <c r="AA1316" s="36"/>
    </row>
    <row r="1317" spans="2:27" x14ac:dyDescent="0.2">
      <c r="B1317" s="39"/>
      <c r="C1317" s="2"/>
      <c r="D1317" s="2"/>
      <c r="E1317" s="2"/>
      <c r="F1317" s="2"/>
      <c r="G1317" s="2"/>
      <c r="H1317" s="2"/>
      <c r="I1317" s="2"/>
      <c r="J1317" s="2"/>
      <c r="K1317" s="40"/>
      <c r="L1317" s="39"/>
      <c r="M1317" s="2"/>
      <c r="N1317" s="2"/>
      <c r="O1317" s="2"/>
      <c r="P1317" s="2"/>
      <c r="Q1317" s="2"/>
      <c r="R1317" s="40"/>
      <c r="S1317" s="39"/>
      <c r="T1317" s="2"/>
      <c r="U1317" s="2"/>
      <c r="V1317" s="2"/>
      <c r="W1317" s="2"/>
      <c r="X1317" s="2"/>
      <c r="Y1317" s="2"/>
      <c r="Z1317" s="2"/>
      <c r="AA1317" s="40"/>
    </row>
    <row r="1318" spans="2:27" x14ac:dyDescent="0.2">
      <c r="B1318" s="39"/>
      <c r="C1318" s="2"/>
      <c r="D1318" s="2"/>
      <c r="E1318" s="2"/>
      <c r="F1318" s="2"/>
      <c r="G1318" s="2"/>
      <c r="H1318" s="2"/>
      <c r="I1318" s="2"/>
      <c r="J1318" s="2"/>
      <c r="K1318" s="40"/>
      <c r="L1318" s="39"/>
      <c r="M1318" s="2"/>
      <c r="N1318" s="2"/>
      <c r="O1318" s="2"/>
      <c r="P1318" s="2"/>
      <c r="Q1318" s="2"/>
      <c r="R1318" s="40"/>
      <c r="S1318" s="39"/>
      <c r="T1318" s="2"/>
      <c r="U1318" s="2"/>
      <c r="V1318" s="2"/>
      <c r="W1318" s="2"/>
      <c r="X1318" s="2"/>
      <c r="Y1318" s="2"/>
      <c r="Z1318" s="2"/>
      <c r="AA1318" s="40"/>
    </row>
    <row r="1319" spans="2:27" ht="15.75" x14ac:dyDescent="0.3">
      <c r="B1319" s="39"/>
      <c r="C1319" s="2"/>
      <c r="D1319" s="2"/>
      <c r="E1319" s="2"/>
      <c r="F1319" s="2"/>
      <c r="G1319" s="2"/>
      <c r="H1319" s="2"/>
      <c r="I1319" s="2"/>
      <c r="J1319" s="2"/>
      <c r="K1319" s="40"/>
      <c r="L1319" s="39"/>
      <c r="M1319" s="2"/>
      <c r="N1319" s="2"/>
      <c r="O1319" s="2"/>
      <c r="P1319" s="2"/>
      <c r="Q1319" s="2"/>
      <c r="R1319" s="40"/>
      <c r="S1319" s="39"/>
      <c r="T1319" s="2"/>
      <c r="U1319" s="2"/>
      <c r="V1319" s="2"/>
      <c r="W1319" s="2"/>
      <c r="X1319" s="2"/>
      <c r="Y1319" s="2"/>
      <c r="Z1319" s="115" t="s">
        <v>378</v>
      </c>
      <c r="AA1319" s="40"/>
    </row>
    <row r="1320" spans="2:27" ht="15.75" x14ac:dyDescent="0.3">
      <c r="B1320" s="39"/>
      <c r="C1320" s="2"/>
      <c r="D1320" s="2"/>
      <c r="E1320" s="2"/>
      <c r="F1320" s="2"/>
      <c r="G1320" s="2"/>
      <c r="H1320" s="2"/>
      <c r="I1320" s="2"/>
      <c r="J1320" s="2"/>
      <c r="K1320" s="40"/>
      <c r="L1320" s="39"/>
      <c r="M1320" s="2"/>
      <c r="N1320" s="2"/>
      <c r="O1320" s="2"/>
      <c r="P1320" s="2"/>
      <c r="Q1320" s="2"/>
      <c r="R1320" s="40"/>
      <c r="S1320" s="482" t="s">
        <v>379</v>
      </c>
      <c r="T1320" s="483"/>
      <c r="U1320" s="2"/>
      <c r="V1320" s="2"/>
      <c r="W1320" s="2"/>
      <c r="X1320" s="2"/>
      <c r="Y1320" s="2"/>
      <c r="Z1320" s="2"/>
      <c r="AA1320" s="40"/>
    </row>
    <row r="1321" spans="2:27" x14ac:dyDescent="0.2">
      <c r="B1321" s="39"/>
      <c r="C1321" s="2"/>
      <c r="D1321" s="2"/>
      <c r="E1321" s="2"/>
      <c r="F1321" s="2"/>
      <c r="G1321" s="2"/>
      <c r="H1321" s="2"/>
      <c r="I1321" s="2"/>
      <c r="J1321" s="2"/>
      <c r="K1321" s="40"/>
      <c r="L1321" s="39"/>
      <c r="M1321" s="2"/>
      <c r="N1321" s="2"/>
      <c r="O1321" s="2"/>
      <c r="P1321" s="2"/>
      <c r="Q1321" s="2"/>
      <c r="R1321" s="40"/>
      <c r="S1321" s="39"/>
      <c r="T1321" s="2"/>
      <c r="U1321" s="2"/>
      <c r="V1321" s="2"/>
      <c r="W1321" s="2"/>
      <c r="X1321" s="2"/>
      <c r="Y1321" s="2"/>
      <c r="Z1321" s="2"/>
      <c r="AA1321" s="40"/>
    </row>
    <row r="1322" spans="2:27" x14ac:dyDescent="0.2">
      <c r="B1322" s="39"/>
      <c r="C1322" s="2"/>
      <c r="D1322" s="2"/>
      <c r="E1322" s="2"/>
      <c r="F1322" s="2"/>
      <c r="G1322" s="2" t="s">
        <v>381</v>
      </c>
      <c r="H1322" s="2"/>
      <c r="I1322" s="2"/>
      <c r="J1322" s="2"/>
      <c r="K1322" s="40"/>
      <c r="L1322" s="39"/>
      <c r="M1322" s="2"/>
      <c r="N1322" s="2"/>
      <c r="O1322" s="2"/>
      <c r="P1322" s="2"/>
      <c r="Q1322" s="2"/>
      <c r="R1322" s="40"/>
      <c r="S1322" s="39"/>
      <c r="T1322" s="2"/>
      <c r="U1322" s="2"/>
      <c r="V1322" s="2"/>
      <c r="W1322" s="2"/>
      <c r="X1322" s="2"/>
      <c r="Y1322" s="2"/>
      <c r="Z1322" s="2"/>
      <c r="AA1322" s="40"/>
    </row>
    <row r="1323" spans="2:27" x14ac:dyDescent="0.2">
      <c r="B1323" s="39"/>
      <c r="C1323" s="2"/>
      <c r="D1323" s="2"/>
      <c r="E1323" s="2"/>
      <c r="F1323" s="2"/>
      <c r="G1323" s="2" t="s">
        <v>382</v>
      </c>
      <c r="H1323" s="2"/>
      <c r="I1323" s="2"/>
      <c r="J1323" s="2"/>
      <c r="K1323" s="40"/>
      <c r="L1323" s="39"/>
      <c r="M1323" s="2"/>
      <c r="N1323" s="2"/>
      <c r="O1323" s="2"/>
      <c r="P1323" s="2"/>
      <c r="Q1323" s="2"/>
      <c r="R1323" s="40"/>
      <c r="S1323" s="39"/>
      <c r="T1323" s="2"/>
      <c r="U1323" s="2"/>
      <c r="V1323" s="2"/>
      <c r="W1323" s="2"/>
      <c r="X1323" s="2"/>
      <c r="Y1323" s="2"/>
      <c r="Z1323" s="2"/>
      <c r="AA1323" s="40"/>
    </row>
    <row r="1324" spans="2:27" ht="15.75" x14ac:dyDescent="0.25">
      <c r="B1324" s="158" t="s">
        <v>101</v>
      </c>
      <c r="C1324" s="415">
        <v>800</v>
      </c>
      <c r="D1324" s="415"/>
      <c r="E1324" s="415"/>
      <c r="F1324" s="2" t="s">
        <v>260</v>
      </c>
      <c r="G1324" s="2"/>
      <c r="H1324" s="2"/>
      <c r="I1324" s="2"/>
      <c r="J1324" s="2"/>
      <c r="K1324" s="40"/>
      <c r="L1324" s="158" t="s">
        <v>101</v>
      </c>
      <c r="M1324" s="415">
        <v>250</v>
      </c>
      <c r="N1324" s="415"/>
      <c r="O1324" s="415"/>
      <c r="P1324" s="2" t="s">
        <v>260</v>
      </c>
      <c r="Q1324" s="2"/>
      <c r="R1324" s="40"/>
      <c r="S1324" s="39"/>
      <c r="T1324" s="159" t="s">
        <v>101</v>
      </c>
      <c r="U1324" s="415">
        <v>160</v>
      </c>
      <c r="V1324" s="415"/>
      <c r="W1324" s="415"/>
      <c r="X1324" s="2" t="s">
        <v>260</v>
      </c>
      <c r="Y1324" s="2"/>
      <c r="Z1324" s="2"/>
      <c r="AA1324" s="40"/>
    </row>
    <row r="1325" spans="2:27" ht="15.75" x14ac:dyDescent="0.25">
      <c r="B1325" s="158" t="s">
        <v>79</v>
      </c>
      <c r="C1325" s="415">
        <v>104</v>
      </c>
      <c r="D1325" s="415"/>
      <c r="E1325" s="415"/>
      <c r="F1325" s="2" t="s">
        <v>260</v>
      </c>
      <c r="G1325" s="2"/>
      <c r="H1325" s="2"/>
      <c r="I1325" s="2"/>
      <c r="J1325" s="2"/>
      <c r="K1325" s="40"/>
      <c r="L1325" s="158" t="s">
        <v>79</v>
      </c>
      <c r="M1325" s="415">
        <v>150</v>
      </c>
      <c r="N1325" s="415"/>
      <c r="O1325" s="415"/>
      <c r="P1325" s="2" t="s">
        <v>260</v>
      </c>
      <c r="Q1325" s="2"/>
      <c r="R1325" s="40"/>
      <c r="S1325" s="39"/>
      <c r="T1325" s="159" t="s">
        <v>79</v>
      </c>
      <c r="U1325" s="415">
        <v>110</v>
      </c>
      <c r="V1325" s="415"/>
      <c r="W1325" s="415"/>
      <c r="X1325" s="2" t="s">
        <v>260</v>
      </c>
      <c r="Y1325" s="2"/>
      <c r="Z1325" s="2"/>
      <c r="AA1325" s="40"/>
    </row>
    <row r="1326" spans="2:27" x14ac:dyDescent="0.2">
      <c r="B1326" s="39"/>
      <c r="C1326" s="2"/>
      <c r="D1326" s="2"/>
      <c r="E1326" s="2"/>
      <c r="F1326" s="2"/>
      <c r="G1326" s="2"/>
      <c r="H1326" s="2"/>
      <c r="I1326" s="2"/>
      <c r="J1326" s="2"/>
      <c r="K1326" s="40"/>
      <c r="L1326" s="39"/>
      <c r="M1326" s="2"/>
      <c r="N1326" s="2"/>
      <c r="O1326" s="2"/>
      <c r="P1326" s="2"/>
      <c r="Q1326" s="2"/>
      <c r="R1326" s="40"/>
      <c r="S1326" s="39"/>
      <c r="T1326" s="2"/>
      <c r="U1326" s="2"/>
      <c r="V1326" s="2"/>
      <c r="W1326" s="2"/>
      <c r="X1326" s="2"/>
      <c r="Y1326" s="2"/>
      <c r="Z1326" s="2"/>
      <c r="AA1326" s="40"/>
    </row>
    <row r="1327" spans="2:27" x14ac:dyDescent="0.2">
      <c r="B1327" s="647" t="s">
        <v>286</v>
      </c>
      <c r="C1327" s="388" t="str">
        <f>C1324/1000&amp;"-"&amp;C1325/1000</f>
        <v>0,8-0,104</v>
      </c>
      <c r="D1327" s="388"/>
      <c r="E1327" s="388"/>
      <c r="F1327" s="648" t="s">
        <v>375</v>
      </c>
      <c r="G1327" s="388">
        <f>C1324/1000</f>
        <v>0.8</v>
      </c>
      <c r="H1327" s="388"/>
      <c r="I1327" s="653" t="str">
        <f>"= "&amp;ROUND(((C1324-C1325)/2+C1324/8)/1000,3)&amp;" m"</f>
        <v>= 0,448 m</v>
      </c>
      <c r="J1327" s="653"/>
      <c r="K1327" s="654"/>
      <c r="L1327" s="647" t="s">
        <v>286</v>
      </c>
      <c r="M1327" s="388" t="str">
        <f>M1324/1000&amp;"-"&amp;M1325/1000</f>
        <v>0,25-0,15</v>
      </c>
      <c r="N1327" s="388"/>
      <c r="O1327" s="388"/>
      <c r="P1327" s="648" t="str">
        <f>"= "&amp;ROUND((M1324-M1325)/2000,3)&amp;" m"</f>
        <v>= 0,05 m</v>
      </c>
      <c r="Q1327" s="648"/>
      <c r="R1327" s="649"/>
      <c r="S1327" s="647" t="str">
        <f>"h = "&amp;U1324/1000&amp;" - "&amp;U1325/1000&amp;" = "&amp;ROUND((U1324-U1325)/1000,3)&amp;" m"</f>
        <v>h = 0,16 - 0,11 = 0,05 m</v>
      </c>
      <c r="T1327" s="648"/>
      <c r="U1327" s="648"/>
      <c r="V1327" s="648"/>
      <c r="W1327" s="648"/>
      <c r="X1327" s="648"/>
      <c r="Y1327" s="648"/>
      <c r="Z1327" s="648"/>
      <c r="AA1327" s="649"/>
    </row>
    <row r="1328" spans="2:27" x14ac:dyDescent="0.2">
      <c r="B1328" s="650"/>
      <c r="C1328" s="388">
        <v>2</v>
      </c>
      <c r="D1328" s="388"/>
      <c r="E1328" s="388"/>
      <c r="F1328" s="651"/>
      <c r="G1328" s="388">
        <v>8</v>
      </c>
      <c r="H1328" s="388"/>
      <c r="I1328" s="655"/>
      <c r="J1328" s="655"/>
      <c r="K1328" s="656"/>
      <c r="L1328" s="650"/>
      <c r="M1328" s="388">
        <v>2</v>
      </c>
      <c r="N1328" s="388"/>
      <c r="O1328" s="388"/>
      <c r="P1328" s="651"/>
      <c r="Q1328" s="651"/>
      <c r="R1328" s="652"/>
      <c r="S1328" s="650"/>
      <c r="T1328" s="651"/>
      <c r="U1328" s="651"/>
      <c r="V1328" s="651"/>
      <c r="W1328" s="651"/>
      <c r="X1328" s="651"/>
      <c r="Y1328" s="651"/>
      <c r="Z1328" s="651"/>
      <c r="AA1328" s="652"/>
    </row>
    <row r="1329" spans="2:27" x14ac:dyDescent="0.2">
      <c r="B1329" s="644" t="s">
        <v>377</v>
      </c>
      <c r="C1329" s="645"/>
      <c r="D1329" s="645"/>
      <c r="E1329" s="645"/>
      <c r="F1329" s="645"/>
      <c r="G1329" s="645"/>
      <c r="H1329" s="645"/>
      <c r="I1329" s="645"/>
      <c r="J1329" s="645"/>
      <c r="K1329" s="645"/>
      <c r="L1329" s="645"/>
      <c r="M1329" s="645"/>
      <c r="N1329" s="645"/>
      <c r="O1329" s="645"/>
      <c r="P1329" s="645"/>
      <c r="Q1329" s="645"/>
      <c r="R1329" s="645"/>
      <c r="S1329" s="645"/>
      <c r="T1329" s="645"/>
      <c r="U1329" s="645"/>
      <c r="V1329" s="645"/>
      <c r="W1329" s="645"/>
      <c r="X1329" s="645"/>
      <c r="Y1329" s="645"/>
      <c r="Z1329" s="645"/>
      <c r="AA1329" s="646"/>
    </row>
    <row r="1366" spans="1:34" x14ac:dyDescent="0.2">
      <c r="A1366" s="423" t="s">
        <v>0</v>
      </c>
      <c r="B1366" s="378"/>
      <c r="C1366" s="378"/>
      <c r="D1366" s="378"/>
      <c r="E1366" s="378"/>
      <c r="F1366" s="378"/>
      <c r="G1366" s="374" t="s">
        <v>1</v>
      </c>
      <c r="H1366" s="374"/>
      <c r="I1366" s="374"/>
      <c r="J1366" s="374"/>
      <c r="K1366" s="374"/>
      <c r="L1366" s="374"/>
      <c r="M1366" s="374"/>
      <c r="N1366" s="374"/>
      <c r="O1366" s="374"/>
      <c r="P1366" s="374"/>
      <c r="Q1366" s="374"/>
      <c r="R1366" s="374"/>
      <c r="S1366" s="374"/>
      <c r="T1366" s="374"/>
      <c r="U1366" s="8"/>
      <c r="V1366" s="8"/>
      <c r="W1366" s="9"/>
      <c r="X1366" s="9"/>
      <c r="Y1366" s="378" t="s">
        <v>2</v>
      </c>
      <c r="Z1366" s="378"/>
      <c r="AA1366" s="378"/>
      <c r="AB1366" s="1"/>
    </row>
    <row r="1367" spans="1:34" x14ac:dyDescent="0.2">
      <c r="A1367" s="382"/>
      <c r="B1367" s="379"/>
      <c r="C1367" s="379"/>
      <c r="D1367" s="379"/>
      <c r="E1367" s="379"/>
      <c r="F1367" s="379"/>
      <c r="G1367" s="375"/>
      <c r="H1367" s="375"/>
      <c r="I1367" s="375"/>
      <c r="J1367" s="375"/>
      <c r="K1367" s="375"/>
      <c r="L1367" s="375"/>
      <c r="M1367" s="375"/>
      <c r="N1367" s="375"/>
      <c r="O1367" s="375"/>
      <c r="P1367" s="375"/>
      <c r="Q1367" s="375"/>
      <c r="R1367" s="375"/>
      <c r="S1367" s="375"/>
      <c r="T1367" s="375"/>
      <c r="U1367" s="6"/>
      <c r="V1367" s="6"/>
      <c r="W1367" s="10"/>
      <c r="X1367" s="14">
        <f>X1309+1</f>
        <v>25</v>
      </c>
      <c r="Y1367" s="379"/>
      <c r="Z1367" s="379"/>
      <c r="AA1367" s="379"/>
      <c r="AB1367" s="4"/>
    </row>
    <row r="1368" spans="1:34" x14ac:dyDescent="0.2">
      <c r="A1368" s="380" t="s">
        <v>3</v>
      </c>
      <c r="B1368" s="381"/>
      <c r="C1368" s="381"/>
      <c r="D1368" s="381"/>
      <c r="E1368" s="381"/>
      <c r="F1368" s="381"/>
      <c r="G1368" s="383" t="s">
        <v>5</v>
      </c>
      <c r="H1368" s="383"/>
      <c r="I1368" s="383"/>
      <c r="J1368" s="383"/>
      <c r="K1368" s="383"/>
      <c r="L1368" s="383"/>
      <c r="M1368" s="383"/>
      <c r="N1368" s="383"/>
      <c r="O1368" s="383"/>
      <c r="P1368" s="383"/>
      <c r="Q1368" s="383"/>
      <c r="R1368" s="383"/>
      <c r="S1368" s="383"/>
      <c r="T1368" s="383"/>
      <c r="U1368" s="5"/>
      <c r="V1368" s="5"/>
      <c r="W1368" s="2"/>
      <c r="X1368" s="384" t="s">
        <v>4</v>
      </c>
      <c r="Y1368" s="384"/>
      <c r="Z1368" s="384"/>
      <c r="AA1368" s="384"/>
      <c r="AB1368" s="385"/>
    </row>
    <row r="1369" spans="1:34" x14ac:dyDescent="0.2">
      <c r="A1369" s="382"/>
      <c r="B1369" s="379"/>
      <c r="C1369" s="379"/>
      <c r="D1369" s="379"/>
      <c r="E1369" s="379"/>
      <c r="F1369" s="379"/>
      <c r="G1369" s="388" t="s">
        <v>383</v>
      </c>
      <c r="H1369" s="388"/>
      <c r="I1369" s="388"/>
      <c r="J1369" s="388"/>
      <c r="K1369" s="388"/>
      <c r="L1369" s="388"/>
      <c r="M1369" s="388"/>
      <c r="N1369" s="388"/>
      <c r="O1369" s="388"/>
      <c r="P1369" s="388"/>
      <c r="Q1369" s="388"/>
      <c r="R1369" s="388"/>
      <c r="S1369" s="388"/>
      <c r="T1369" s="388"/>
      <c r="U1369" s="7"/>
      <c r="V1369" s="7"/>
      <c r="W1369" s="3"/>
      <c r="X1369" s="386"/>
      <c r="Y1369" s="386"/>
      <c r="Z1369" s="386"/>
      <c r="AA1369" s="386"/>
      <c r="AB1369" s="387"/>
      <c r="AD1369" s="294" t="s">
        <v>690</v>
      </c>
      <c r="AE1369" s="294"/>
      <c r="AF1369" s="294"/>
      <c r="AG1369" s="294"/>
      <c r="AH1369" s="294"/>
    </row>
    <row r="1370" spans="1:34" ht="12.75" customHeight="1" x14ac:dyDescent="0.2">
      <c r="B1370" s="639" t="s">
        <v>384</v>
      </c>
      <c r="C1370" s="398"/>
      <c r="D1370" s="398"/>
      <c r="E1370" s="398"/>
      <c r="F1370" s="398"/>
      <c r="G1370" s="398"/>
      <c r="H1370" s="398"/>
      <c r="I1370" s="398"/>
      <c r="J1370" s="398"/>
      <c r="K1370" s="398"/>
      <c r="L1370" s="398"/>
      <c r="M1370" s="398"/>
      <c r="N1370" s="398"/>
      <c r="O1370" s="398"/>
      <c r="P1370" s="398"/>
    </row>
    <row r="1371" spans="1:34" ht="12.75" customHeight="1" x14ac:dyDescent="0.2">
      <c r="B1371" s="399"/>
      <c r="C1371" s="399"/>
      <c r="D1371" s="399"/>
      <c r="E1371" s="399"/>
      <c r="F1371" s="399"/>
      <c r="G1371" s="399"/>
      <c r="H1371" s="399"/>
      <c r="I1371" s="399"/>
      <c r="J1371" s="399"/>
      <c r="K1371" s="399"/>
      <c r="L1371" s="399"/>
      <c r="M1371" s="399"/>
      <c r="N1371" s="399"/>
      <c r="O1371" s="399"/>
      <c r="P1371" s="399"/>
    </row>
    <row r="1373" spans="1:34" ht="12.75" customHeight="1" x14ac:dyDescent="0.2">
      <c r="B1373" s="669" t="s">
        <v>385</v>
      </c>
      <c r="C1373" s="669"/>
      <c r="D1373" s="669"/>
      <c r="E1373" s="664" t="s">
        <v>11</v>
      </c>
      <c r="F1373" s="665"/>
      <c r="G1373" s="665"/>
      <c r="K1373" s="138"/>
      <c r="L1373" s="138"/>
      <c r="M1373" s="138"/>
      <c r="N1373" s="138"/>
      <c r="O1373" s="138"/>
      <c r="P1373" s="138"/>
      <c r="Q1373" s="669" t="s">
        <v>386</v>
      </c>
      <c r="R1373" s="669"/>
      <c r="S1373" s="669"/>
      <c r="T1373" s="669"/>
      <c r="U1373" s="669"/>
      <c r="V1373" s="664" t="s">
        <v>313</v>
      </c>
      <c r="W1373" s="665"/>
      <c r="X1373" s="665"/>
    </row>
    <row r="1374" spans="1:34" ht="12.75" customHeight="1" x14ac:dyDescent="0.2">
      <c r="B1374" s="669"/>
      <c r="C1374" s="669"/>
      <c r="D1374" s="669"/>
      <c r="E1374" s="665"/>
      <c r="F1374" s="665"/>
      <c r="G1374" s="665"/>
      <c r="K1374" s="138"/>
      <c r="L1374" s="138"/>
      <c r="M1374" s="138"/>
      <c r="N1374" s="138"/>
      <c r="O1374" s="138"/>
      <c r="P1374" s="138"/>
      <c r="Q1374" s="669"/>
      <c r="R1374" s="669"/>
      <c r="S1374" s="669"/>
      <c r="T1374" s="669"/>
      <c r="U1374" s="669"/>
      <c r="V1374" s="665"/>
      <c r="W1374" s="665"/>
      <c r="X1374" s="665"/>
    </row>
    <row r="1376" spans="1:34" ht="14.25" x14ac:dyDescent="0.25">
      <c r="B1376" s="662" t="s">
        <v>387</v>
      </c>
      <c r="C1376" s="657"/>
      <c r="D1376" s="662" t="s">
        <v>388</v>
      </c>
      <c r="E1376" s="657"/>
      <c r="F1376" s="658" t="s">
        <v>390</v>
      </c>
      <c r="G1376" s="658"/>
      <c r="H1376" s="658" t="s">
        <v>391</v>
      </c>
      <c r="I1376" s="658"/>
      <c r="Q1376" s="662" t="s">
        <v>387</v>
      </c>
      <c r="R1376" s="663"/>
      <c r="S1376" s="662" t="s">
        <v>388</v>
      </c>
      <c r="T1376" s="663"/>
      <c r="U1376" s="657"/>
      <c r="V1376" s="657" t="s">
        <v>390</v>
      </c>
      <c r="W1376" s="658"/>
      <c r="X1376" s="658" t="s">
        <v>391</v>
      </c>
      <c r="Y1376" s="658"/>
    </row>
    <row r="1377" spans="2:25" x14ac:dyDescent="0.2">
      <c r="B1377" s="666"/>
      <c r="C1377" s="667"/>
      <c r="D1377" s="667" t="s">
        <v>389</v>
      </c>
      <c r="E1377" s="667"/>
      <c r="F1377" s="667">
        <v>0.9</v>
      </c>
      <c r="G1377" s="667"/>
      <c r="H1377" s="667">
        <f t="shared" ref="H1377:H1388" si="4">F1377*B1377</f>
        <v>0</v>
      </c>
      <c r="I1377" s="668"/>
      <c r="Q1377" s="659"/>
      <c r="R1377" s="660"/>
      <c r="S1377" s="660" t="s">
        <v>393</v>
      </c>
      <c r="T1377" s="509"/>
      <c r="U1377" s="661"/>
      <c r="V1377" s="661">
        <v>0.9</v>
      </c>
      <c r="W1377" s="410"/>
      <c r="X1377" s="410">
        <f t="shared" ref="X1377:X1393" si="5">V1377*Q1377</f>
        <v>0</v>
      </c>
      <c r="Y1377" s="591"/>
    </row>
    <row r="1378" spans="2:25" x14ac:dyDescent="0.2">
      <c r="B1378" s="659"/>
      <c r="C1378" s="410"/>
      <c r="D1378" s="410" t="s">
        <v>392</v>
      </c>
      <c r="E1378" s="410"/>
      <c r="F1378" s="410">
        <v>0.6</v>
      </c>
      <c r="G1378" s="410"/>
      <c r="H1378" s="410">
        <f t="shared" si="4"/>
        <v>0</v>
      </c>
      <c r="I1378" s="591"/>
      <c r="Q1378" s="670"/>
      <c r="R1378" s="671"/>
      <c r="S1378" s="671" t="s">
        <v>394</v>
      </c>
      <c r="T1378" s="487"/>
      <c r="U1378" s="640"/>
      <c r="V1378" s="640">
        <v>1.2</v>
      </c>
      <c r="W1378" s="356"/>
      <c r="X1378" s="356">
        <f t="shared" si="5"/>
        <v>0</v>
      </c>
      <c r="Y1378" s="593"/>
    </row>
    <row r="1379" spans="2:25" x14ac:dyDescent="0.2">
      <c r="B1379" s="670"/>
      <c r="C1379" s="356"/>
      <c r="D1379" s="356" t="s">
        <v>396</v>
      </c>
      <c r="E1379" s="356"/>
      <c r="F1379" s="356">
        <v>0.6</v>
      </c>
      <c r="G1379" s="356"/>
      <c r="H1379" s="356">
        <f t="shared" si="4"/>
        <v>0</v>
      </c>
      <c r="I1379" s="593"/>
      <c r="Q1379" s="675"/>
      <c r="R1379" s="674"/>
      <c r="S1379" s="674" t="s">
        <v>395</v>
      </c>
      <c r="T1379" s="490"/>
      <c r="U1379" s="672"/>
      <c r="V1379" s="672">
        <v>1.5</v>
      </c>
      <c r="W1379" s="601"/>
      <c r="X1379" s="601">
        <f t="shared" si="5"/>
        <v>0</v>
      </c>
      <c r="Y1379" s="673"/>
    </row>
    <row r="1380" spans="2:25" x14ac:dyDescent="0.2">
      <c r="B1380" s="675"/>
      <c r="C1380" s="601"/>
      <c r="D1380" s="601" t="s">
        <v>397</v>
      </c>
      <c r="E1380" s="601"/>
      <c r="F1380" s="601">
        <v>0.6</v>
      </c>
      <c r="G1380" s="601"/>
      <c r="H1380" s="601">
        <f t="shared" si="4"/>
        <v>0</v>
      </c>
      <c r="I1380" s="673"/>
      <c r="Q1380" s="659"/>
      <c r="R1380" s="660"/>
      <c r="S1380" s="660" t="s">
        <v>392</v>
      </c>
      <c r="T1380" s="509"/>
      <c r="U1380" s="661"/>
      <c r="V1380" s="661">
        <v>1.2</v>
      </c>
      <c r="W1380" s="410"/>
      <c r="X1380" s="410">
        <f t="shared" si="5"/>
        <v>0</v>
      </c>
      <c r="Y1380" s="591"/>
    </row>
    <row r="1381" spans="2:25" x14ac:dyDescent="0.2">
      <c r="B1381" s="659"/>
      <c r="C1381" s="410"/>
      <c r="D1381" s="410" t="s">
        <v>398</v>
      </c>
      <c r="E1381" s="410"/>
      <c r="F1381" s="410">
        <v>1.8</v>
      </c>
      <c r="G1381" s="410"/>
      <c r="H1381" s="410">
        <f t="shared" si="4"/>
        <v>0</v>
      </c>
      <c r="I1381" s="591"/>
      <c r="Q1381" s="670"/>
      <c r="R1381" s="671"/>
      <c r="S1381" s="671" t="s">
        <v>396</v>
      </c>
      <c r="T1381" s="487"/>
      <c r="U1381" s="640"/>
      <c r="V1381" s="640">
        <v>0.6</v>
      </c>
      <c r="W1381" s="356"/>
      <c r="X1381" s="356">
        <f t="shared" si="5"/>
        <v>0</v>
      </c>
      <c r="Y1381" s="593"/>
    </row>
    <row r="1382" spans="2:25" x14ac:dyDescent="0.2">
      <c r="B1382" s="670"/>
      <c r="C1382" s="356"/>
      <c r="D1382" s="356" t="s">
        <v>399</v>
      </c>
      <c r="E1382" s="356"/>
      <c r="F1382" s="356">
        <v>0.3</v>
      </c>
      <c r="G1382" s="356"/>
      <c r="H1382" s="356">
        <f t="shared" si="4"/>
        <v>0</v>
      </c>
      <c r="I1382" s="593"/>
      <c r="Q1382" s="675"/>
      <c r="R1382" s="601"/>
      <c r="S1382" s="674" t="s">
        <v>397</v>
      </c>
      <c r="T1382" s="490"/>
      <c r="U1382" s="672"/>
      <c r="V1382" s="601">
        <v>0.6</v>
      </c>
      <c r="W1382" s="601"/>
      <c r="X1382" s="601">
        <f t="shared" si="5"/>
        <v>0</v>
      </c>
      <c r="Y1382" s="673"/>
    </row>
    <row r="1383" spans="2:25" x14ac:dyDescent="0.2">
      <c r="B1383" s="670"/>
      <c r="C1383" s="356"/>
      <c r="D1383" s="356" t="s">
        <v>335</v>
      </c>
      <c r="E1383" s="356"/>
      <c r="F1383" s="356">
        <v>0.9</v>
      </c>
      <c r="G1383" s="356"/>
      <c r="H1383" s="356">
        <f t="shared" si="4"/>
        <v>0</v>
      </c>
      <c r="I1383" s="593"/>
      <c r="Q1383" s="659"/>
      <c r="R1383" s="660"/>
      <c r="S1383" s="660" t="s">
        <v>398</v>
      </c>
      <c r="T1383" s="509"/>
      <c r="U1383" s="661"/>
      <c r="V1383" s="661">
        <v>1.8</v>
      </c>
      <c r="W1383" s="410"/>
      <c r="X1383" s="410">
        <f t="shared" si="5"/>
        <v>0</v>
      </c>
      <c r="Y1383" s="591"/>
    </row>
    <row r="1384" spans="2:25" x14ac:dyDescent="0.2">
      <c r="B1384" s="670"/>
      <c r="C1384" s="356"/>
      <c r="D1384" s="356" t="s">
        <v>400</v>
      </c>
      <c r="E1384" s="356"/>
      <c r="F1384" s="356">
        <v>0.3</v>
      </c>
      <c r="G1384" s="356"/>
      <c r="H1384" s="356">
        <f t="shared" si="4"/>
        <v>0</v>
      </c>
      <c r="I1384" s="593"/>
      <c r="Q1384" s="670"/>
      <c r="R1384" s="671"/>
      <c r="S1384" s="671" t="s">
        <v>399</v>
      </c>
      <c r="T1384" s="487"/>
      <c r="U1384" s="640"/>
      <c r="V1384" s="640">
        <v>0.3</v>
      </c>
      <c r="W1384" s="356"/>
      <c r="X1384" s="356">
        <f t="shared" si="5"/>
        <v>0</v>
      </c>
      <c r="Y1384" s="593"/>
    </row>
    <row r="1385" spans="2:25" x14ac:dyDescent="0.2">
      <c r="B1385" s="675"/>
      <c r="C1385" s="601"/>
      <c r="D1385" s="601" t="s">
        <v>401</v>
      </c>
      <c r="E1385" s="601"/>
      <c r="F1385" s="601">
        <v>0.4</v>
      </c>
      <c r="G1385" s="601"/>
      <c r="H1385" s="601">
        <f t="shared" si="4"/>
        <v>0</v>
      </c>
      <c r="I1385" s="673"/>
      <c r="Q1385" s="670"/>
      <c r="R1385" s="671"/>
      <c r="S1385" s="671" t="s">
        <v>335</v>
      </c>
      <c r="T1385" s="487"/>
      <c r="U1385" s="640"/>
      <c r="V1385" s="640">
        <v>0.6</v>
      </c>
      <c r="W1385" s="356"/>
      <c r="X1385" s="356">
        <f t="shared" si="5"/>
        <v>0</v>
      </c>
      <c r="Y1385" s="593"/>
    </row>
    <row r="1386" spans="2:25" x14ac:dyDescent="0.2">
      <c r="B1386" s="670"/>
      <c r="C1386" s="356"/>
      <c r="D1386" s="356" t="s">
        <v>402</v>
      </c>
      <c r="E1386" s="356"/>
      <c r="F1386" s="356">
        <v>0.6</v>
      </c>
      <c r="G1386" s="356"/>
      <c r="H1386" s="356">
        <f t="shared" si="4"/>
        <v>0</v>
      </c>
      <c r="I1386" s="593"/>
      <c r="Q1386" s="670"/>
      <c r="R1386" s="671"/>
      <c r="S1386" s="671" t="s">
        <v>400</v>
      </c>
      <c r="T1386" s="487"/>
      <c r="U1386" s="640"/>
      <c r="V1386" s="640">
        <v>0.6</v>
      </c>
      <c r="W1386" s="356"/>
      <c r="X1386" s="356">
        <f t="shared" si="5"/>
        <v>0</v>
      </c>
      <c r="Y1386" s="593"/>
    </row>
    <row r="1387" spans="2:25" x14ac:dyDescent="0.2">
      <c r="B1387" s="675"/>
      <c r="C1387" s="601"/>
      <c r="D1387" s="601" t="s">
        <v>403</v>
      </c>
      <c r="E1387" s="601"/>
      <c r="F1387" s="601">
        <v>0.6</v>
      </c>
      <c r="G1387" s="601"/>
      <c r="H1387" s="601">
        <f t="shared" si="4"/>
        <v>0</v>
      </c>
      <c r="I1387" s="673"/>
      <c r="Q1387" s="670"/>
      <c r="R1387" s="671"/>
      <c r="S1387" s="671" t="s">
        <v>401</v>
      </c>
      <c r="T1387" s="487"/>
      <c r="U1387" s="640"/>
      <c r="V1387" s="640">
        <v>0.4</v>
      </c>
      <c r="W1387" s="356"/>
      <c r="X1387" s="356">
        <f t="shared" si="5"/>
        <v>0</v>
      </c>
      <c r="Y1387" s="593"/>
    </row>
    <row r="1388" spans="2:25" ht="14.25" x14ac:dyDescent="0.2">
      <c r="B1388" s="675"/>
      <c r="C1388" s="601"/>
      <c r="D1388" s="601" t="s">
        <v>404</v>
      </c>
      <c r="E1388" s="601"/>
      <c r="F1388" s="601">
        <v>0</v>
      </c>
      <c r="G1388" s="601"/>
      <c r="H1388" s="601">
        <f t="shared" si="4"/>
        <v>0</v>
      </c>
      <c r="I1388" s="673"/>
      <c r="Q1388" s="670"/>
      <c r="R1388" s="671"/>
      <c r="S1388" s="671" t="s">
        <v>406</v>
      </c>
      <c r="T1388" s="487"/>
      <c r="U1388" s="640"/>
      <c r="V1388" s="640">
        <v>0.4</v>
      </c>
      <c r="W1388" s="356"/>
      <c r="X1388" s="356">
        <f t="shared" si="5"/>
        <v>0</v>
      </c>
      <c r="Y1388" s="593"/>
    </row>
    <row r="1389" spans="2:25" ht="15" x14ac:dyDescent="0.25">
      <c r="B1389" s="682" t="s">
        <v>391</v>
      </c>
      <c r="C1389" s="683"/>
      <c r="D1389" s="161"/>
      <c r="E1389" s="161"/>
      <c r="F1389" s="161"/>
      <c r="G1389" s="684">
        <f>SUM(H1377:I1388)</f>
        <v>0</v>
      </c>
      <c r="H1389" s="684"/>
      <c r="I1389" s="685"/>
      <c r="Q1389" s="670"/>
      <c r="R1389" s="671"/>
      <c r="S1389" s="671" t="s">
        <v>407</v>
      </c>
      <c r="T1389" s="487"/>
      <c r="U1389" s="640"/>
      <c r="V1389" s="640">
        <v>0.3</v>
      </c>
      <c r="W1389" s="356"/>
      <c r="X1389" s="356">
        <f t="shared" si="5"/>
        <v>0</v>
      </c>
      <c r="Y1389" s="593"/>
    </row>
    <row r="1390" spans="2:25" ht="14.25" x14ac:dyDescent="0.2">
      <c r="Q1390" s="670"/>
      <c r="R1390" s="671"/>
      <c r="S1390" s="671" t="s">
        <v>410</v>
      </c>
      <c r="T1390" s="487"/>
      <c r="U1390" s="640"/>
      <c r="V1390" s="640">
        <v>0.4</v>
      </c>
      <c r="W1390" s="356"/>
      <c r="X1390" s="356">
        <f t="shared" si="5"/>
        <v>0</v>
      </c>
      <c r="Y1390" s="593"/>
    </row>
    <row r="1391" spans="2:25" ht="14.25" x14ac:dyDescent="0.2">
      <c r="Q1391" s="675"/>
      <c r="R1391" s="674"/>
      <c r="S1391" s="674" t="s">
        <v>411</v>
      </c>
      <c r="T1391" s="490"/>
      <c r="U1391" s="672"/>
      <c r="V1391" s="672">
        <v>0.3</v>
      </c>
      <c r="W1391" s="601"/>
      <c r="X1391" s="601">
        <f t="shared" si="5"/>
        <v>0</v>
      </c>
      <c r="Y1391" s="673"/>
    </row>
    <row r="1392" spans="2:25" x14ac:dyDescent="0.2">
      <c r="Q1392" s="676"/>
      <c r="R1392" s="677"/>
      <c r="S1392" s="679" t="s">
        <v>402</v>
      </c>
      <c r="T1392" s="680"/>
      <c r="U1392" s="681"/>
      <c r="V1392" s="677">
        <v>0.6</v>
      </c>
      <c r="W1392" s="677"/>
      <c r="X1392" s="677">
        <f t="shared" si="5"/>
        <v>0</v>
      </c>
      <c r="Y1392" s="678"/>
    </row>
    <row r="1393" spans="2:25" x14ac:dyDescent="0.2">
      <c r="B1393" s="19" t="s">
        <v>412</v>
      </c>
      <c r="Q1393" s="675"/>
      <c r="R1393" s="601"/>
      <c r="S1393" s="674" t="s">
        <v>403</v>
      </c>
      <c r="T1393" s="490"/>
      <c r="U1393" s="672"/>
      <c r="V1393" s="601">
        <v>0.6</v>
      </c>
      <c r="W1393" s="601"/>
      <c r="X1393" s="601">
        <f t="shared" si="5"/>
        <v>0</v>
      </c>
      <c r="Y1393" s="673"/>
    </row>
    <row r="1394" spans="2:25" ht="14.25" x14ac:dyDescent="0.2">
      <c r="Q1394" s="164"/>
      <c r="R1394" s="49"/>
      <c r="S1394" s="49" t="s">
        <v>416</v>
      </c>
      <c r="T1394" s="49"/>
      <c r="U1394" s="49"/>
      <c r="V1394" s="49"/>
      <c r="W1394" s="49"/>
      <c r="X1394" s="49"/>
      <c r="Y1394" s="160"/>
    </row>
    <row r="1395" spans="2:25" x14ac:dyDescent="0.2">
      <c r="Q1395" s="676"/>
      <c r="R1395" s="677"/>
      <c r="S1395" s="679" t="s">
        <v>417</v>
      </c>
      <c r="T1395" s="680"/>
      <c r="U1395" s="681"/>
      <c r="V1395" s="677">
        <v>1.8</v>
      </c>
      <c r="W1395" s="677"/>
      <c r="X1395" s="677">
        <f>V1395*Q1395</f>
        <v>0</v>
      </c>
      <c r="Y1395" s="678"/>
    </row>
    <row r="1396" spans="2:25" x14ac:dyDescent="0.2">
      <c r="Q1396" s="675"/>
      <c r="R1396" s="601"/>
      <c r="S1396" s="674" t="s">
        <v>418</v>
      </c>
      <c r="T1396" s="490"/>
      <c r="U1396" s="672"/>
      <c r="V1396" s="601">
        <v>1.8</v>
      </c>
      <c r="W1396" s="601"/>
      <c r="X1396" s="601">
        <f>V1396*Q1396</f>
        <v>0</v>
      </c>
      <c r="Y1396" s="673"/>
    </row>
    <row r="1397" spans="2:25" ht="14.25" x14ac:dyDescent="0.25">
      <c r="Q1397" s="682" t="s">
        <v>391</v>
      </c>
      <c r="R1397" s="683"/>
      <c r="S1397" s="161"/>
      <c r="T1397" s="161"/>
      <c r="U1397" s="161"/>
      <c r="V1397" s="49"/>
      <c r="W1397" s="684">
        <f>SUM(X1377:Y1396)</f>
        <v>0</v>
      </c>
      <c r="X1397" s="684"/>
      <c r="Y1397" s="685"/>
    </row>
    <row r="1400" spans="2:25" x14ac:dyDescent="0.2">
      <c r="B1400" s="162" t="s">
        <v>408</v>
      </c>
      <c r="C1400" s="163"/>
      <c r="D1400" s="163"/>
      <c r="E1400" s="163"/>
      <c r="F1400" s="162" t="s">
        <v>409</v>
      </c>
      <c r="G1400" s="163"/>
    </row>
    <row r="1401" spans="2:25" x14ac:dyDescent="0.2">
      <c r="Q1401" s="19" t="s">
        <v>435</v>
      </c>
    </row>
    <row r="1402" spans="2:25" x14ac:dyDescent="0.2">
      <c r="Q1402" s="26" t="s">
        <v>417</v>
      </c>
      <c r="R1402" s="26"/>
      <c r="S1402" s="26" t="s">
        <v>419</v>
      </c>
    </row>
    <row r="1403" spans="2:25" x14ac:dyDescent="0.2">
      <c r="B1403" s="19" t="s">
        <v>413</v>
      </c>
      <c r="Q1403" s="26" t="s">
        <v>418</v>
      </c>
      <c r="R1403" s="26"/>
      <c r="S1403" s="26" t="s">
        <v>420</v>
      </c>
    </row>
    <row r="1404" spans="2:25" x14ac:dyDescent="0.2">
      <c r="Q1404" s="26" t="s">
        <v>389</v>
      </c>
      <c r="R1404" s="26"/>
      <c r="S1404" s="26" t="s">
        <v>422</v>
      </c>
    </row>
    <row r="1405" spans="2:25" x14ac:dyDescent="0.2">
      <c r="Q1405" s="165" t="s">
        <v>392</v>
      </c>
      <c r="R1405" s="165"/>
      <c r="S1405" s="165" t="s">
        <v>423</v>
      </c>
    </row>
    <row r="1406" spans="2:25" x14ac:dyDescent="0.2">
      <c r="Q1406" s="165" t="s">
        <v>396</v>
      </c>
      <c r="R1406" s="165"/>
      <c r="S1406" s="166" t="s">
        <v>424</v>
      </c>
    </row>
    <row r="1407" spans="2:25" x14ac:dyDescent="0.2">
      <c r="Q1407" s="165" t="s">
        <v>397</v>
      </c>
      <c r="R1407" s="165"/>
      <c r="S1407" s="166" t="s">
        <v>425</v>
      </c>
    </row>
    <row r="1408" spans="2:25" x14ac:dyDescent="0.2">
      <c r="Q1408" s="165" t="s">
        <v>398</v>
      </c>
      <c r="R1408" s="165"/>
      <c r="S1408" s="166" t="s">
        <v>426</v>
      </c>
    </row>
    <row r="1409" spans="1:28" x14ac:dyDescent="0.2">
      <c r="B1409" s="162" t="s">
        <v>414</v>
      </c>
      <c r="Q1409" s="165" t="s">
        <v>399</v>
      </c>
      <c r="R1409" s="165"/>
      <c r="S1409" s="166" t="s">
        <v>427</v>
      </c>
    </row>
    <row r="1410" spans="1:28" x14ac:dyDescent="0.2">
      <c r="B1410" s="162" t="s">
        <v>415</v>
      </c>
      <c r="Q1410" s="165" t="s">
        <v>335</v>
      </c>
      <c r="R1410" s="165"/>
      <c r="S1410" s="166" t="s">
        <v>428</v>
      </c>
    </row>
    <row r="1411" spans="1:28" x14ac:dyDescent="0.2">
      <c r="Q1411" s="165" t="s">
        <v>400</v>
      </c>
      <c r="R1411" s="165"/>
      <c r="S1411" s="166" t="s">
        <v>429</v>
      </c>
    </row>
    <row r="1412" spans="1:28" x14ac:dyDescent="0.2">
      <c r="Q1412" s="165" t="s">
        <v>401</v>
      </c>
      <c r="R1412" s="165"/>
      <c r="S1412" s="166" t="s">
        <v>430</v>
      </c>
    </row>
    <row r="1413" spans="1:28" x14ac:dyDescent="0.2">
      <c r="Q1413" s="165" t="s">
        <v>405</v>
      </c>
      <c r="R1413" s="165"/>
      <c r="S1413" s="166" t="s">
        <v>431</v>
      </c>
    </row>
    <row r="1414" spans="1:28" x14ac:dyDescent="0.2">
      <c r="Q1414" s="165" t="s">
        <v>421</v>
      </c>
      <c r="R1414" s="165"/>
      <c r="S1414" s="166" t="s">
        <v>432</v>
      </c>
    </row>
    <row r="1415" spans="1:28" x14ac:dyDescent="0.2">
      <c r="Q1415" s="165" t="s">
        <v>402</v>
      </c>
      <c r="R1415" s="165"/>
      <c r="S1415" s="166" t="s">
        <v>433</v>
      </c>
    </row>
    <row r="1416" spans="1:28" x14ac:dyDescent="0.2">
      <c r="Q1416" s="165" t="s">
        <v>403</v>
      </c>
      <c r="R1416" s="165"/>
      <c r="S1416" s="166" t="s">
        <v>434</v>
      </c>
    </row>
    <row r="1417" spans="1:28" x14ac:dyDescent="0.2">
      <c r="R1417" s="69"/>
      <c r="S1417" s="69"/>
    </row>
    <row r="1418" spans="1:28" x14ac:dyDescent="0.2">
      <c r="R1418" s="69"/>
      <c r="S1418" s="69"/>
    </row>
    <row r="1424" spans="1:28" x14ac:dyDescent="0.2">
      <c r="A1424" s="423" t="s">
        <v>0</v>
      </c>
      <c r="B1424" s="378"/>
      <c r="C1424" s="378"/>
      <c r="D1424" s="378"/>
      <c r="E1424" s="378"/>
      <c r="F1424" s="378"/>
      <c r="G1424" s="374" t="s">
        <v>1</v>
      </c>
      <c r="H1424" s="374"/>
      <c r="I1424" s="374"/>
      <c r="J1424" s="374"/>
      <c r="K1424" s="374"/>
      <c r="L1424" s="374"/>
      <c r="M1424" s="374"/>
      <c r="N1424" s="374"/>
      <c r="O1424" s="374"/>
      <c r="P1424" s="374"/>
      <c r="Q1424" s="374"/>
      <c r="R1424" s="374"/>
      <c r="S1424" s="374"/>
      <c r="T1424" s="374"/>
      <c r="U1424" s="8"/>
      <c r="V1424" s="8"/>
      <c r="W1424" s="9"/>
      <c r="X1424" s="9"/>
      <c r="Y1424" s="378" t="s">
        <v>2</v>
      </c>
      <c r="Z1424" s="378"/>
      <c r="AA1424" s="378"/>
      <c r="AB1424" s="1"/>
    </row>
    <row r="1425" spans="1:34" x14ac:dyDescent="0.2">
      <c r="A1425" s="382"/>
      <c r="B1425" s="379"/>
      <c r="C1425" s="379"/>
      <c r="D1425" s="379"/>
      <c r="E1425" s="379"/>
      <c r="F1425" s="379"/>
      <c r="G1425" s="375"/>
      <c r="H1425" s="375"/>
      <c r="I1425" s="375"/>
      <c r="J1425" s="375"/>
      <c r="K1425" s="375"/>
      <c r="L1425" s="375"/>
      <c r="M1425" s="375"/>
      <c r="N1425" s="375"/>
      <c r="O1425" s="375"/>
      <c r="P1425" s="375"/>
      <c r="Q1425" s="375"/>
      <c r="R1425" s="375"/>
      <c r="S1425" s="375"/>
      <c r="T1425" s="375"/>
      <c r="U1425" s="6"/>
      <c r="V1425" s="6"/>
      <c r="W1425" s="10"/>
      <c r="X1425" s="14">
        <f>X1367+1</f>
        <v>26</v>
      </c>
      <c r="Y1425" s="379"/>
      <c r="Z1425" s="379"/>
      <c r="AA1425" s="379"/>
      <c r="AB1425" s="4"/>
    </row>
    <row r="1426" spans="1:34" x14ac:dyDescent="0.2">
      <c r="A1426" s="380" t="s">
        <v>3</v>
      </c>
      <c r="B1426" s="381"/>
      <c r="C1426" s="381"/>
      <c r="D1426" s="381"/>
      <c r="E1426" s="381"/>
      <c r="F1426" s="381"/>
      <c r="G1426" s="383" t="s">
        <v>5</v>
      </c>
      <c r="H1426" s="383"/>
      <c r="I1426" s="383"/>
      <c r="J1426" s="383"/>
      <c r="K1426" s="383"/>
      <c r="L1426" s="383"/>
      <c r="M1426" s="383"/>
      <c r="N1426" s="383"/>
      <c r="O1426" s="383"/>
      <c r="P1426" s="383"/>
      <c r="Q1426" s="383"/>
      <c r="R1426" s="383"/>
      <c r="S1426" s="383"/>
      <c r="T1426" s="383"/>
      <c r="U1426" s="5"/>
      <c r="V1426" s="5"/>
      <c r="W1426" s="2"/>
      <c r="X1426" s="384" t="s">
        <v>4</v>
      </c>
      <c r="Y1426" s="384"/>
      <c r="Z1426" s="384"/>
      <c r="AA1426" s="384"/>
      <c r="AB1426" s="385"/>
    </row>
    <row r="1427" spans="1:34" x14ac:dyDescent="0.2">
      <c r="A1427" s="382"/>
      <c r="B1427" s="379"/>
      <c r="C1427" s="379"/>
      <c r="D1427" s="379"/>
      <c r="E1427" s="379"/>
      <c r="F1427" s="379"/>
      <c r="G1427" s="388" t="s">
        <v>436</v>
      </c>
      <c r="H1427" s="388"/>
      <c r="I1427" s="388"/>
      <c r="J1427" s="388"/>
      <c r="K1427" s="388"/>
      <c r="L1427" s="388"/>
      <c r="M1427" s="388"/>
      <c r="N1427" s="388"/>
      <c r="O1427" s="388"/>
      <c r="P1427" s="388"/>
      <c r="Q1427" s="388"/>
      <c r="R1427" s="388"/>
      <c r="S1427" s="388"/>
      <c r="T1427" s="388"/>
      <c r="U1427" s="7"/>
      <c r="V1427" s="7"/>
      <c r="W1427" s="3"/>
      <c r="X1427" s="386"/>
      <c r="Y1427" s="386"/>
      <c r="Z1427" s="386"/>
      <c r="AA1427" s="386"/>
      <c r="AB1427" s="387"/>
      <c r="AD1427" s="294" t="s">
        <v>690</v>
      </c>
      <c r="AE1427" s="294"/>
      <c r="AF1427" s="294"/>
      <c r="AG1427" s="294"/>
      <c r="AH1427" s="294"/>
    </row>
    <row r="1428" spans="1:34" ht="12.75" customHeight="1" x14ac:dyDescent="0.2">
      <c r="A1428" s="57"/>
      <c r="B1428" s="398" t="s">
        <v>600</v>
      </c>
      <c r="C1428" s="398"/>
      <c r="D1428" s="398"/>
      <c r="E1428" s="398"/>
      <c r="F1428" s="398"/>
      <c r="G1428" s="398"/>
      <c r="H1428" s="398"/>
      <c r="I1428" s="398"/>
      <c r="J1428" s="398"/>
      <c r="K1428" s="398"/>
      <c r="L1428" s="398"/>
      <c r="M1428" s="398"/>
      <c r="N1428" s="398"/>
      <c r="O1428" s="398"/>
      <c r="P1428" s="398"/>
      <c r="Q1428" s="398"/>
      <c r="R1428" s="5"/>
      <c r="S1428" s="5"/>
      <c r="T1428" s="5"/>
      <c r="U1428" s="5"/>
      <c r="V1428" s="5"/>
      <c r="W1428" s="2"/>
      <c r="X1428" s="6"/>
      <c r="Y1428" s="6"/>
      <c r="Z1428" s="6"/>
      <c r="AA1428" s="6"/>
      <c r="AB1428" s="6"/>
    </row>
    <row r="1429" spans="1:34" ht="12.75" customHeight="1" x14ac:dyDescent="0.2">
      <c r="A1429" s="57"/>
      <c r="B1429" s="399"/>
      <c r="C1429" s="399"/>
      <c r="D1429" s="399"/>
      <c r="E1429" s="399"/>
      <c r="F1429" s="399"/>
      <c r="G1429" s="399"/>
      <c r="H1429" s="399"/>
      <c r="I1429" s="399"/>
      <c r="J1429" s="399"/>
      <c r="K1429" s="399"/>
      <c r="L1429" s="399"/>
      <c r="M1429" s="399"/>
      <c r="N1429" s="399"/>
      <c r="O1429" s="399"/>
      <c r="P1429" s="399"/>
      <c r="Q1429" s="399"/>
      <c r="R1429" s="5"/>
      <c r="S1429" s="5"/>
      <c r="T1429" s="5"/>
      <c r="U1429" s="5"/>
      <c r="V1429" s="5"/>
      <c r="W1429" s="2"/>
      <c r="X1429" s="6"/>
      <c r="Y1429" s="6"/>
      <c r="Z1429" s="6"/>
      <c r="AA1429" s="6"/>
      <c r="AB1429" s="6"/>
    </row>
    <row r="1430" spans="1:34" x14ac:dyDescent="0.2">
      <c r="B1430" s="400" t="s">
        <v>508</v>
      </c>
      <c r="C1430" s="400"/>
      <c r="D1430" s="400"/>
      <c r="E1430" s="400"/>
      <c r="F1430" s="400"/>
      <c r="G1430" s="400"/>
      <c r="H1430" s="400"/>
      <c r="I1430" s="400"/>
      <c r="J1430" s="400"/>
      <c r="K1430" s="400"/>
      <c r="L1430" s="400"/>
      <c r="M1430" s="400"/>
      <c r="N1430" s="400"/>
      <c r="O1430" s="400"/>
      <c r="P1430" s="400"/>
      <c r="Q1430" s="400"/>
    </row>
    <row r="1431" spans="1:34" ht="13.5" thickBot="1" x14ac:dyDescent="0.25">
      <c r="B1431" s="347"/>
      <c r="C1431" s="347"/>
      <c r="D1431" s="347"/>
      <c r="E1431" s="347"/>
      <c r="F1431" s="347"/>
      <c r="G1431" s="347"/>
      <c r="H1431" s="347"/>
      <c r="I1431" s="347"/>
      <c r="J1431" s="347"/>
      <c r="K1431" s="347"/>
      <c r="L1431" s="347"/>
      <c r="M1431" s="347"/>
      <c r="N1431" s="347"/>
      <c r="O1431" s="347"/>
      <c r="P1431" s="347"/>
      <c r="Q1431" s="347"/>
    </row>
    <row r="1432" spans="1:34" ht="15.75" x14ac:dyDescent="0.25">
      <c r="B1432" s="394" t="s">
        <v>509</v>
      </c>
      <c r="C1432" s="395"/>
      <c r="D1432" s="395"/>
      <c r="E1432" s="395"/>
      <c r="F1432" s="395"/>
      <c r="G1432" s="395"/>
      <c r="H1432" s="396">
        <v>3</v>
      </c>
      <c r="I1432" s="396"/>
      <c r="J1432" s="397" t="s">
        <v>521</v>
      </c>
      <c r="K1432" s="397"/>
      <c r="L1432" s="397"/>
      <c r="M1432" s="397"/>
      <c r="N1432" s="397"/>
      <c r="O1432" s="397"/>
      <c r="P1432" s="397"/>
      <c r="Q1432" s="397"/>
      <c r="R1432" s="397"/>
      <c r="S1432" s="397"/>
      <c r="T1432" s="397"/>
      <c r="U1432" s="397"/>
      <c r="V1432" s="397"/>
      <c r="W1432" s="397"/>
      <c r="X1432" s="389">
        <f>(H1432&lt;=2)*H1432*5+((H1432=3)+(H1432=4))*15+((H1432=5)+(H1432=6))*20+((H1432=7)+(H1432=8))*25+((H1432=9)+(H1432=10))*30</f>
        <v>15</v>
      </c>
      <c r="Y1432" s="389"/>
      <c r="Z1432" s="206">
        <v>5</v>
      </c>
    </row>
    <row r="1433" spans="1:34" ht="15.75" x14ac:dyDescent="0.25">
      <c r="B1433" s="390" t="s">
        <v>510</v>
      </c>
      <c r="C1433" s="391"/>
      <c r="D1433" s="391"/>
      <c r="E1433" s="391"/>
      <c r="F1433" s="391"/>
      <c r="G1433" s="391"/>
      <c r="H1433" s="392"/>
      <c r="I1433" s="392"/>
      <c r="J1433" s="360" t="s">
        <v>522</v>
      </c>
      <c r="K1433" s="360"/>
      <c r="L1433" s="360"/>
      <c r="M1433" s="360"/>
      <c r="N1433" s="360"/>
      <c r="O1433" s="360"/>
      <c r="P1433" s="360"/>
      <c r="Q1433" s="360"/>
      <c r="R1433" s="360"/>
      <c r="S1433" s="360"/>
      <c r="T1433" s="360"/>
      <c r="U1433" s="360"/>
      <c r="V1433" s="360"/>
      <c r="W1433" s="360"/>
      <c r="X1433" s="393" t="str">
        <f t="shared" ref="X1433:X1443" si="6">IF(H1433,H1433*Z1433,"")</f>
        <v/>
      </c>
      <c r="Y1433" s="393"/>
      <c r="Z1433" s="207">
        <v>0.5</v>
      </c>
    </row>
    <row r="1434" spans="1:34" ht="15.75" x14ac:dyDescent="0.25">
      <c r="B1434" s="390" t="s">
        <v>511</v>
      </c>
      <c r="C1434" s="391"/>
      <c r="D1434" s="391"/>
      <c r="E1434" s="391"/>
      <c r="F1434" s="391"/>
      <c r="G1434" s="391"/>
      <c r="H1434" s="392"/>
      <c r="I1434" s="392"/>
      <c r="J1434" s="360" t="s">
        <v>523</v>
      </c>
      <c r="K1434" s="360"/>
      <c r="L1434" s="360"/>
      <c r="M1434" s="360"/>
      <c r="N1434" s="360"/>
      <c r="O1434" s="360"/>
      <c r="P1434" s="360"/>
      <c r="Q1434" s="360"/>
      <c r="R1434" s="360"/>
      <c r="S1434" s="360"/>
      <c r="T1434" s="360"/>
      <c r="U1434" s="360"/>
      <c r="V1434" s="360"/>
      <c r="W1434" s="360"/>
      <c r="X1434" s="393" t="str">
        <f t="shared" si="6"/>
        <v/>
      </c>
      <c r="Y1434" s="393"/>
      <c r="Z1434" s="207">
        <v>0.5</v>
      </c>
    </row>
    <row r="1435" spans="1:34" ht="15.75" x14ac:dyDescent="0.25">
      <c r="B1435" s="390" t="s">
        <v>512</v>
      </c>
      <c r="C1435" s="391"/>
      <c r="D1435" s="391"/>
      <c r="E1435" s="391"/>
      <c r="F1435" s="391"/>
      <c r="G1435" s="391"/>
      <c r="H1435" s="392"/>
      <c r="I1435" s="392"/>
      <c r="J1435" s="360" t="s">
        <v>524</v>
      </c>
      <c r="K1435" s="360"/>
      <c r="L1435" s="360"/>
      <c r="M1435" s="360"/>
      <c r="N1435" s="360"/>
      <c r="O1435" s="360"/>
      <c r="P1435" s="360"/>
      <c r="Q1435" s="360"/>
      <c r="R1435" s="360"/>
      <c r="S1435" s="360"/>
      <c r="T1435" s="360"/>
      <c r="U1435" s="360"/>
      <c r="V1435" s="360"/>
      <c r="W1435" s="360"/>
      <c r="X1435" s="393" t="str">
        <f t="shared" si="6"/>
        <v/>
      </c>
      <c r="Y1435" s="393"/>
      <c r="Z1435" s="207">
        <f>1/3</f>
        <v>0.33333333333333331</v>
      </c>
    </row>
    <row r="1436" spans="1:34" ht="15.75" x14ac:dyDescent="0.25">
      <c r="B1436" s="390" t="s">
        <v>513</v>
      </c>
      <c r="C1436" s="391"/>
      <c r="D1436" s="391"/>
      <c r="E1436" s="391"/>
      <c r="F1436" s="391"/>
      <c r="G1436" s="391"/>
      <c r="H1436" s="392"/>
      <c r="I1436" s="392"/>
      <c r="J1436" s="360" t="s">
        <v>525</v>
      </c>
      <c r="K1436" s="360"/>
      <c r="L1436" s="360"/>
      <c r="M1436" s="360"/>
      <c r="N1436" s="360"/>
      <c r="O1436" s="360"/>
      <c r="P1436" s="360"/>
      <c r="Q1436" s="360"/>
      <c r="R1436" s="360"/>
      <c r="S1436" s="360"/>
      <c r="T1436" s="360"/>
      <c r="U1436" s="360"/>
      <c r="V1436" s="360"/>
      <c r="W1436" s="360"/>
      <c r="X1436" s="393" t="str">
        <f t="shared" si="6"/>
        <v/>
      </c>
      <c r="Y1436" s="393"/>
      <c r="Z1436" s="207">
        <f>1/3</f>
        <v>0.33333333333333331</v>
      </c>
    </row>
    <row r="1437" spans="1:34" ht="15.75" x14ac:dyDescent="0.25">
      <c r="B1437" s="390" t="s">
        <v>514</v>
      </c>
      <c r="C1437" s="391"/>
      <c r="D1437" s="391"/>
      <c r="E1437" s="391"/>
      <c r="F1437" s="391"/>
      <c r="G1437" s="391"/>
      <c r="H1437" s="392"/>
      <c r="I1437" s="392"/>
      <c r="J1437" s="360" t="s">
        <v>526</v>
      </c>
      <c r="K1437" s="360"/>
      <c r="L1437" s="360"/>
      <c r="M1437" s="360"/>
      <c r="N1437" s="360"/>
      <c r="O1437" s="360"/>
      <c r="P1437" s="360"/>
      <c r="Q1437" s="360"/>
      <c r="R1437" s="360"/>
      <c r="S1437" s="360"/>
      <c r="T1437" s="360"/>
      <c r="U1437" s="360"/>
      <c r="V1437" s="360"/>
      <c r="W1437" s="360"/>
      <c r="X1437" s="393" t="str">
        <f t="shared" si="6"/>
        <v/>
      </c>
      <c r="Y1437" s="393"/>
      <c r="Z1437" s="207">
        <f>1/3</f>
        <v>0.33333333333333331</v>
      </c>
    </row>
    <row r="1438" spans="1:34" ht="15.75" x14ac:dyDescent="0.25">
      <c r="B1438" s="390" t="s">
        <v>515</v>
      </c>
      <c r="C1438" s="391"/>
      <c r="D1438" s="391"/>
      <c r="E1438" s="391"/>
      <c r="F1438" s="391"/>
      <c r="G1438" s="391"/>
      <c r="H1438" s="392"/>
      <c r="I1438" s="392"/>
      <c r="J1438" s="360" t="s">
        <v>527</v>
      </c>
      <c r="K1438" s="360"/>
      <c r="L1438" s="360"/>
      <c r="M1438" s="360"/>
      <c r="N1438" s="360"/>
      <c r="O1438" s="360"/>
      <c r="P1438" s="360"/>
      <c r="Q1438" s="360"/>
      <c r="R1438" s="360"/>
      <c r="S1438" s="360"/>
      <c r="T1438" s="360"/>
      <c r="U1438" s="360"/>
      <c r="V1438" s="360"/>
      <c r="W1438" s="360"/>
      <c r="X1438" s="393" t="str">
        <f t="shared" si="6"/>
        <v/>
      </c>
      <c r="Y1438" s="393"/>
      <c r="Z1438" s="207">
        <f>1/3</f>
        <v>0.33333333333333331</v>
      </c>
    </row>
    <row r="1439" spans="1:34" ht="15.75" x14ac:dyDescent="0.25">
      <c r="B1439" s="390" t="s">
        <v>516</v>
      </c>
      <c r="C1439" s="391"/>
      <c r="D1439" s="391"/>
      <c r="E1439" s="391"/>
      <c r="F1439" s="391"/>
      <c r="G1439" s="391"/>
      <c r="H1439" s="392"/>
      <c r="I1439" s="392"/>
      <c r="J1439" s="360" t="s">
        <v>528</v>
      </c>
      <c r="K1439" s="360"/>
      <c r="L1439" s="360"/>
      <c r="M1439" s="360"/>
      <c r="N1439" s="360"/>
      <c r="O1439" s="360"/>
      <c r="P1439" s="360"/>
      <c r="Q1439" s="360"/>
      <c r="R1439" s="360"/>
      <c r="S1439" s="360"/>
      <c r="T1439" s="360"/>
      <c r="U1439" s="360"/>
      <c r="V1439" s="360"/>
      <c r="W1439" s="360"/>
      <c r="X1439" s="393" t="str">
        <f t="shared" si="6"/>
        <v/>
      </c>
      <c r="Y1439" s="393"/>
      <c r="Z1439" s="207">
        <v>3.25</v>
      </c>
    </row>
    <row r="1440" spans="1:34" ht="15.75" x14ac:dyDescent="0.25">
      <c r="B1440" s="390" t="s">
        <v>517</v>
      </c>
      <c r="C1440" s="391"/>
      <c r="D1440" s="391"/>
      <c r="E1440" s="391"/>
      <c r="F1440" s="391"/>
      <c r="G1440" s="391"/>
      <c r="H1440" s="392"/>
      <c r="I1440" s="392"/>
      <c r="J1440" s="360" t="s">
        <v>529</v>
      </c>
      <c r="K1440" s="360"/>
      <c r="L1440" s="360"/>
      <c r="M1440" s="360"/>
      <c r="N1440" s="360"/>
      <c r="O1440" s="360"/>
      <c r="P1440" s="360"/>
      <c r="Q1440" s="360"/>
      <c r="R1440" s="360"/>
      <c r="S1440" s="360"/>
      <c r="T1440" s="360"/>
      <c r="U1440" s="360"/>
      <c r="V1440" s="360"/>
      <c r="W1440" s="360"/>
      <c r="X1440" s="393" t="str">
        <f t="shared" si="6"/>
        <v/>
      </c>
      <c r="Y1440" s="393"/>
      <c r="Z1440" s="207">
        <v>2.25</v>
      </c>
    </row>
    <row r="1441" spans="2:27" ht="15.75" x14ac:dyDescent="0.25">
      <c r="B1441" s="390" t="s">
        <v>518</v>
      </c>
      <c r="C1441" s="391"/>
      <c r="D1441" s="391"/>
      <c r="E1441" s="391"/>
      <c r="F1441" s="391"/>
      <c r="G1441" s="391"/>
      <c r="H1441" s="392"/>
      <c r="I1441" s="392"/>
      <c r="J1441" s="360" t="s">
        <v>548</v>
      </c>
      <c r="K1441" s="360"/>
      <c r="L1441" s="360"/>
      <c r="M1441" s="360"/>
      <c r="N1441" s="360"/>
      <c r="O1441" s="360"/>
      <c r="P1441" s="360"/>
      <c r="Q1441" s="360"/>
      <c r="R1441" s="360"/>
      <c r="S1441" s="360"/>
      <c r="T1441" s="360"/>
      <c r="U1441" s="360"/>
      <c r="V1441" s="360"/>
      <c r="W1441" s="360"/>
      <c r="X1441" s="393" t="str">
        <f t="shared" si="6"/>
        <v/>
      </c>
      <c r="Y1441" s="393"/>
      <c r="Z1441" s="207">
        <v>1.5</v>
      </c>
    </row>
    <row r="1442" spans="2:27" ht="15.75" x14ac:dyDescent="0.25">
      <c r="B1442" s="390" t="s">
        <v>519</v>
      </c>
      <c r="C1442" s="391"/>
      <c r="D1442" s="391"/>
      <c r="E1442" s="391"/>
      <c r="F1442" s="391"/>
      <c r="G1442" s="391"/>
      <c r="H1442" s="392"/>
      <c r="I1442" s="392"/>
      <c r="J1442" s="360" t="s">
        <v>530</v>
      </c>
      <c r="K1442" s="360"/>
      <c r="L1442" s="360"/>
      <c r="M1442" s="360"/>
      <c r="N1442" s="360"/>
      <c r="O1442" s="360"/>
      <c r="P1442" s="360"/>
      <c r="Q1442" s="360"/>
      <c r="R1442" s="360"/>
      <c r="S1442" s="360"/>
      <c r="T1442" s="360"/>
      <c r="U1442" s="360"/>
      <c r="V1442" s="360"/>
      <c r="W1442" s="360"/>
      <c r="X1442" s="393" t="str">
        <f t="shared" si="6"/>
        <v/>
      </c>
      <c r="Y1442" s="393"/>
      <c r="Z1442" s="207">
        <v>0.1</v>
      </c>
    </row>
    <row r="1443" spans="2:27" ht="16.5" thickBot="1" x14ac:dyDescent="0.3">
      <c r="B1443" s="369" t="s">
        <v>520</v>
      </c>
      <c r="C1443" s="370"/>
      <c r="D1443" s="370"/>
      <c r="E1443" s="370"/>
      <c r="F1443" s="370"/>
      <c r="G1443" s="370"/>
      <c r="H1443" s="371"/>
      <c r="I1443" s="371"/>
      <c r="J1443" s="372" t="s">
        <v>531</v>
      </c>
      <c r="K1443" s="372"/>
      <c r="L1443" s="372"/>
      <c r="M1443" s="372"/>
      <c r="N1443" s="372"/>
      <c r="O1443" s="372"/>
      <c r="P1443" s="372"/>
      <c r="Q1443" s="372"/>
      <c r="R1443" s="372"/>
      <c r="S1443" s="372"/>
      <c r="T1443" s="372"/>
      <c r="U1443" s="372"/>
      <c r="V1443" s="372"/>
      <c r="W1443" s="372"/>
      <c r="X1443" s="373" t="str">
        <f t="shared" si="6"/>
        <v/>
      </c>
      <c r="Y1443" s="373"/>
      <c r="Z1443" s="208">
        <v>0.1</v>
      </c>
    </row>
    <row r="1444" spans="2:27" ht="6" customHeight="1" thickBot="1" x14ac:dyDescent="0.25">
      <c r="B1444" s="209"/>
      <c r="C1444" s="209"/>
      <c r="D1444" s="209"/>
      <c r="E1444" s="209"/>
      <c r="F1444" s="209"/>
      <c r="G1444" s="209"/>
      <c r="H1444" s="209"/>
      <c r="I1444" s="209"/>
      <c r="J1444" s="209"/>
      <c r="K1444" s="209"/>
      <c r="L1444" s="209"/>
      <c r="M1444" s="209"/>
      <c r="N1444" s="209"/>
      <c r="O1444" s="209"/>
      <c r="P1444" s="209"/>
      <c r="Q1444" s="209"/>
      <c r="R1444" s="209"/>
      <c r="S1444" s="209"/>
      <c r="T1444" s="209"/>
      <c r="U1444" s="209"/>
      <c r="V1444" s="209"/>
      <c r="W1444" s="209"/>
      <c r="X1444" s="209"/>
      <c r="Y1444" s="209"/>
      <c r="Z1444" s="209"/>
    </row>
    <row r="1445" spans="2:27" x14ac:dyDescent="0.2">
      <c r="B1445" s="361" t="s">
        <v>532</v>
      </c>
      <c r="C1445" s="362"/>
      <c r="D1445" s="362"/>
      <c r="E1445" s="362"/>
      <c r="F1445" s="362"/>
      <c r="G1445" s="362"/>
      <c r="H1445" s="362"/>
      <c r="I1445" s="362"/>
      <c r="J1445" s="362"/>
      <c r="K1445" s="362"/>
      <c r="L1445" s="362"/>
      <c r="M1445" s="362"/>
      <c r="N1445" s="362"/>
      <c r="O1445" s="362"/>
      <c r="P1445" s="362"/>
      <c r="Q1445" s="362"/>
      <c r="R1445" s="362"/>
      <c r="S1445" s="362"/>
      <c r="T1445" s="362"/>
      <c r="U1445" s="362"/>
      <c r="V1445" s="362"/>
      <c r="W1445" s="365">
        <f>SUM(X1432:Y1443)</f>
        <v>15</v>
      </c>
      <c r="X1445" s="365"/>
      <c r="Y1445" s="365"/>
      <c r="Z1445" s="366"/>
      <c r="AA1445" s="19"/>
    </row>
    <row r="1446" spans="2:27" ht="13.5" thickBot="1" x14ac:dyDescent="0.25">
      <c r="B1446" s="363"/>
      <c r="C1446" s="364"/>
      <c r="D1446" s="364"/>
      <c r="E1446" s="364"/>
      <c r="F1446" s="364"/>
      <c r="G1446" s="364"/>
      <c r="H1446" s="364"/>
      <c r="I1446" s="364"/>
      <c r="J1446" s="364"/>
      <c r="K1446" s="364"/>
      <c r="L1446" s="364"/>
      <c r="M1446" s="364"/>
      <c r="N1446" s="364"/>
      <c r="O1446" s="364"/>
      <c r="P1446" s="364"/>
      <c r="Q1446" s="364"/>
      <c r="R1446" s="364"/>
      <c r="S1446" s="364"/>
      <c r="T1446" s="364"/>
      <c r="U1446" s="364"/>
      <c r="V1446" s="364"/>
      <c r="W1446" s="367"/>
      <c r="X1446" s="367"/>
      <c r="Y1446" s="367"/>
      <c r="Z1446" s="368"/>
    </row>
    <row r="1447" spans="2:27" ht="13.5" thickBot="1" x14ac:dyDescent="0.25"/>
    <row r="1448" spans="2:27" x14ac:dyDescent="0.2">
      <c r="B1448" s="401" t="s">
        <v>596</v>
      </c>
      <c r="C1448" s="402"/>
      <c r="D1448" s="402"/>
      <c r="E1448" s="402"/>
      <c r="F1448" s="402"/>
      <c r="G1448" s="402"/>
      <c r="H1448" s="402"/>
      <c r="I1448" s="402"/>
      <c r="J1448" s="402"/>
      <c r="K1448" s="402"/>
      <c r="L1448" s="402"/>
      <c r="M1448" s="402"/>
      <c r="N1448" s="402"/>
      <c r="O1448" s="235"/>
    </row>
    <row r="1449" spans="2:27" ht="13.5" thickBot="1" x14ac:dyDescent="0.25">
      <c r="B1449" s="403"/>
      <c r="C1449" s="404"/>
      <c r="D1449" s="404"/>
      <c r="E1449" s="404"/>
      <c r="F1449" s="404"/>
      <c r="G1449" s="404"/>
      <c r="H1449" s="404"/>
      <c r="I1449" s="404"/>
      <c r="J1449" s="404"/>
      <c r="K1449" s="404"/>
      <c r="L1449" s="404"/>
      <c r="M1449" s="404"/>
      <c r="N1449" s="404"/>
      <c r="O1449" s="239"/>
    </row>
    <row r="1450" spans="2:27" ht="12.75" customHeight="1" thickBot="1" x14ac:dyDescent="0.25">
      <c r="B1450" t="s">
        <v>597</v>
      </c>
    </row>
    <row r="1451" spans="2:27" ht="15.95" customHeight="1" thickBot="1" x14ac:dyDescent="0.25">
      <c r="B1451" s="218" t="s">
        <v>598</v>
      </c>
      <c r="C1451" s="204"/>
      <c r="D1451" s="204"/>
      <c r="E1451" s="204"/>
      <c r="F1451" s="204"/>
      <c r="G1451" s="205"/>
      <c r="J1451" s="218" t="s">
        <v>599</v>
      </c>
      <c r="K1451" s="204"/>
      <c r="L1451" s="204"/>
      <c r="M1451" s="204"/>
      <c r="N1451" s="204"/>
      <c r="O1451" s="205"/>
    </row>
    <row r="1452" spans="2:27" x14ac:dyDescent="0.2">
      <c r="B1452" s="358" t="s">
        <v>546</v>
      </c>
      <c r="C1452" s="359"/>
      <c r="D1452" s="220" t="s">
        <v>595</v>
      </c>
      <c r="E1452" s="221"/>
      <c r="F1452" s="221"/>
      <c r="G1452" s="222"/>
      <c r="J1452" s="358" t="s">
        <v>546</v>
      </c>
      <c r="K1452" s="359"/>
      <c r="L1452" s="220" t="s">
        <v>595</v>
      </c>
      <c r="M1452" s="221"/>
      <c r="N1452" s="221"/>
      <c r="O1452" s="222"/>
    </row>
    <row r="1453" spans="2:27" x14ac:dyDescent="0.2">
      <c r="B1453" s="357" t="s">
        <v>589</v>
      </c>
      <c r="C1453" s="356"/>
      <c r="D1453" s="356">
        <v>2</v>
      </c>
      <c r="E1453" s="356"/>
      <c r="F1453" s="356"/>
      <c r="G1453" s="223" t="str">
        <f>IF(($W$1445&gt;0)*($W$1445&lt;=5),"◄","")</f>
        <v/>
      </c>
      <c r="J1453" s="357" t="s">
        <v>589</v>
      </c>
      <c r="K1453" s="356"/>
      <c r="L1453" s="356">
        <v>1.6</v>
      </c>
      <c r="M1453" s="356"/>
      <c r="N1453" s="356"/>
      <c r="O1453" s="223" t="str">
        <f>IF(($W$1445&gt;0)*($W$1445&lt;=5),"◄","")</f>
        <v/>
      </c>
    </row>
    <row r="1454" spans="2:27" x14ac:dyDescent="0.2">
      <c r="B1454" s="357" t="s">
        <v>590</v>
      </c>
      <c r="C1454" s="356"/>
      <c r="D1454" s="356">
        <v>4</v>
      </c>
      <c r="E1454" s="356"/>
      <c r="F1454" s="356"/>
      <c r="G1454" s="223" t="str">
        <f>IF(($W$1445&gt;5)*($W$1445&lt;=10),"◄","")</f>
        <v/>
      </c>
      <c r="J1454" s="357" t="s">
        <v>590</v>
      </c>
      <c r="K1454" s="356"/>
      <c r="L1454" s="356">
        <v>2</v>
      </c>
      <c r="M1454" s="356"/>
      <c r="N1454" s="356"/>
      <c r="O1454" s="223" t="str">
        <f>IF(($W$1445&gt;5)*($W$1445&lt;=10),"◄","")</f>
        <v/>
      </c>
    </row>
    <row r="1455" spans="2:27" x14ac:dyDescent="0.2">
      <c r="B1455" s="357" t="s">
        <v>591</v>
      </c>
      <c r="C1455" s="356"/>
      <c r="D1455" s="356">
        <v>6</v>
      </c>
      <c r="E1455" s="356"/>
      <c r="F1455" s="356"/>
      <c r="G1455" s="223" t="str">
        <f>IF(($W$1445&gt;10)*($W$1445&lt;=15),"◄","")</f>
        <v>◄</v>
      </c>
      <c r="J1455" s="357" t="s">
        <v>591</v>
      </c>
      <c r="K1455" s="356"/>
      <c r="L1455" s="356">
        <v>3</v>
      </c>
      <c r="M1455" s="356"/>
      <c r="N1455" s="356"/>
      <c r="O1455" s="223" t="str">
        <f>IF(($W$1445&gt;10)*($W$1445&lt;=15),"◄","")</f>
        <v>◄</v>
      </c>
    </row>
    <row r="1456" spans="2:27" x14ac:dyDescent="0.2">
      <c r="B1456" s="357" t="s">
        <v>592</v>
      </c>
      <c r="C1456" s="356"/>
      <c r="D1456" s="356">
        <v>8</v>
      </c>
      <c r="E1456" s="356"/>
      <c r="F1456" s="356"/>
      <c r="G1456" s="223" t="str">
        <f>IF(($W$1445&gt;15)*($W$1445&lt;=20),"◄","")</f>
        <v/>
      </c>
      <c r="J1456" s="357" t="s">
        <v>592</v>
      </c>
      <c r="K1456" s="356"/>
      <c r="L1456" s="356">
        <v>4</v>
      </c>
      <c r="M1456" s="356"/>
      <c r="N1456" s="356"/>
      <c r="O1456" s="223" t="str">
        <f>IF(($W$1445&gt;15)*($W$1445&lt;=20),"◄","")</f>
        <v/>
      </c>
    </row>
    <row r="1457" spans="2:28" x14ac:dyDescent="0.2">
      <c r="B1457" s="357" t="s">
        <v>593</v>
      </c>
      <c r="C1457" s="356"/>
      <c r="D1457" s="356">
        <v>10</v>
      </c>
      <c r="E1457" s="356"/>
      <c r="F1457" s="356"/>
      <c r="G1457" s="223" t="str">
        <f>IF(($W$1445&gt;20)*($W$1445&lt;=25),"◄","")</f>
        <v/>
      </c>
      <c r="J1457" s="357" t="s">
        <v>593</v>
      </c>
      <c r="K1457" s="356"/>
      <c r="L1457" s="356">
        <v>5</v>
      </c>
      <c r="M1457" s="356"/>
      <c r="N1457" s="356"/>
      <c r="O1457" s="223" t="str">
        <f>IF(($W$1445&gt;20)*($W$1445&lt;=25),"◄","")</f>
        <v/>
      </c>
    </row>
    <row r="1458" spans="2:28" ht="13.5" thickBot="1" x14ac:dyDescent="0.25">
      <c r="B1458" s="376" t="s">
        <v>594</v>
      </c>
      <c r="C1458" s="377"/>
      <c r="D1458" s="377">
        <v>12</v>
      </c>
      <c r="E1458" s="377"/>
      <c r="F1458" s="377"/>
      <c r="G1458" s="224" t="str">
        <f>IF(($W$1445&gt;25)*($W$1445&lt;=30),"◄","")</f>
        <v/>
      </c>
      <c r="J1458" s="376" t="s">
        <v>594</v>
      </c>
      <c r="K1458" s="377"/>
      <c r="L1458" s="377">
        <v>6</v>
      </c>
      <c r="M1458" s="377"/>
      <c r="N1458" s="377"/>
      <c r="O1458" s="224" t="str">
        <f>IF(($W$1445&gt;25)*($W$1445&lt;=30),"◄","")</f>
        <v/>
      </c>
    </row>
    <row r="1459" spans="2:28" ht="6" customHeight="1" thickBot="1" x14ac:dyDescent="0.25">
      <c r="C1459" s="26"/>
    </row>
    <row r="1460" spans="2:28" ht="16.5" thickBot="1" x14ac:dyDescent="0.3">
      <c r="B1460" s="242" t="s">
        <v>600</v>
      </c>
      <c r="C1460" s="243"/>
      <c r="D1460" s="243"/>
      <c r="E1460" s="243"/>
      <c r="F1460" s="243"/>
      <c r="G1460" s="243"/>
      <c r="H1460" s="243"/>
      <c r="I1460" s="243"/>
      <c r="J1460" s="243"/>
      <c r="K1460" s="243"/>
      <c r="L1460" s="243"/>
      <c r="M1460" s="243"/>
      <c r="N1460" s="243"/>
      <c r="O1460" s="244"/>
    </row>
    <row r="1461" spans="2:28" x14ac:dyDescent="0.2">
      <c r="B1461" s="20" t="s">
        <v>601</v>
      </c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30"/>
    </row>
    <row r="1462" spans="2:28" x14ac:dyDescent="0.2">
      <c r="B1462" s="20" t="s">
        <v>602</v>
      </c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30"/>
    </row>
    <row r="1463" spans="2:28" ht="15.75" x14ac:dyDescent="0.25">
      <c r="B1463" s="219" t="s">
        <v>603</v>
      </c>
      <c r="C1463" s="2"/>
      <c r="D1463" s="2"/>
      <c r="E1463" s="2"/>
      <c r="F1463" s="2"/>
      <c r="G1463" s="2"/>
      <c r="H1463" s="2"/>
      <c r="I1463" s="415">
        <f>W1445*6</f>
        <v>90</v>
      </c>
      <c r="J1463" s="415"/>
      <c r="K1463" s="2" t="s">
        <v>604</v>
      </c>
      <c r="L1463" s="2"/>
      <c r="M1463" s="2"/>
      <c r="N1463" s="2"/>
      <c r="O1463" s="30"/>
    </row>
    <row r="1464" spans="2:28" ht="15.75" x14ac:dyDescent="0.25">
      <c r="B1464" s="219" t="s">
        <v>605</v>
      </c>
      <c r="C1464" s="2"/>
      <c r="D1464" s="2"/>
      <c r="E1464" s="2"/>
      <c r="F1464" s="2"/>
      <c r="G1464" s="2"/>
      <c r="H1464" s="2"/>
      <c r="I1464" s="415">
        <f>W1445*9</f>
        <v>135</v>
      </c>
      <c r="J1464" s="415"/>
      <c r="K1464" s="2" t="s">
        <v>604</v>
      </c>
      <c r="L1464" s="2"/>
      <c r="M1464" s="2"/>
      <c r="N1464" s="2"/>
      <c r="O1464" s="30"/>
    </row>
    <row r="1465" spans="2:28" ht="13.5" thickBot="1" x14ac:dyDescent="0.25">
      <c r="B1465" s="21"/>
      <c r="C1465" s="22"/>
      <c r="D1465" s="22"/>
      <c r="E1465" s="22"/>
      <c r="F1465" s="22"/>
      <c r="G1465" s="22"/>
      <c r="H1465" s="22"/>
      <c r="I1465" s="22"/>
      <c r="J1465" s="22"/>
      <c r="K1465" s="22"/>
      <c r="L1465" s="22"/>
      <c r="M1465" s="22"/>
      <c r="N1465" s="22"/>
      <c r="O1465" s="24"/>
    </row>
    <row r="1466" spans="2:28" ht="6" customHeight="1" thickBot="1" x14ac:dyDescent="0.25"/>
    <row r="1467" spans="2:28" ht="16.5" thickBot="1" x14ac:dyDescent="0.3">
      <c r="B1467" s="242" t="s">
        <v>654</v>
      </c>
      <c r="C1467" s="243"/>
      <c r="D1467" s="243"/>
      <c r="E1467" s="243"/>
      <c r="F1467" s="243"/>
      <c r="G1467" s="243"/>
      <c r="H1467" s="243"/>
      <c r="I1467" s="243"/>
      <c r="J1467" s="243"/>
      <c r="K1467" s="243"/>
      <c r="L1467" s="243"/>
      <c r="M1467" s="243"/>
      <c r="N1467" s="244"/>
      <c r="P1467" s="242" t="s">
        <v>656</v>
      </c>
      <c r="Q1467" s="243"/>
      <c r="R1467" s="243"/>
      <c r="S1467" s="243"/>
      <c r="T1467" s="243"/>
      <c r="U1467" s="243"/>
      <c r="V1467" s="243"/>
      <c r="W1467" s="243"/>
      <c r="X1467" s="243"/>
      <c r="Y1467" s="243"/>
      <c r="Z1467" s="243"/>
      <c r="AA1467" s="243"/>
      <c r="AB1467" s="244"/>
    </row>
    <row r="1468" spans="2:28" ht="20.100000000000001" customHeight="1" x14ac:dyDescent="0.2">
      <c r="B1468" s="246" t="s">
        <v>653</v>
      </c>
      <c r="C1468" s="28"/>
      <c r="D1468" s="28"/>
      <c r="E1468" s="28"/>
      <c r="F1468" s="28"/>
      <c r="G1468" s="28"/>
      <c r="H1468" s="28"/>
      <c r="I1468" s="28"/>
      <c r="J1468" s="28"/>
      <c r="K1468" s="28"/>
      <c r="L1468" s="28"/>
      <c r="M1468" s="28"/>
      <c r="N1468" s="29"/>
      <c r="P1468" s="246" t="s">
        <v>653</v>
      </c>
      <c r="Q1468" s="28"/>
      <c r="R1468" s="28"/>
      <c r="S1468" s="28"/>
      <c r="T1468" s="28"/>
      <c r="U1468" s="28"/>
      <c r="V1468" s="28"/>
      <c r="W1468" s="28"/>
      <c r="X1468" s="28"/>
      <c r="Y1468" s="28"/>
      <c r="Z1468" s="28"/>
      <c r="AA1468" s="28"/>
      <c r="AB1468" s="29"/>
    </row>
    <row r="1469" spans="2:28" x14ac:dyDescent="0.2">
      <c r="B1469" s="20" t="s">
        <v>657</v>
      </c>
      <c r="C1469" s="2"/>
      <c r="D1469" s="2"/>
      <c r="E1469" s="2"/>
      <c r="F1469" s="2"/>
      <c r="G1469" s="710">
        <f>IF(I1463/15=INT(I1463/15),I1463/15,INT(I1463/15)+1)</f>
        <v>6</v>
      </c>
      <c r="H1469" s="710"/>
      <c r="I1469" s="61" t="s">
        <v>652</v>
      </c>
      <c r="J1469" s="61" t="str">
        <f>"a. "&amp;ROUND(I1463/G1469,1)&amp;" m"</f>
        <v>a. 15 m</v>
      </c>
      <c r="K1469" s="61"/>
      <c r="L1469" s="2"/>
      <c r="M1469" s="2"/>
      <c r="N1469" s="30"/>
      <c r="P1469" s="20" t="s">
        <v>657</v>
      </c>
      <c r="Q1469" s="2"/>
      <c r="R1469" s="2"/>
      <c r="S1469" s="2"/>
      <c r="T1469" s="2"/>
      <c r="U1469" s="710">
        <f>IF(I1464/15=INT(I1464/15),I1464/15,INT(I1464/15)+1)</f>
        <v>9</v>
      </c>
      <c r="V1469" s="710"/>
      <c r="W1469" s="61" t="s">
        <v>652</v>
      </c>
      <c r="X1469" s="61" t="str">
        <f>"a. "&amp;ROUND(I1464/U1469,1)&amp;" m"</f>
        <v>a. 15 m</v>
      </c>
      <c r="Y1469" s="61"/>
      <c r="Z1469" s="2"/>
      <c r="AA1469" s="2"/>
      <c r="AB1469" s="30"/>
    </row>
    <row r="1470" spans="2:28" ht="15.75" x14ac:dyDescent="0.3">
      <c r="B1470" s="20" t="s">
        <v>658</v>
      </c>
      <c r="C1470" s="2"/>
      <c r="D1470" s="2"/>
      <c r="E1470" s="2"/>
      <c r="F1470" s="2"/>
      <c r="G1470" s="245"/>
      <c r="H1470" s="245"/>
      <c r="I1470" s="61"/>
      <c r="J1470" s="61"/>
      <c r="K1470" s="61"/>
      <c r="L1470" s="2"/>
      <c r="M1470" s="2"/>
      <c r="N1470" s="30"/>
      <c r="P1470" s="20" t="s">
        <v>658</v>
      </c>
      <c r="Q1470" s="2"/>
      <c r="R1470" s="2"/>
      <c r="S1470" s="2"/>
      <c r="T1470" s="2"/>
      <c r="U1470" s="245"/>
      <c r="V1470" s="245"/>
      <c r="W1470" s="61"/>
      <c r="X1470" s="61"/>
      <c r="Y1470" s="61"/>
      <c r="Z1470" s="2"/>
      <c r="AA1470" s="2"/>
      <c r="AB1470" s="30"/>
    </row>
    <row r="1471" spans="2:28" x14ac:dyDescent="0.2">
      <c r="B1471" s="20" t="s">
        <v>659</v>
      </c>
      <c r="C1471" s="2"/>
      <c r="D1471" s="2"/>
      <c r="E1471" s="2"/>
      <c r="F1471" s="2"/>
      <c r="G1471" s="245"/>
      <c r="H1471" s="245"/>
      <c r="I1471" s="61"/>
      <c r="J1471" s="61"/>
      <c r="K1471" s="61"/>
      <c r="L1471" s="2"/>
      <c r="M1471" s="2"/>
      <c r="N1471" s="30"/>
      <c r="P1471" s="20" t="s">
        <v>659</v>
      </c>
      <c r="Q1471" s="2"/>
      <c r="R1471" s="2"/>
      <c r="S1471" s="2"/>
      <c r="T1471" s="2"/>
      <c r="U1471" s="245"/>
      <c r="V1471" s="245"/>
      <c r="W1471" s="61"/>
      <c r="X1471" s="61"/>
      <c r="Y1471" s="61"/>
      <c r="Z1471" s="2"/>
      <c r="AA1471" s="2"/>
      <c r="AB1471" s="30"/>
    </row>
    <row r="1472" spans="2:28" ht="13.5" thickBot="1" x14ac:dyDescent="0.25">
      <c r="B1472" s="21" t="s">
        <v>660</v>
      </c>
      <c r="C1472" s="22"/>
      <c r="D1472" s="22"/>
      <c r="E1472" s="22"/>
      <c r="F1472" s="22"/>
      <c r="H1472" t="s">
        <v>661</v>
      </c>
      <c r="M1472" s="22"/>
      <c r="N1472" s="24"/>
      <c r="P1472" s="21" t="s">
        <v>660</v>
      </c>
      <c r="Q1472" s="22"/>
      <c r="R1472" s="22"/>
      <c r="S1472" s="22"/>
      <c r="T1472" s="22"/>
      <c r="AA1472" s="22"/>
      <c r="AB1472" s="24"/>
    </row>
    <row r="1473" spans="1:34" ht="20.100000000000001" customHeight="1" x14ac:dyDescent="0.2">
      <c r="B1473" s="246" t="s">
        <v>655</v>
      </c>
      <c r="C1473" s="28"/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29"/>
      <c r="P1473" s="246" t="s">
        <v>655</v>
      </c>
      <c r="Q1473" s="28"/>
      <c r="R1473" s="28"/>
      <c r="S1473" s="28"/>
      <c r="T1473" s="28"/>
      <c r="U1473" s="28"/>
      <c r="V1473" s="28"/>
      <c r="W1473" s="28"/>
      <c r="X1473" s="28"/>
      <c r="Y1473" s="28"/>
      <c r="Z1473" s="28"/>
      <c r="AA1473" s="28"/>
      <c r="AB1473" s="29"/>
    </row>
    <row r="1474" spans="1:34" x14ac:dyDescent="0.2">
      <c r="B1474" s="20" t="s">
        <v>657</v>
      </c>
      <c r="C1474" s="2"/>
      <c r="D1474" s="2"/>
      <c r="E1474" s="2"/>
      <c r="F1474" s="2"/>
      <c r="G1474" s="484">
        <f>IF(I1463/25=INT(I1463/25),I1463/25,INT(I1463/25)+1)</f>
        <v>4</v>
      </c>
      <c r="H1474" s="484"/>
      <c r="I1474" s="61" t="s">
        <v>652</v>
      </c>
      <c r="J1474" s="61" t="str">
        <f>"a. "&amp;ROUND(I1463/G1474,1)&amp;" m"</f>
        <v>a. 22,5 m</v>
      </c>
      <c r="K1474" s="61"/>
      <c r="L1474" s="2"/>
      <c r="M1474" s="2"/>
      <c r="N1474" s="30"/>
      <c r="P1474" s="20" t="s">
        <v>657</v>
      </c>
      <c r="Q1474" s="2"/>
      <c r="R1474" s="2"/>
      <c r="S1474" s="2"/>
      <c r="T1474" s="2"/>
      <c r="U1474" s="484">
        <f>IF(I1464/25=INT(I1464/25),I1464/25,INT(I1464/25)+1)</f>
        <v>6</v>
      </c>
      <c r="V1474" s="484"/>
      <c r="W1474" s="61" t="s">
        <v>652</v>
      </c>
      <c r="X1474" s="61" t="str">
        <f>"a. "&amp;ROUND(I1464/U1474,1)&amp;" m"</f>
        <v>a. 22,5 m</v>
      </c>
      <c r="Y1474" s="2"/>
      <c r="Z1474" s="2"/>
      <c r="AA1474" s="2"/>
      <c r="AB1474" s="30"/>
    </row>
    <row r="1475" spans="1:34" x14ac:dyDescent="0.2">
      <c r="B1475" s="20" t="s">
        <v>664</v>
      </c>
      <c r="C1475" s="2"/>
      <c r="D1475" s="2"/>
      <c r="E1475" s="2"/>
      <c r="F1475" s="2"/>
      <c r="G1475" s="113"/>
      <c r="H1475" s="113"/>
      <c r="I1475" s="61"/>
      <c r="J1475" s="61"/>
      <c r="K1475" s="61"/>
      <c r="L1475" s="2"/>
      <c r="M1475" s="2"/>
      <c r="N1475" s="30"/>
      <c r="P1475" s="20" t="s">
        <v>664</v>
      </c>
      <c r="Q1475" s="2"/>
      <c r="R1475" s="2"/>
      <c r="S1475" s="2"/>
      <c r="T1475" s="2"/>
      <c r="U1475" s="113"/>
      <c r="V1475" s="113"/>
      <c r="W1475" s="61"/>
      <c r="X1475" s="61"/>
      <c r="Y1475" s="2"/>
      <c r="Z1475" s="2"/>
      <c r="AA1475" s="2"/>
      <c r="AB1475" s="30"/>
    </row>
    <row r="1476" spans="1:34" x14ac:dyDescent="0.2">
      <c r="B1476" s="20" t="s">
        <v>663</v>
      </c>
      <c r="C1476" s="2"/>
      <c r="D1476" s="2"/>
      <c r="E1476" s="2"/>
      <c r="F1476" s="2"/>
      <c r="G1476" s="245"/>
      <c r="H1476" s="245"/>
      <c r="I1476" s="61"/>
      <c r="J1476" s="61"/>
      <c r="K1476" s="61"/>
      <c r="L1476" s="2"/>
      <c r="M1476" s="2"/>
      <c r="N1476" s="30"/>
      <c r="P1476" s="20" t="s">
        <v>663</v>
      </c>
      <c r="Q1476" s="2"/>
      <c r="R1476" s="2"/>
      <c r="S1476" s="2"/>
      <c r="T1476" s="2"/>
      <c r="U1476" s="245"/>
      <c r="V1476" s="245"/>
      <c r="W1476" s="61"/>
      <c r="X1476" s="61"/>
      <c r="Y1476" s="61"/>
      <c r="Z1476" s="2"/>
      <c r="AA1476" s="2"/>
      <c r="AB1476" s="30"/>
    </row>
    <row r="1477" spans="1:34" ht="13.5" thickBot="1" x14ac:dyDescent="0.25">
      <c r="B1477" s="21" t="s">
        <v>660</v>
      </c>
      <c r="C1477" s="22"/>
      <c r="D1477" s="22"/>
      <c r="E1477" s="22"/>
      <c r="F1477" s="22"/>
      <c r="G1477" s="22"/>
      <c r="H1477" s="22" t="s">
        <v>662</v>
      </c>
      <c r="I1477" s="22"/>
      <c r="J1477" s="22"/>
      <c r="K1477" s="22"/>
      <c r="L1477" s="22"/>
      <c r="M1477" s="22"/>
      <c r="N1477" s="24"/>
      <c r="O1477" s="2"/>
      <c r="P1477" s="21" t="s">
        <v>660</v>
      </c>
      <c r="Q1477" s="22"/>
      <c r="R1477" s="22"/>
      <c r="S1477" s="22"/>
      <c r="T1477" s="22"/>
      <c r="U1477" s="22"/>
      <c r="V1477" s="22" t="s">
        <v>662</v>
      </c>
      <c r="W1477" s="22"/>
      <c r="X1477" s="22"/>
      <c r="Y1477" s="22"/>
      <c r="Z1477" s="22"/>
      <c r="AA1477" s="22"/>
      <c r="AB1477" s="24"/>
    </row>
    <row r="1478" spans="1:34" x14ac:dyDescent="0.2">
      <c r="B1478" s="2"/>
      <c r="C1478" s="2"/>
      <c r="D1478" s="2"/>
      <c r="E1478" s="2"/>
      <c r="F1478" s="2"/>
      <c r="M1478" s="2"/>
      <c r="N1478" s="2"/>
      <c r="O1478" s="2"/>
      <c r="P1478" s="2"/>
      <c r="Q1478" s="2"/>
      <c r="R1478" s="2"/>
      <c r="S1478" s="2"/>
      <c r="T1478" s="2"/>
      <c r="AA1478" s="2"/>
      <c r="AB1478" s="2"/>
    </row>
    <row r="1479" spans="1:34" x14ac:dyDescent="0.2">
      <c r="A1479" s="423" t="s">
        <v>0</v>
      </c>
      <c r="B1479" s="378"/>
      <c r="C1479" s="378"/>
      <c r="D1479" s="378"/>
      <c r="E1479" s="378"/>
      <c r="F1479" s="378"/>
      <c r="G1479" s="374" t="s">
        <v>1</v>
      </c>
      <c r="H1479" s="374"/>
      <c r="I1479" s="374"/>
      <c r="J1479" s="374"/>
      <c r="K1479" s="374"/>
      <c r="L1479" s="374"/>
      <c r="M1479" s="374"/>
      <c r="N1479" s="374"/>
      <c r="O1479" s="374"/>
      <c r="P1479" s="374"/>
      <c r="Q1479" s="374"/>
      <c r="R1479" s="374"/>
      <c r="S1479" s="374"/>
      <c r="T1479" s="374"/>
      <c r="U1479" s="8"/>
      <c r="V1479" s="8"/>
      <c r="W1479" s="9"/>
      <c r="X1479" s="9"/>
      <c r="Y1479" s="378" t="s">
        <v>2</v>
      </c>
      <c r="Z1479" s="378"/>
      <c r="AA1479" s="378"/>
      <c r="AB1479" s="1"/>
    </row>
    <row r="1480" spans="1:34" x14ac:dyDescent="0.2">
      <c r="A1480" s="382"/>
      <c r="B1480" s="379"/>
      <c r="C1480" s="379"/>
      <c r="D1480" s="379"/>
      <c r="E1480" s="379"/>
      <c r="F1480" s="379"/>
      <c r="G1480" s="375"/>
      <c r="H1480" s="375"/>
      <c r="I1480" s="375"/>
      <c r="J1480" s="375"/>
      <c r="K1480" s="375"/>
      <c r="L1480" s="375"/>
      <c r="M1480" s="375"/>
      <c r="N1480" s="375"/>
      <c r="O1480" s="375"/>
      <c r="P1480" s="375"/>
      <c r="Q1480" s="375"/>
      <c r="R1480" s="375"/>
      <c r="S1480" s="375"/>
      <c r="T1480" s="375"/>
      <c r="U1480" s="6"/>
      <c r="V1480" s="6"/>
      <c r="W1480" s="10"/>
      <c r="X1480" s="14">
        <f>X1425+1</f>
        <v>27</v>
      </c>
      <c r="Y1480" s="379"/>
      <c r="Z1480" s="379"/>
      <c r="AA1480" s="379"/>
      <c r="AB1480" s="4"/>
    </row>
    <row r="1481" spans="1:34" x14ac:dyDescent="0.2">
      <c r="A1481" s="380" t="s">
        <v>3</v>
      </c>
      <c r="B1481" s="381"/>
      <c r="C1481" s="381"/>
      <c r="D1481" s="381"/>
      <c r="E1481" s="381"/>
      <c r="F1481" s="381"/>
      <c r="G1481" s="383" t="s">
        <v>5</v>
      </c>
      <c r="H1481" s="383"/>
      <c r="I1481" s="383"/>
      <c r="J1481" s="383"/>
      <c r="K1481" s="383"/>
      <c r="L1481" s="383"/>
      <c r="M1481" s="383"/>
      <c r="N1481" s="383"/>
      <c r="O1481" s="383"/>
      <c r="P1481" s="383"/>
      <c r="Q1481" s="383"/>
      <c r="R1481" s="383"/>
      <c r="S1481" s="383"/>
      <c r="T1481" s="383"/>
      <c r="U1481" s="5"/>
      <c r="V1481" s="5"/>
      <c r="W1481" s="2"/>
      <c r="X1481" s="384" t="s">
        <v>4</v>
      </c>
      <c r="Y1481" s="384"/>
      <c r="Z1481" s="384"/>
      <c r="AA1481" s="384"/>
      <c r="AB1481" s="385"/>
    </row>
    <row r="1482" spans="1:34" x14ac:dyDescent="0.2">
      <c r="A1482" s="382"/>
      <c r="B1482" s="379"/>
      <c r="C1482" s="379"/>
      <c r="D1482" s="379"/>
      <c r="E1482" s="379"/>
      <c r="F1482" s="379"/>
      <c r="G1482" s="388" t="s">
        <v>436</v>
      </c>
      <c r="H1482" s="388"/>
      <c r="I1482" s="388"/>
      <c r="J1482" s="388"/>
      <c r="K1482" s="388"/>
      <c r="L1482" s="388"/>
      <c r="M1482" s="388"/>
      <c r="N1482" s="388"/>
      <c r="O1482" s="388"/>
      <c r="P1482" s="388"/>
      <c r="Q1482" s="388"/>
      <c r="R1482" s="388"/>
      <c r="S1482" s="388"/>
      <c r="T1482" s="388"/>
      <c r="U1482" s="7"/>
      <c r="V1482" s="7"/>
      <c r="W1482" s="3"/>
      <c r="X1482" s="386"/>
      <c r="Y1482" s="386"/>
      <c r="Z1482" s="386"/>
      <c r="AA1482" s="386"/>
      <c r="AB1482" s="387"/>
    </row>
    <row r="1483" spans="1:34" x14ac:dyDescent="0.2">
      <c r="B1483" s="398" t="s">
        <v>455</v>
      </c>
      <c r="C1483" s="398"/>
      <c r="D1483" s="398"/>
      <c r="E1483" s="398"/>
      <c r="F1483" s="398"/>
      <c r="G1483" s="398"/>
      <c r="H1483" s="398"/>
      <c r="I1483" s="398"/>
      <c r="J1483" s="398"/>
      <c r="K1483" s="398"/>
      <c r="L1483" s="398"/>
      <c r="M1483" s="398"/>
      <c r="N1483" s="398"/>
      <c r="O1483" s="398"/>
      <c r="P1483" s="398"/>
      <c r="Q1483" s="398"/>
    </row>
    <row r="1484" spans="1:34" x14ac:dyDescent="0.2">
      <c r="B1484" s="399"/>
      <c r="C1484" s="399"/>
      <c r="D1484" s="399"/>
      <c r="E1484" s="399"/>
      <c r="F1484" s="399"/>
      <c r="G1484" s="399"/>
      <c r="H1484" s="399"/>
      <c r="I1484" s="399"/>
      <c r="J1484" s="399"/>
      <c r="K1484" s="399"/>
      <c r="L1484" s="399"/>
      <c r="M1484" s="399"/>
      <c r="N1484" s="399"/>
      <c r="O1484" s="399"/>
      <c r="P1484" s="399"/>
      <c r="Q1484" s="399"/>
    </row>
    <row r="1485" spans="1:34" x14ac:dyDescent="0.2">
      <c r="B1485" s="400" t="s">
        <v>508</v>
      </c>
      <c r="C1485" s="400"/>
      <c r="D1485" s="400"/>
      <c r="E1485" s="400"/>
      <c r="F1485" s="400"/>
      <c r="G1485" s="400"/>
      <c r="H1485" s="400"/>
      <c r="I1485" s="400"/>
      <c r="J1485" s="400"/>
      <c r="K1485" s="400"/>
      <c r="L1485" s="400"/>
      <c r="M1485" s="400"/>
      <c r="N1485" s="400"/>
      <c r="O1485" s="400"/>
      <c r="P1485" s="400"/>
      <c r="Q1485" s="400"/>
    </row>
    <row r="1486" spans="1:34" ht="13.5" thickBot="1" x14ac:dyDescent="0.25">
      <c r="B1486" s="400"/>
      <c r="C1486" s="400"/>
      <c r="D1486" s="400"/>
      <c r="E1486" s="400"/>
      <c r="F1486" s="400"/>
      <c r="G1486" s="400"/>
      <c r="H1486" s="400"/>
      <c r="I1486" s="400"/>
      <c r="J1486" s="400"/>
      <c r="K1486" s="400"/>
      <c r="L1486" s="400"/>
      <c r="M1486" s="400"/>
      <c r="N1486" s="400"/>
      <c r="O1486" s="400"/>
      <c r="P1486" s="400"/>
      <c r="Q1486" s="400"/>
    </row>
    <row r="1487" spans="1:34" ht="15.75" x14ac:dyDescent="0.25">
      <c r="B1487" s="394" t="s">
        <v>509</v>
      </c>
      <c r="C1487" s="395"/>
      <c r="D1487" s="395"/>
      <c r="E1487" s="395"/>
      <c r="F1487" s="395"/>
      <c r="G1487" s="395"/>
      <c r="H1487" s="396">
        <v>4</v>
      </c>
      <c r="I1487" s="396"/>
      <c r="J1487" s="397" t="s">
        <v>521</v>
      </c>
      <c r="K1487" s="397"/>
      <c r="L1487" s="397"/>
      <c r="M1487" s="397"/>
      <c r="N1487" s="397"/>
      <c r="O1487" s="397"/>
      <c r="P1487" s="397"/>
      <c r="Q1487" s="397"/>
      <c r="R1487" s="397"/>
      <c r="S1487" s="397"/>
      <c r="T1487" s="397"/>
      <c r="U1487" s="397"/>
      <c r="V1487" s="397"/>
      <c r="W1487" s="397"/>
      <c r="X1487" s="389">
        <f>(H1487&lt;=2)*H1487*5+((H1487=3)+(H1487=4))*15+((H1487=5)+(H1487=6))*20+((H1487=7)+(H1487=8))*25+((H1487=9)+(H1487=10))*30</f>
        <v>15</v>
      </c>
      <c r="Y1487" s="389"/>
      <c r="Z1487" s="206">
        <v>5</v>
      </c>
      <c r="AD1487" s="294" t="s">
        <v>690</v>
      </c>
      <c r="AE1487" s="294"/>
      <c r="AF1487" s="294"/>
      <c r="AG1487" s="294"/>
      <c r="AH1487" s="294"/>
    </row>
    <row r="1488" spans="1:34" ht="15.75" x14ac:dyDescent="0.25">
      <c r="B1488" s="390" t="s">
        <v>510</v>
      </c>
      <c r="C1488" s="391"/>
      <c r="D1488" s="391"/>
      <c r="E1488" s="391"/>
      <c r="F1488" s="391"/>
      <c r="G1488" s="391"/>
      <c r="H1488" s="392"/>
      <c r="I1488" s="392"/>
      <c r="J1488" s="360" t="s">
        <v>522</v>
      </c>
      <c r="K1488" s="360"/>
      <c r="L1488" s="360"/>
      <c r="M1488" s="360"/>
      <c r="N1488" s="360"/>
      <c r="O1488" s="360"/>
      <c r="P1488" s="360"/>
      <c r="Q1488" s="360"/>
      <c r="R1488" s="360"/>
      <c r="S1488" s="360"/>
      <c r="T1488" s="360"/>
      <c r="U1488" s="360"/>
      <c r="V1488" s="360"/>
      <c r="W1488" s="360"/>
      <c r="X1488" s="393" t="str">
        <f t="shared" ref="X1488:X1498" si="7">IF(H1488,H1488*Z1488,"")</f>
        <v/>
      </c>
      <c r="Y1488" s="393"/>
      <c r="Z1488" s="207">
        <v>0.5</v>
      </c>
    </row>
    <row r="1489" spans="2:27" ht="15.75" x14ac:dyDescent="0.25">
      <c r="B1489" s="390" t="s">
        <v>511</v>
      </c>
      <c r="C1489" s="391"/>
      <c r="D1489" s="391"/>
      <c r="E1489" s="391"/>
      <c r="F1489" s="391"/>
      <c r="G1489" s="391"/>
      <c r="H1489" s="392"/>
      <c r="I1489" s="392"/>
      <c r="J1489" s="360" t="s">
        <v>523</v>
      </c>
      <c r="K1489" s="360"/>
      <c r="L1489" s="360"/>
      <c r="M1489" s="360"/>
      <c r="N1489" s="360"/>
      <c r="O1489" s="360"/>
      <c r="P1489" s="360"/>
      <c r="Q1489" s="360"/>
      <c r="R1489" s="360"/>
      <c r="S1489" s="360"/>
      <c r="T1489" s="360"/>
      <c r="U1489" s="360"/>
      <c r="V1489" s="360"/>
      <c r="W1489" s="360"/>
      <c r="X1489" s="393" t="str">
        <f t="shared" si="7"/>
        <v/>
      </c>
      <c r="Y1489" s="393"/>
      <c r="Z1489" s="207">
        <v>0.5</v>
      </c>
    </row>
    <row r="1490" spans="2:27" ht="15.75" x14ac:dyDescent="0.25">
      <c r="B1490" s="390" t="s">
        <v>512</v>
      </c>
      <c r="C1490" s="391"/>
      <c r="D1490" s="391"/>
      <c r="E1490" s="391"/>
      <c r="F1490" s="391"/>
      <c r="G1490" s="391"/>
      <c r="H1490" s="392"/>
      <c r="I1490" s="392"/>
      <c r="J1490" s="360" t="s">
        <v>524</v>
      </c>
      <c r="K1490" s="360"/>
      <c r="L1490" s="360"/>
      <c r="M1490" s="360"/>
      <c r="N1490" s="360"/>
      <c r="O1490" s="360"/>
      <c r="P1490" s="360"/>
      <c r="Q1490" s="360"/>
      <c r="R1490" s="360"/>
      <c r="S1490" s="360"/>
      <c r="T1490" s="360"/>
      <c r="U1490" s="360"/>
      <c r="V1490" s="360"/>
      <c r="W1490" s="360"/>
      <c r="X1490" s="393" t="str">
        <f t="shared" si="7"/>
        <v/>
      </c>
      <c r="Y1490" s="393"/>
      <c r="Z1490" s="207">
        <f>1/3</f>
        <v>0.33333333333333331</v>
      </c>
    </row>
    <row r="1491" spans="2:27" ht="15.75" x14ac:dyDescent="0.25">
      <c r="B1491" s="390" t="s">
        <v>513</v>
      </c>
      <c r="C1491" s="391"/>
      <c r="D1491" s="391"/>
      <c r="E1491" s="391"/>
      <c r="F1491" s="391"/>
      <c r="G1491" s="391"/>
      <c r="H1491" s="392"/>
      <c r="I1491" s="392"/>
      <c r="J1491" s="360" t="s">
        <v>525</v>
      </c>
      <c r="K1491" s="360"/>
      <c r="L1491" s="360"/>
      <c r="M1491" s="360"/>
      <c r="N1491" s="360"/>
      <c r="O1491" s="360"/>
      <c r="P1491" s="360"/>
      <c r="Q1491" s="360"/>
      <c r="R1491" s="360"/>
      <c r="S1491" s="360"/>
      <c r="T1491" s="360"/>
      <c r="U1491" s="360"/>
      <c r="V1491" s="360"/>
      <c r="W1491" s="360"/>
      <c r="X1491" s="393" t="str">
        <f t="shared" si="7"/>
        <v/>
      </c>
      <c r="Y1491" s="393"/>
      <c r="Z1491" s="207">
        <f>1/3</f>
        <v>0.33333333333333331</v>
      </c>
    </row>
    <row r="1492" spans="2:27" ht="15.75" x14ac:dyDescent="0.25">
      <c r="B1492" s="390" t="s">
        <v>514</v>
      </c>
      <c r="C1492" s="391"/>
      <c r="D1492" s="391"/>
      <c r="E1492" s="391"/>
      <c r="F1492" s="391"/>
      <c r="G1492" s="391"/>
      <c r="H1492" s="392"/>
      <c r="I1492" s="392"/>
      <c r="J1492" s="360" t="s">
        <v>526</v>
      </c>
      <c r="K1492" s="360"/>
      <c r="L1492" s="360"/>
      <c r="M1492" s="360"/>
      <c r="N1492" s="360"/>
      <c r="O1492" s="360"/>
      <c r="P1492" s="360"/>
      <c r="Q1492" s="360"/>
      <c r="R1492" s="360"/>
      <c r="S1492" s="360"/>
      <c r="T1492" s="360"/>
      <c r="U1492" s="360"/>
      <c r="V1492" s="360"/>
      <c r="W1492" s="360"/>
      <c r="X1492" s="393" t="str">
        <f t="shared" si="7"/>
        <v/>
      </c>
      <c r="Y1492" s="393"/>
      <c r="Z1492" s="207">
        <f>1/3</f>
        <v>0.33333333333333331</v>
      </c>
    </row>
    <row r="1493" spans="2:27" ht="15.75" x14ac:dyDescent="0.25">
      <c r="B1493" s="390" t="s">
        <v>515</v>
      </c>
      <c r="C1493" s="391"/>
      <c r="D1493" s="391"/>
      <c r="E1493" s="391"/>
      <c r="F1493" s="391"/>
      <c r="G1493" s="391"/>
      <c r="H1493" s="392"/>
      <c r="I1493" s="392"/>
      <c r="J1493" s="360" t="s">
        <v>527</v>
      </c>
      <c r="K1493" s="360"/>
      <c r="L1493" s="360"/>
      <c r="M1493" s="360"/>
      <c r="N1493" s="360"/>
      <c r="O1493" s="360"/>
      <c r="P1493" s="360"/>
      <c r="Q1493" s="360"/>
      <c r="R1493" s="360"/>
      <c r="S1493" s="360"/>
      <c r="T1493" s="360"/>
      <c r="U1493" s="360"/>
      <c r="V1493" s="360"/>
      <c r="W1493" s="360"/>
      <c r="X1493" s="393" t="str">
        <f t="shared" si="7"/>
        <v/>
      </c>
      <c r="Y1493" s="393"/>
      <c r="Z1493" s="207">
        <f>1/3</f>
        <v>0.33333333333333331</v>
      </c>
    </row>
    <row r="1494" spans="2:27" ht="15.75" x14ac:dyDescent="0.25">
      <c r="B1494" s="390" t="s">
        <v>516</v>
      </c>
      <c r="C1494" s="391"/>
      <c r="D1494" s="391"/>
      <c r="E1494" s="391"/>
      <c r="F1494" s="391"/>
      <c r="G1494" s="391"/>
      <c r="H1494" s="392"/>
      <c r="I1494" s="392"/>
      <c r="J1494" s="360" t="s">
        <v>528</v>
      </c>
      <c r="K1494" s="360"/>
      <c r="L1494" s="360"/>
      <c r="M1494" s="360"/>
      <c r="N1494" s="360"/>
      <c r="O1494" s="360"/>
      <c r="P1494" s="360"/>
      <c r="Q1494" s="360"/>
      <c r="R1494" s="360"/>
      <c r="S1494" s="360"/>
      <c r="T1494" s="360"/>
      <c r="U1494" s="360"/>
      <c r="V1494" s="360"/>
      <c r="W1494" s="360"/>
      <c r="X1494" s="393" t="str">
        <f t="shared" si="7"/>
        <v/>
      </c>
      <c r="Y1494" s="393"/>
      <c r="Z1494" s="207">
        <v>3.25</v>
      </c>
    </row>
    <row r="1495" spans="2:27" ht="15.75" x14ac:dyDescent="0.25">
      <c r="B1495" s="390" t="s">
        <v>517</v>
      </c>
      <c r="C1495" s="391"/>
      <c r="D1495" s="391"/>
      <c r="E1495" s="391"/>
      <c r="F1495" s="391"/>
      <c r="G1495" s="391"/>
      <c r="H1495" s="392"/>
      <c r="I1495" s="392"/>
      <c r="J1495" s="360" t="s">
        <v>529</v>
      </c>
      <c r="K1495" s="360"/>
      <c r="L1495" s="360"/>
      <c r="M1495" s="360"/>
      <c r="N1495" s="360"/>
      <c r="O1495" s="360"/>
      <c r="P1495" s="360"/>
      <c r="Q1495" s="360"/>
      <c r="R1495" s="360"/>
      <c r="S1495" s="360"/>
      <c r="T1495" s="360"/>
      <c r="U1495" s="360"/>
      <c r="V1495" s="360"/>
      <c r="W1495" s="360"/>
      <c r="X1495" s="393" t="str">
        <f t="shared" si="7"/>
        <v/>
      </c>
      <c r="Y1495" s="393"/>
      <c r="Z1495" s="207">
        <v>2.25</v>
      </c>
    </row>
    <row r="1496" spans="2:27" ht="15.75" x14ac:dyDescent="0.25">
      <c r="B1496" s="390" t="s">
        <v>518</v>
      </c>
      <c r="C1496" s="391"/>
      <c r="D1496" s="391"/>
      <c r="E1496" s="391"/>
      <c r="F1496" s="391"/>
      <c r="G1496" s="391"/>
      <c r="H1496" s="392"/>
      <c r="I1496" s="392"/>
      <c r="J1496" s="360" t="s">
        <v>548</v>
      </c>
      <c r="K1496" s="360"/>
      <c r="L1496" s="360"/>
      <c r="M1496" s="360"/>
      <c r="N1496" s="360"/>
      <c r="O1496" s="360"/>
      <c r="P1496" s="360"/>
      <c r="Q1496" s="360"/>
      <c r="R1496" s="360"/>
      <c r="S1496" s="360"/>
      <c r="T1496" s="360"/>
      <c r="U1496" s="360"/>
      <c r="V1496" s="360"/>
      <c r="W1496" s="360"/>
      <c r="X1496" s="393" t="str">
        <f t="shared" si="7"/>
        <v/>
      </c>
      <c r="Y1496" s="393"/>
      <c r="Z1496" s="207">
        <v>1.5</v>
      </c>
    </row>
    <row r="1497" spans="2:27" ht="15.75" x14ac:dyDescent="0.25">
      <c r="B1497" s="390" t="s">
        <v>519</v>
      </c>
      <c r="C1497" s="391"/>
      <c r="D1497" s="391"/>
      <c r="E1497" s="391"/>
      <c r="F1497" s="391"/>
      <c r="G1497" s="391"/>
      <c r="H1497" s="392"/>
      <c r="I1497" s="392"/>
      <c r="J1497" s="360" t="s">
        <v>530</v>
      </c>
      <c r="K1497" s="360"/>
      <c r="L1497" s="360"/>
      <c r="M1497" s="360"/>
      <c r="N1497" s="360"/>
      <c r="O1497" s="360"/>
      <c r="P1497" s="360"/>
      <c r="Q1497" s="360"/>
      <c r="R1497" s="360"/>
      <c r="S1497" s="360"/>
      <c r="T1497" s="360"/>
      <c r="U1497" s="360"/>
      <c r="V1497" s="360"/>
      <c r="W1497" s="360"/>
      <c r="X1497" s="393" t="str">
        <f t="shared" si="7"/>
        <v/>
      </c>
      <c r="Y1497" s="393"/>
      <c r="Z1497" s="207">
        <v>0.1</v>
      </c>
    </row>
    <row r="1498" spans="2:27" ht="16.5" thickBot="1" x14ac:dyDescent="0.3">
      <c r="B1498" s="369" t="s">
        <v>520</v>
      </c>
      <c r="C1498" s="370"/>
      <c r="D1498" s="370"/>
      <c r="E1498" s="370"/>
      <c r="F1498" s="370"/>
      <c r="G1498" s="370"/>
      <c r="H1498" s="371"/>
      <c r="I1498" s="371"/>
      <c r="J1498" s="372" t="s">
        <v>531</v>
      </c>
      <c r="K1498" s="372"/>
      <c r="L1498" s="372"/>
      <c r="M1498" s="372"/>
      <c r="N1498" s="372"/>
      <c r="O1498" s="372"/>
      <c r="P1498" s="372"/>
      <c r="Q1498" s="372"/>
      <c r="R1498" s="372"/>
      <c r="S1498" s="372"/>
      <c r="T1498" s="372"/>
      <c r="U1498" s="372"/>
      <c r="V1498" s="372"/>
      <c r="W1498" s="372"/>
      <c r="X1498" s="373" t="str">
        <f t="shared" si="7"/>
        <v/>
      </c>
      <c r="Y1498" s="373"/>
      <c r="Z1498" s="208">
        <v>0.1</v>
      </c>
    </row>
    <row r="1499" spans="2:27" ht="6" customHeight="1" thickBot="1" x14ac:dyDescent="0.25">
      <c r="B1499" s="209"/>
      <c r="C1499" s="209"/>
      <c r="D1499" s="209"/>
      <c r="E1499" s="209"/>
      <c r="F1499" s="209"/>
      <c r="G1499" s="209"/>
      <c r="H1499" s="209"/>
      <c r="I1499" s="209"/>
      <c r="J1499" s="209"/>
      <c r="K1499" s="209"/>
      <c r="L1499" s="209"/>
      <c r="M1499" s="209"/>
      <c r="N1499" s="209"/>
      <c r="O1499" s="209"/>
      <c r="P1499" s="209"/>
      <c r="Q1499" s="209"/>
      <c r="R1499" s="209"/>
      <c r="S1499" s="209"/>
      <c r="T1499" s="209"/>
      <c r="U1499" s="209"/>
      <c r="V1499" s="209"/>
      <c r="W1499" s="209"/>
      <c r="X1499" s="209"/>
      <c r="Y1499" s="209"/>
      <c r="Z1499" s="209"/>
    </row>
    <row r="1500" spans="2:27" x14ac:dyDescent="0.2">
      <c r="B1500" s="361" t="s">
        <v>532</v>
      </c>
      <c r="C1500" s="362"/>
      <c r="D1500" s="362"/>
      <c r="E1500" s="362"/>
      <c r="F1500" s="362"/>
      <c r="G1500" s="362"/>
      <c r="H1500" s="362"/>
      <c r="I1500" s="362"/>
      <c r="J1500" s="362"/>
      <c r="K1500" s="362"/>
      <c r="L1500" s="362"/>
      <c r="M1500" s="362"/>
      <c r="N1500" s="362"/>
      <c r="O1500" s="362"/>
      <c r="P1500" s="362"/>
      <c r="Q1500" s="362"/>
      <c r="R1500" s="362"/>
      <c r="S1500" s="362"/>
      <c r="T1500" s="362"/>
      <c r="U1500" s="362"/>
      <c r="V1500" s="362"/>
      <c r="W1500" s="365">
        <f>SUM(X1487:Y1498)</f>
        <v>15</v>
      </c>
      <c r="X1500" s="365"/>
      <c r="Y1500" s="365"/>
      <c r="Z1500" s="366"/>
      <c r="AA1500" s="19"/>
    </row>
    <row r="1501" spans="2:27" ht="13.5" thickBot="1" x14ac:dyDescent="0.25">
      <c r="B1501" s="363"/>
      <c r="C1501" s="364"/>
      <c r="D1501" s="364"/>
      <c r="E1501" s="364"/>
      <c r="F1501" s="364"/>
      <c r="G1501" s="364"/>
      <c r="H1501" s="364"/>
      <c r="I1501" s="364"/>
      <c r="J1501" s="364"/>
      <c r="K1501" s="364"/>
      <c r="L1501" s="364"/>
      <c r="M1501" s="364"/>
      <c r="N1501" s="364"/>
      <c r="O1501" s="364"/>
      <c r="P1501" s="364"/>
      <c r="Q1501" s="364"/>
      <c r="R1501" s="364"/>
      <c r="S1501" s="364"/>
      <c r="T1501" s="364"/>
      <c r="U1501" s="364"/>
      <c r="V1501" s="364"/>
      <c r="W1501" s="367"/>
      <c r="X1501" s="367"/>
      <c r="Y1501" s="367"/>
      <c r="Z1501" s="368"/>
    </row>
    <row r="1502" spans="2:27" ht="13.5" thickBot="1" x14ac:dyDescent="0.25"/>
    <row r="1503" spans="2:27" ht="16.5" thickBot="1" x14ac:dyDescent="0.3">
      <c r="B1503" s="202" t="s">
        <v>547</v>
      </c>
      <c r="C1503" s="203"/>
      <c r="D1503" s="203"/>
      <c r="E1503" s="203"/>
      <c r="F1503" s="203"/>
      <c r="G1503" s="203"/>
      <c r="H1503" s="203"/>
      <c r="I1503" s="204"/>
      <c r="J1503" s="205"/>
    </row>
    <row r="1504" spans="2:27" ht="14.25" x14ac:dyDescent="0.2">
      <c r="B1504" s="200" t="s">
        <v>533</v>
      </c>
      <c r="C1504" s="201" t="s">
        <v>534</v>
      </c>
      <c r="D1504" s="201"/>
      <c r="E1504" s="201"/>
      <c r="F1504" s="201" t="s">
        <v>535</v>
      </c>
      <c r="G1504" s="201"/>
      <c r="H1504" s="201"/>
      <c r="I1504" s="307" t="s">
        <v>546</v>
      </c>
      <c r="J1504" s="424"/>
    </row>
    <row r="1505" spans="2:15" ht="15" x14ac:dyDescent="0.25">
      <c r="B1505" s="210" t="str">
        <f>IF($H$1487=1,"◄","")</f>
        <v/>
      </c>
      <c r="C1505" s="425">
        <v>1</v>
      </c>
      <c r="D1505" s="426"/>
      <c r="E1505" s="212" t="str">
        <f>IF($H$1487=1,"►","")</f>
        <v/>
      </c>
      <c r="F1505" s="426" t="s">
        <v>536</v>
      </c>
      <c r="G1505" s="426"/>
      <c r="H1505" s="426"/>
      <c r="I1505" s="426" t="str">
        <f>IF($H$1487=1,5,"")</f>
        <v/>
      </c>
      <c r="J1505" s="427"/>
    </row>
    <row r="1506" spans="2:15" ht="15" x14ac:dyDescent="0.25">
      <c r="B1506" s="210" t="str">
        <f>IF($H$1487=2,"◄","")</f>
        <v/>
      </c>
      <c r="C1506" s="425">
        <v>2</v>
      </c>
      <c r="D1506" s="426"/>
      <c r="E1506" s="212" t="str">
        <f>IF($H$1487=2,"►","")</f>
        <v/>
      </c>
      <c r="F1506" s="426" t="s">
        <v>537</v>
      </c>
      <c r="G1506" s="426"/>
      <c r="H1506" s="426"/>
      <c r="I1506" s="426" t="str">
        <f>IF($H$1487=2,10,"")</f>
        <v/>
      </c>
      <c r="J1506" s="427"/>
    </row>
    <row r="1507" spans="2:15" ht="15" x14ac:dyDescent="0.25">
      <c r="B1507" s="210" t="str">
        <f>IF(($H$1487=3)+($H$1487=4),"◄","")</f>
        <v>◄</v>
      </c>
      <c r="C1507" s="426" t="s">
        <v>538</v>
      </c>
      <c r="D1507" s="426"/>
      <c r="E1507" s="212" t="str">
        <f>IF(($H$1487=3)+($H$1487=4),"►","")</f>
        <v>►</v>
      </c>
      <c r="F1507" s="426" t="s">
        <v>539</v>
      </c>
      <c r="G1507" s="426"/>
      <c r="H1507" s="426"/>
      <c r="I1507" s="426">
        <f>IF(($H$1487=3)+($H$1487=4),15,"")</f>
        <v>15</v>
      </c>
      <c r="J1507" s="427"/>
    </row>
    <row r="1508" spans="2:15" ht="15" x14ac:dyDescent="0.25">
      <c r="B1508" s="210" t="str">
        <f>IF(($H$1487=5)+($H$1487=6),"◄","")</f>
        <v/>
      </c>
      <c r="C1508" s="426" t="s">
        <v>540</v>
      </c>
      <c r="D1508" s="426"/>
      <c r="E1508" s="212" t="str">
        <f>IF(($H$1487=5)+($H$1487=6),"►","")</f>
        <v/>
      </c>
      <c r="F1508" s="426" t="s">
        <v>541</v>
      </c>
      <c r="G1508" s="426"/>
      <c r="H1508" s="426"/>
      <c r="I1508" s="426" t="str">
        <f>IF(($H$1487=5)+($H$1487=6),20,"")</f>
        <v/>
      </c>
      <c r="J1508" s="427"/>
    </row>
    <row r="1509" spans="2:15" ht="15" x14ac:dyDescent="0.25">
      <c r="B1509" s="210" t="str">
        <f>IF(($H$1487=7)+($H$1487=8),"◄","")</f>
        <v/>
      </c>
      <c r="C1509" s="426" t="s">
        <v>542</v>
      </c>
      <c r="D1509" s="426"/>
      <c r="E1509" s="212" t="str">
        <f>IF(($H$1487=7)+($H$1487=8),"►","")</f>
        <v/>
      </c>
      <c r="F1509" s="426" t="s">
        <v>543</v>
      </c>
      <c r="G1509" s="426"/>
      <c r="H1509" s="426"/>
      <c r="I1509" s="426" t="str">
        <f>IF(($H$1487=7)+($H$1487=8),25,"")</f>
        <v/>
      </c>
      <c r="J1509" s="427"/>
    </row>
    <row r="1510" spans="2:15" ht="15.75" thickBot="1" x14ac:dyDescent="0.3">
      <c r="B1510" s="211" t="str">
        <f>IF(($H$1487=9)+($H$1487=10),"◄","")</f>
        <v/>
      </c>
      <c r="C1510" s="428" t="s">
        <v>544</v>
      </c>
      <c r="D1510" s="428"/>
      <c r="E1510" s="213" t="str">
        <f>IF(($H$1487=9)+($H$1487=10),"►","")</f>
        <v/>
      </c>
      <c r="F1510" s="428" t="s">
        <v>545</v>
      </c>
      <c r="G1510" s="428"/>
      <c r="H1510" s="428"/>
      <c r="I1510" s="428" t="str">
        <f>IF(($H$1487=9)+($H$1487=10),30,"")</f>
        <v/>
      </c>
      <c r="J1510" s="429"/>
    </row>
    <row r="1511" spans="2:15" ht="6" customHeight="1" x14ac:dyDescent="0.2"/>
    <row r="1512" spans="2:15" x14ac:dyDescent="0.2">
      <c r="B1512" s="399" t="s">
        <v>596</v>
      </c>
      <c r="C1512" s="399"/>
      <c r="D1512" s="399"/>
      <c r="E1512" s="399"/>
      <c r="F1512" s="399"/>
      <c r="G1512" s="399"/>
      <c r="H1512" s="399"/>
      <c r="I1512" s="399"/>
      <c r="J1512" s="399"/>
      <c r="K1512" s="399"/>
      <c r="L1512" s="399"/>
      <c r="M1512" s="399"/>
      <c r="N1512" s="399"/>
    </row>
    <row r="1513" spans="2:15" x14ac:dyDescent="0.2">
      <c r="B1513" s="399"/>
      <c r="C1513" s="399"/>
      <c r="D1513" s="399"/>
      <c r="E1513" s="399"/>
      <c r="F1513" s="399"/>
      <c r="G1513" s="399"/>
      <c r="H1513" s="399"/>
      <c r="I1513" s="399"/>
      <c r="J1513" s="399"/>
      <c r="K1513" s="399"/>
      <c r="L1513" s="399"/>
      <c r="M1513" s="399"/>
      <c r="N1513" s="399"/>
    </row>
    <row r="1514" spans="2:15" ht="13.5" thickBot="1" x14ac:dyDescent="0.25">
      <c r="B1514" t="s">
        <v>597</v>
      </c>
    </row>
    <row r="1515" spans="2:15" ht="13.5" thickBot="1" x14ac:dyDescent="0.25">
      <c r="B1515" s="218" t="s">
        <v>598</v>
      </c>
      <c r="C1515" s="204"/>
      <c r="D1515" s="204"/>
      <c r="E1515" s="204"/>
      <c r="F1515" s="204"/>
      <c r="G1515" s="205"/>
      <c r="J1515" s="218" t="s">
        <v>599</v>
      </c>
      <c r="K1515" s="204"/>
      <c r="L1515" s="204"/>
      <c r="M1515" s="204"/>
      <c r="N1515" s="204"/>
      <c r="O1515" s="205"/>
    </row>
    <row r="1516" spans="2:15" x14ac:dyDescent="0.2">
      <c r="B1516" s="358" t="s">
        <v>546</v>
      </c>
      <c r="C1516" s="359"/>
      <c r="D1516" s="220" t="s">
        <v>595</v>
      </c>
      <c r="E1516" s="221"/>
      <c r="F1516" s="221"/>
      <c r="G1516" s="222"/>
      <c r="J1516" s="358" t="s">
        <v>546</v>
      </c>
      <c r="K1516" s="359"/>
      <c r="L1516" s="220" t="s">
        <v>595</v>
      </c>
      <c r="M1516" s="221"/>
      <c r="N1516" s="221"/>
      <c r="O1516" s="222"/>
    </row>
    <row r="1517" spans="2:15" x14ac:dyDescent="0.2">
      <c r="B1517" s="357" t="s">
        <v>589</v>
      </c>
      <c r="C1517" s="356"/>
      <c r="D1517" s="356">
        <v>2</v>
      </c>
      <c r="E1517" s="356"/>
      <c r="F1517" s="356"/>
      <c r="G1517" s="223" t="str">
        <f>IF(($W$1500&gt;0)*($W$1500&lt;=5),"◄","")</f>
        <v/>
      </c>
      <c r="J1517" s="357" t="s">
        <v>589</v>
      </c>
      <c r="K1517" s="356"/>
      <c r="L1517" s="356">
        <v>1.6</v>
      </c>
      <c r="M1517" s="356"/>
      <c r="N1517" s="356"/>
      <c r="O1517" s="223" t="str">
        <f>IF(($W$1500&gt;0)*($W$1500&lt;=5),"◄","")</f>
        <v/>
      </c>
    </row>
    <row r="1518" spans="2:15" x14ac:dyDescent="0.2">
      <c r="B1518" s="357" t="s">
        <v>590</v>
      </c>
      <c r="C1518" s="356"/>
      <c r="D1518" s="356">
        <v>4</v>
      </c>
      <c r="E1518" s="356"/>
      <c r="F1518" s="356"/>
      <c r="G1518" s="223" t="str">
        <f>IF(($W$1500&gt;5)*($W$1500&lt;=10),"◄","")</f>
        <v/>
      </c>
      <c r="J1518" s="357" t="s">
        <v>590</v>
      </c>
      <c r="K1518" s="356"/>
      <c r="L1518" s="356">
        <v>2</v>
      </c>
      <c r="M1518" s="356"/>
      <c r="N1518" s="356"/>
      <c r="O1518" s="223" t="str">
        <f>IF(($W$1500&gt;5)*($W$1500&lt;=10),"◄","")</f>
        <v/>
      </c>
    </row>
    <row r="1519" spans="2:15" x14ac:dyDescent="0.2">
      <c r="B1519" s="357" t="s">
        <v>591</v>
      </c>
      <c r="C1519" s="356"/>
      <c r="D1519" s="356">
        <v>6</v>
      </c>
      <c r="E1519" s="356"/>
      <c r="F1519" s="356"/>
      <c r="G1519" s="223" t="str">
        <f>IF(($W$1500&gt;10)*($W$1500&lt;=15),"◄","")</f>
        <v>◄</v>
      </c>
      <c r="J1519" s="357" t="s">
        <v>591</v>
      </c>
      <c r="K1519" s="356"/>
      <c r="L1519" s="356">
        <v>3</v>
      </c>
      <c r="M1519" s="356"/>
      <c r="N1519" s="356"/>
      <c r="O1519" s="223" t="str">
        <f>IF(($W$1500&gt;10)*($W$1500&lt;=15),"◄","")</f>
        <v>◄</v>
      </c>
    </row>
    <row r="1520" spans="2:15" x14ac:dyDescent="0.2">
      <c r="B1520" s="357" t="s">
        <v>592</v>
      </c>
      <c r="C1520" s="356"/>
      <c r="D1520" s="356">
        <v>8</v>
      </c>
      <c r="E1520" s="356"/>
      <c r="F1520" s="356"/>
      <c r="G1520" s="223" t="str">
        <f>IF(($W$1500&gt;15)*($W$1500&lt;=20),"◄","")</f>
        <v/>
      </c>
      <c r="J1520" s="357" t="s">
        <v>592</v>
      </c>
      <c r="K1520" s="356"/>
      <c r="L1520" s="356">
        <v>4</v>
      </c>
      <c r="M1520" s="356"/>
      <c r="N1520" s="356"/>
      <c r="O1520" s="223" t="str">
        <f>IF(($W$1500&gt;15)*($W$1500&lt;=20),"◄","")</f>
        <v/>
      </c>
    </row>
    <row r="1521" spans="1:28" x14ac:dyDescent="0.2">
      <c r="B1521" s="357" t="s">
        <v>593</v>
      </c>
      <c r="C1521" s="356"/>
      <c r="D1521" s="356">
        <v>10</v>
      </c>
      <c r="E1521" s="356"/>
      <c r="F1521" s="356"/>
      <c r="G1521" s="223" t="str">
        <f>IF(($W$1500&gt;20)*($W$1500&lt;=25),"◄","")</f>
        <v/>
      </c>
      <c r="J1521" s="357" t="s">
        <v>593</v>
      </c>
      <c r="K1521" s="356"/>
      <c r="L1521" s="356">
        <v>5</v>
      </c>
      <c r="M1521" s="356"/>
      <c r="N1521" s="356"/>
      <c r="O1521" s="223" t="str">
        <f>IF(($W$1500&gt;20)*($W$1500&lt;=25),"◄","")</f>
        <v/>
      </c>
    </row>
    <row r="1522" spans="1:28" ht="13.5" thickBot="1" x14ac:dyDescent="0.25">
      <c r="B1522" s="376" t="s">
        <v>594</v>
      </c>
      <c r="C1522" s="377"/>
      <c r="D1522" s="377">
        <v>12</v>
      </c>
      <c r="E1522" s="377"/>
      <c r="F1522" s="377"/>
      <c r="G1522" s="224" t="str">
        <f>IF(($W$1500&gt;25)*($W$1500&lt;=30),"◄","")</f>
        <v/>
      </c>
      <c r="J1522" s="376" t="s">
        <v>594</v>
      </c>
      <c r="K1522" s="377"/>
      <c r="L1522" s="377">
        <v>6</v>
      </c>
      <c r="M1522" s="377"/>
      <c r="N1522" s="377"/>
      <c r="O1522" s="224" t="str">
        <f>IF(($W$1500&gt;25)*($W$1500&lt;=30),"◄","")</f>
        <v/>
      </c>
    </row>
    <row r="1523" spans="1:28" ht="6" customHeight="1" thickBot="1" x14ac:dyDescent="0.25">
      <c r="C1523" s="26"/>
    </row>
    <row r="1524" spans="1:28" x14ac:dyDescent="0.2">
      <c r="B1524" s="401" t="s">
        <v>623</v>
      </c>
      <c r="C1524" s="402"/>
      <c r="D1524" s="402"/>
      <c r="E1524" s="402"/>
      <c r="F1524" s="402"/>
      <c r="G1524" s="402"/>
      <c r="H1524" s="402"/>
      <c r="I1524" s="402"/>
      <c r="J1524" s="402"/>
      <c r="K1524" s="402"/>
      <c r="L1524" s="402"/>
      <c r="M1524" s="402"/>
      <c r="N1524" s="402"/>
      <c r="O1524" s="235"/>
    </row>
    <row r="1525" spans="1:28" x14ac:dyDescent="0.2">
      <c r="B1525" s="405"/>
      <c r="C1525" s="406"/>
      <c r="D1525" s="406"/>
      <c r="E1525" s="406"/>
      <c r="F1525" s="406"/>
      <c r="G1525" s="406"/>
      <c r="H1525" s="406"/>
      <c r="I1525" s="406"/>
      <c r="J1525" s="406"/>
      <c r="K1525" s="406"/>
      <c r="L1525" s="406"/>
      <c r="M1525" s="406"/>
      <c r="N1525" s="406"/>
      <c r="O1525" s="237"/>
    </row>
    <row r="1526" spans="1:28" ht="13.5" thickBot="1" x14ac:dyDescent="0.25">
      <c r="B1526" s="241" t="s">
        <v>597</v>
      </c>
      <c r="C1526" s="238"/>
      <c r="D1526" s="238"/>
      <c r="E1526" s="238"/>
      <c r="F1526" s="238"/>
      <c r="G1526" s="238"/>
      <c r="H1526" s="238"/>
      <c r="I1526" s="238"/>
      <c r="J1526" s="238"/>
      <c r="K1526" s="238"/>
      <c r="L1526" s="238"/>
      <c r="M1526" s="238"/>
      <c r="N1526" s="238"/>
      <c r="O1526" s="239"/>
    </row>
    <row r="1527" spans="1:28" x14ac:dyDescent="0.2">
      <c r="B1527" s="358" t="s">
        <v>546</v>
      </c>
      <c r="C1527" s="359"/>
      <c r="D1527" s="711" t="s">
        <v>606</v>
      </c>
      <c r="E1527" s="712"/>
      <c r="F1527" s="712"/>
      <c r="G1527" s="712"/>
      <c r="H1527" s="713"/>
      <c r="I1527" s="359" t="s">
        <v>607</v>
      </c>
      <c r="J1527" s="359"/>
      <c r="K1527" s="359"/>
      <c r="L1527" s="359" t="s">
        <v>608</v>
      </c>
      <c r="M1527" s="359"/>
      <c r="N1527" s="359"/>
      <c r="O1527" s="222"/>
      <c r="Q1527" t="s">
        <v>624</v>
      </c>
    </row>
    <row r="1528" spans="1:28" x14ac:dyDescent="0.2">
      <c r="B1528" s="715">
        <v>5</v>
      </c>
      <c r="C1528" s="356"/>
      <c r="D1528" s="356" t="s">
        <v>609</v>
      </c>
      <c r="E1528" s="356"/>
      <c r="F1528" s="356"/>
      <c r="G1528" s="356"/>
      <c r="H1528" s="356"/>
      <c r="I1528" s="356" t="s">
        <v>610</v>
      </c>
      <c r="J1528" s="356"/>
      <c r="K1528" s="356"/>
      <c r="L1528" s="356" t="s">
        <v>611</v>
      </c>
      <c r="M1528" s="356"/>
      <c r="N1528" s="356"/>
      <c r="O1528" s="223" t="str">
        <f>IF(($W$1500&gt;0)*($W$1500&lt;=5),"◄","")</f>
        <v/>
      </c>
      <c r="Q1528" s="521">
        <f>W1500*5</f>
        <v>75</v>
      </c>
      <c r="R1528" s="521"/>
      <c r="S1528" s="521"/>
      <c r="T1528" t="s">
        <v>625</v>
      </c>
    </row>
    <row r="1529" spans="1:28" x14ac:dyDescent="0.2">
      <c r="B1529" s="715">
        <v>10</v>
      </c>
      <c r="C1529" s="356"/>
      <c r="D1529" s="356" t="s">
        <v>612</v>
      </c>
      <c r="E1529" s="356"/>
      <c r="F1529" s="356"/>
      <c r="G1529" s="356"/>
      <c r="H1529" s="356"/>
      <c r="I1529" s="356" t="s">
        <v>613</v>
      </c>
      <c r="J1529" s="356"/>
      <c r="K1529" s="356"/>
      <c r="L1529" s="356" t="s">
        <v>614</v>
      </c>
      <c r="M1529" s="356"/>
      <c r="N1529" s="356"/>
      <c r="O1529" s="223" t="str">
        <f>IF(($W$1500&gt;5)*($W$1500&lt;=10),"◄","")</f>
        <v/>
      </c>
    </row>
    <row r="1530" spans="1:28" x14ac:dyDescent="0.2">
      <c r="B1530" s="715">
        <v>15</v>
      </c>
      <c r="C1530" s="356"/>
      <c r="D1530" s="356" t="s">
        <v>615</v>
      </c>
      <c r="E1530" s="356"/>
      <c r="F1530" s="356"/>
      <c r="G1530" s="356"/>
      <c r="H1530" s="356"/>
      <c r="I1530" s="356" t="s">
        <v>613</v>
      </c>
      <c r="J1530" s="356"/>
      <c r="K1530" s="356"/>
      <c r="L1530" s="356" t="s">
        <v>616</v>
      </c>
      <c r="M1530" s="356"/>
      <c r="N1530" s="356"/>
      <c r="O1530" s="223" t="str">
        <f>IF(($W$1500&gt;10)*($W$1500&lt;=15),"◄","")</f>
        <v>◄</v>
      </c>
    </row>
    <row r="1531" spans="1:28" x14ac:dyDescent="0.2">
      <c r="B1531" s="715">
        <v>25</v>
      </c>
      <c r="C1531" s="356"/>
      <c r="D1531" s="356" t="s">
        <v>617</v>
      </c>
      <c r="E1531" s="356"/>
      <c r="F1531" s="356"/>
      <c r="G1531" s="356"/>
      <c r="H1531" s="356"/>
      <c r="I1531" s="356" t="s">
        <v>618</v>
      </c>
      <c r="J1531" s="356"/>
      <c r="K1531" s="356"/>
      <c r="L1531" s="356" t="s">
        <v>619</v>
      </c>
      <c r="M1531" s="356"/>
      <c r="N1531" s="356"/>
      <c r="O1531" s="223" t="str">
        <f>IF(($W$1500&gt;15)*($W$1500&lt;=20),"◄","")</f>
        <v/>
      </c>
    </row>
    <row r="1532" spans="1:28" x14ac:dyDescent="0.2">
      <c r="B1532" s="715">
        <v>25</v>
      </c>
      <c r="C1532" s="356"/>
      <c r="D1532" s="356" t="s">
        <v>620</v>
      </c>
      <c r="E1532" s="356"/>
      <c r="F1532" s="356"/>
      <c r="G1532" s="356"/>
      <c r="H1532" s="356"/>
      <c r="I1532" s="356" t="s">
        <v>618</v>
      </c>
      <c r="J1532" s="356"/>
      <c r="K1532" s="356"/>
      <c r="L1532" s="356" t="s">
        <v>621</v>
      </c>
      <c r="M1532" s="356"/>
      <c r="N1532" s="356"/>
      <c r="O1532" s="223" t="str">
        <f>IF(($W$1500&gt;20)*($W$1500&lt;=25),"◄","")</f>
        <v/>
      </c>
    </row>
    <row r="1533" spans="1:28" ht="13.5" thickBot="1" x14ac:dyDescent="0.25">
      <c r="B1533" s="714">
        <v>30</v>
      </c>
      <c r="C1533" s="377"/>
      <c r="D1533" s="377" t="s">
        <v>622</v>
      </c>
      <c r="E1533" s="377"/>
      <c r="F1533" s="377"/>
      <c r="G1533" s="377"/>
      <c r="H1533" s="377"/>
      <c r="I1533" s="377" t="s">
        <v>618</v>
      </c>
      <c r="J1533" s="377"/>
      <c r="K1533" s="377"/>
      <c r="L1533" s="377" t="s">
        <v>610</v>
      </c>
      <c r="M1533" s="377"/>
      <c r="N1533" s="377"/>
      <c r="O1533" s="224" t="str">
        <f>IF(($W$1500&gt;25)*($W$1500&lt;=30),"◄","")</f>
        <v/>
      </c>
    </row>
    <row r="1534" spans="1:28" x14ac:dyDescent="0.2">
      <c r="B1534" s="225"/>
      <c r="C1534" s="63"/>
      <c r="D1534" s="63"/>
      <c r="E1534" s="63"/>
      <c r="F1534" s="63"/>
      <c r="G1534" s="63"/>
      <c r="H1534" s="63"/>
      <c r="I1534" s="63"/>
      <c r="J1534" s="63"/>
      <c r="K1534" s="63"/>
      <c r="L1534" s="63"/>
      <c r="M1534" s="63"/>
      <c r="N1534" s="63"/>
      <c r="O1534" s="51"/>
    </row>
    <row r="1535" spans="1:28" x14ac:dyDescent="0.2">
      <c r="A1535" s="423" t="s">
        <v>0</v>
      </c>
      <c r="B1535" s="378"/>
      <c r="C1535" s="378"/>
      <c r="D1535" s="378"/>
      <c r="E1535" s="378"/>
      <c r="F1535" s="378"/>
      <c r="G1535" s="374" t="s">
        <v>1</v>
      </c>
      <c r="H1535" s="374"/>
      <c r="I1535" s="374"/>
      <c r="J1535" s="374"/>
      <c r="K1535" s="374"/>
      <c r="L1535" s="374"/>
      <c r="M1535" s="374"/>
      <c r="N1535" s="374"/>
      <c r="O1535" s="374"/>
      <c r="P1535" s="374"/>
      <c r="Q1535" s="374"/>
      <c r="R1535" s="374"/>
      <c r="S1535" s="374"/>
      <c r="T1535" s="374"/>
      <c r="U1535" s="8"/>
      <c r="V1535" s="8"/>
      <c r="W1535" s="9"/>
      <c r="X1535" s="9"/>
      <c r="Y1535" s="378" t="s">
        <v>2</v>
      </c>
      <c r="Z1535" s="378"/>
      <c r="AA1535" s="378"/>
      <c r="AB1535" s="1"/>
    </row>
    <row r="1536" spans="1:28" x14ac:dyDescent="0.2">
      <c r="A1536" s="382"/>
      <c r="B1536" s="379"/>
      <c r="C1536" s="379"/>
      <c r="D1536" s="379"/>
      <c r="E1536" s="379"/>
      <c r="F1536" s="379"/>
      <c r="G1536" s="375"/>
      <c r="H1536" s="375"/>
      <c r="I1536" s="375"/>
      <c r="J1536" s="375"/>
      <c r="K1536" s="375"/>
      <c r="L1536" s="375"/>
      <c r="M1536" s="375"/>
      <c r="N1536" s="375"/>
      <c r="O1536" s="375"/>
      <c r="P1536" s="375"/>
      <c r="Q1536" s="375"/>
      <c r="R1536" s="375"/>
      <c r="S1536" s="375"/>
      <c r="T1536" s="375"/>
      <c r="U1536" s="6"/>
      <c r="V1536" s="6"/>
      <c r="W1536" s="10"/>
      <c r="X1536" s="14">
        <f>X1480+1</f>
        <v>28</v>
      </c>
      <c r="Y1536" s="379"/>
      <c r="Z1536" s="379"/>
      <c r="AA1536" s="379"/>
      <c r="AB1536" s="4"/>
    </row>
    <row r="1537" spans="1:28" x14ac:dyDescent="0.2">
      <c r="A1537" s="380" t="s">
        <v>3</v>
      </c>
      <c r="B1537" s="381"/>
      <c r="C1537" s="381"/>
      <c r="D1537" s="381"/>
      <c r="E1537" s="381"/>
      <c r="F1537" s="381"/>
      <c r="G1537" s="383" t="s">
        <v>5</v>
      </c>
      <c r="H1537" s="383"/>
      <c r="I1537" s="383"/>
      <c r="J1537" s="383"/>
      <c r="K1537" s="383"/>
      <c r="L1537" s="383"/>
      <c r="M1537" s="383"/>
      <c r="N1537" s="383"/>
      <c r="O1537" s="383"/>
      <c r="P1537" s="383"/>
      <c r="Q1537" s="383"/>
      <c r="R1537" s="383"/>
      <c r="S1537" s="383"/>
      <c r="T1537" s="383"/>
      <c r="U1537" s="5"/>
      <c r="V1537" s="5"/>
      <c r="W1537" s="2"/>
      <c r="X1537" s="384" t="s">
        <v>4</v>
      </c>
      <c r="Y1537" s="384"/>
      <c r="Z1537" s="384"/>
      <c r="AA1537" s="384"/>
      <c r="AB1537" s="385"/>
    </row>
    <row r="1538" spans="1:28" x14ac:dyDescent="0.2">
      <c r="A1538" s="382"/>
      <c r="B1538" s="379"/>
      <c r="C1538" s="379"/>
      <c r="D1538" s="379"/>
      <c r="E1538" s="379"/>
      <c r="F1538" s="379"/>
      <c r="G1538" s="388" t="s">
        <v>436</v>
      </c>
      <c r="H1538" s="388"/>
      <c r="I1538" s="388"/>
      <c r="J1538" s="388"/>
      <c r="K1538" s="388"/>
      <c r="L1538" s="388"/>
      <c r="M1538" s="388"/>
      <c r="N1538" s="388"/>
      <c r="O1538" s="388"/>
      <c r="P1538" s="388"/>
      <c r="Q1538" s="388"/>
      <c r="R1538" s="388"/>
      <c r="S1538" s="388"/>
      <c r="T1538" s="388"/>
      <c r="U1538" s="7"/>
      <c r="V1538" s="7"/>
      <c r="W1538" s="3"/>
      <c r="X1538" s="386"/>
      <c r="Y1538" s="386"/>
      <c r="Z1538" s="386"/>
      <c r="AA1538" s="386"/>
      <c r="AB1538" s="387"/>
    </row>
    <row r="1539" spans="1:28" x14ac:dyDescent="0.2">
      <c r="B1539" s="398" t="s">
        <v>626</v>
      </c>
      <c r="C1539" s="398"/>
      <c r="D1539" s="398"/>
      <c r="E1539" s="398"/>
      <c r="F1539" s="398"/>
      <c r="G1539" s="398"/>
      <c r="H1539" s="398"/>
      <c r="I1539" s="398"/>
      <c r="J1539" s="398"/>
      <c r="K1539" s="398"/>
      <c r="L1539" s="398"/>
      <c r="M1539" s="398"/>
      <c r="N1539" s="398"/>
      <c r="O1539" s="398"/>
      <c r="P1539" s="398"/>
      <c r="Q1539" s="398"/>
    </row>
    <row r="1540" spans="1:28" x14ac:dyDescent="0.2">
      <c r="B1540" s="399"/>
      <c r="C1540" s="399"/>
      <c r="D1540" s="399"/>
      <c r="E1540" s="399"/>
      <c r="F1540" s="399"/>
      <c r="G1540" s="399"/>
      <c r="H1540" s="399"/>
      <c r="I1540" s="399"/>
      <c r="J1540" s="399"/>
      <c r="K1540" s="399"/>
      <c r="L1540" s="399"/>
      <c r="M1540" s="399"/>
      <c r="N1540" s="399"/>
      <c r="O1540" s="399"/>
      <c r="P1540" s="399"/>
      <c r="Q1540" s="399"/>
    </row>
    <row r="1541" spans="1:28" x14ac:dyDescent="0.2">
      <c r="B1541" s="400" t="s">
        <v>508</v>
      </c>
      <c r="C1541" s="400"/>
      <c r="D1541" s="400"/>
      <c r="E1541" s="400"/>
      <c r="F1541" s="400"/>
      <c r="G1541" s="400"/>
      <c r="H1541" s="400"/>
      <c r="I1541" s="400"/>
      <c r="J1541" s="400"/>
      <c r="K1541" s="400"/>
      <c r="L1541" s="400"/>
      <c r="M1541" s="400"/>
      <c r="N1541" s="400"/>
      <c r="O1541" s="400"/>
      <c r="P1541" s="400"/>
      <c r="Q1541" s="400"/>
    </row>
    <row r="1542" spans="1:28" ht="13.5" thickBot="1" x14ac:dyDescent="0.25">
      <c r="B1542" s="400"/>
      <c r="C1542" s="400"/>
      <c r="D1542" s="400"/>
      <c r="E1542" s="400"/>
      <c r="F1542" s="400"/>
      <c r="G1542" s="400"/>
      <c r="H1542" s="400"/>
      <c r="I1542" s="400"/>
      <c r="J1542" s="400"/>
      <c r="K1542" s="400"/>
      <c r="L1542" s="400"/>
      <c r="M1542" s="400"/>
      <c r="N1542" s="400"/>
      <c r="O1542" s="400"/>
      <c r="P1542" s="400"/>
      <c r="Q1542" s="400"/>
    </row>
    <row r="1543" spans="1:28" ht="15.75" x14ac:dyDescent="0.25">
      <c r="B1543" s="394" t="s">
        <v>509</v>
      </c>
      <c r="C1543" s="395"/>
      <c r="D1543" s="395"/>
      <c r="E1543" s="395"/>
      <c r="F1543" s="395"/>
      <c r="G1543" s="395"/>
      <c r="H1543" s="396">
        <v>1</v>
      </c>
      <c r="I1543" s="396"/>
      <c r="J1543" s="397" t="s">
        <v>521</v>
      </c>
      <c r="K1543" s="397"/>
      <c r="L1543" s="397"/>
      <c r="M1543" s="397"/>
      <c r="N1543" s="397"/>
      <c r="O1543" s="397"/>
      <c r="P1543" s="397"/>
      <c r="Q1543" s="397"/>
      <c r="R1543" s="397"/>
      <c r="S1543" s="397"/>
      <c r="T1543" s="397"/>
      <c r="U1543" s="397"/>
      <c r="V1543" s="397"/>
      <c r="W1543" s="397"/>
      <c r="X1543" s="389">
        <f>IF(H1543,SUM(I1561:J1566),"")</f>
        <v>5</v>
      </c>
      <c r="Y1543" s="389"/>
      <c r="Z1543" s="206">
        <v>5</v>
      </c>
    </row>
    <row r="1544" spans="1:28" ht="15.75" x14ac:dyDescent="0.25">
      <c r="B1544" s="390" t="s">
        <v>510</v>
      </c>
      <c r="C1544" s="391"/>
      <c r="D1544" s="391"/>
      <c r="E1544" s="391"/>
      <c r="F1544" s="391"/>
      <c r="G1544" s="391"/>
      <c r="H1544" s="392"/>
      <c r="I1544" s="392"/>
      <c r="J1544" s="360" t="s">
        <v>522</v>
      </c>
      <c r="K1544" s="360"/>
      <c r="L1544" s="360"/>
      <c r="M1544" s="360"/>
      <c r="N1544" s="360"/>
      <c r="O1544" s="360"/>
      <c r="P1544" s="360"/>
      <c r="Q1544" s="360"/>
      <c r="R1544" s="360"/>
      <c r="S1544" s="360"/>
      <c r="T1544" s="360"/>
      <c r="U1544" s="360"/>
      <c r="V1544" s="360"/>
      <c r="W1544" s="360"/>
      <c r="X1544" s="393" t="str">
        <f t="shared" ref="X1544:X1554" si="8">IF(H1544,H1544*Z1544,"")</f>
        <v/>
      </c>
      <c r="Y1544" s="393"/>
      <c r="Z1544" s="207">
        <v>0.5</v>
      </c>
    </row>
    <row r="1545" spans="1:28" ht="15.75" x14ac:dyDescent="0.25">
      <c r="B1545" s="390" t="s">
        <v>511</v>
      </c>
      <c r="C1545" s="391"/>
      <c r="D1545" s="391"/>
      <c r="E1545" s="391"/>
      <c r="F1545" s="391"/>
      <c r="G1545" s="391"/>
      <c r="H1545" s="392"/>
      <c r="I1545" s="392"/>
      <c r="J1545" s="360" t="s">
        <v>523</v>
      </c>
      <c r="K1545" s="360"/>
      <c r="L1545" s="360"/>
      <c r="M1545" s="360"/>
      <c r="N1545" s="360"/>
      <c r="O1545" s="360"/>
      <c r="P1545" s="360"/>
      <c r="Q1545" s="360"/>
      <c r="R1545" s="360"/>
      <c r="S1545" s="360"/>
      <c r="T1545" s="360"/>
      <c r="U1545" s="360"/>
      <c r="V1545" s="360"/>
      <c r="W1545" s="360"/>
      <c r="X1545" s="393" t="str">
        <f t="shared" si="8"/>
        <v/>
      </c>
      <c r="Y1545" s="393"/>
      <c r="Z1545" s="207">
        <v>0.5</v>
      </c>
    </row>
    <row r="1546" spans="1:28" ht="15.75" x14ac:dyDescent="0.25">
      <c r="B1546" s="390" t="s">
        <v>512</v>
      </c>
      <c r="C1546" s="391"/>
      <c r="D1546" s="391"/>
      <c r="E1546" s="391"/>
      <c r="F1546" s="391"/>
      <c r="G1546" s="391"/>
      <c r="H1546" s="392"/>
      <c r="I1546" s="392"/>
      <c r="J1546" s="360" t="s">
        <v>524</v>
      </c>
      <c r="K1546" s="360"/>
      <c r="L1546" s="360"/>
      <c r="M1546" s="360"/>
      <c r="N1546" s="360"/>
      <c r="O1546" s="360"/>
      <c r="P1546" s="360"/>
      <c r="Q1546" s="360"/>
      <c r="R1546" s="360"/>
      <c r="S1546" s="360"/>
      <c r="T1546" s="360"/>
      <c r="U1546" s="360"/>
      <c r="V1546" s="360"/>
      <c r="W1546" s="360"/>
      <c r="X1546" s="393" t="str">
        <f t="shared" si="8"/>
        <v/>
      </c>
      <c r="Y1546" s="393"/>
      <c r="Z1546" s="207">
        <f>1/3</f>
        <v>0.33333333333333331</v>
      </c>
    </row>
    <row r="1547" spans="1:28" ht="15.75" x14ac:dyDescent="0.25">
      <c r="B1547" s="390" t="s">
        <v>513</v>
      </c>
      <c r="C1547" s="391"/>
      <c r="D1547" s="391"/>
      <c r="E1547" s="391"/>
      <c r="F1547" s="391"/>
      <c r="G1547" s="391"/>
      <c r="H1547" s="392"/>
      <c r="I1547" s="392"/>
      <c r="J1547" s="360" t="s">
        <v>525</v>
      </c>
      <c r="K1547" s="360"/>
      <c r="L1547" s="360"/>
      <c r="M1547" s="360"/>
      <c r="N1547" s="360"/>
      <c r="O1547" s="360"/>
      <c r="P1547" s="360"/>
      <c r="Q1547" s="360"/>
      <c r="R1547" s="360"/>
      <c r="S1547" s="360"/>
      <c r="T1547" s="360"/>
      <c r="U1547" s="360"/>
      <c r="V1547" s="360"/>
      <c r="W1547" s="360"/>
      <c r="X1547" s="393" t="str">
        <f t="shared" si="8"/>
        <v/>
      </c>
      <c r="Y1547" s="393"/>
      <c r="Z1547" s="207">
        <f>1/3</f>
        <v>0.33333333333333331</v>
      </c>
    </row>
    <row r="1548" spans="1:28" ht="15.75" x14ac:dyDescent="0.25">
      <c r="B1548" s="390" t="s">
        <v>514</v>
      </c>
      <c r="C1548" s="391"/>
      <c r="D1548" s="391"/>
      <c r="E1548" s="391"/>
      <c r="F1548" s="391"/>
      <c r="G1548" s="391"/>
      <c r="H1548" s="392"/>
      <c r="I1548" s="392"/>
      <c r="J1548" s="360" t="s">
        <v>526</v>
      </c>
      <c r="K1548" s="360"/>
      <c r="L1548" s="360"/>
      <c r="M1548" s="360"/>
      <c r="N1548" s="360"/>
      <c r="O1548" s="360"/>
      <c r="P1548" s="360"/>
      <c r="Q1548" s="360"/>
      <c r="R1548" s="360"/>
      <c r="S1548" s="360"/>
      <c r="T1548" s="360"/>
      <c r="U1548" s="360"/>
      <c r="V1548" s="360"/>
      <c r="W1548" s="360"/>
      <c r="X1548" s="393" t="str">
        <f t="shared" si="8"/>
        <v/>
      </c>
      <c r="Y1548" s="393"/>
      <c r="Z1548" s="207">
        <f>1/3</f>
        <v>0.33333333333333331</v>
      </c>
    </row>
    <row r="1549" spans="1:28" ht="15.75" x14ac:dyDescent="0.25">
      <c r="B1549" s="390" t="s">
        <v>515</v>
      </c>
      <c r="C1549" s="391"/>
      <c r="D1549" s="391"/>
      <c r="E1549" s="391"/>
      <c r="F1549" s="391"/>
      <c r="G1549" s="391"/>
      <c r="H1549" s="392"/>
      <c r="I1549" s="392"/>
      <c r="J1549" s="360" t="s">
        <v>527</v>
      </c>
      <c r="K1549" s="360"/>
      <c r="L1549" s="360"/>
      <c r="M1549" s="360"/>
      <c r="N1549" s="360"/>
      <c r="O1549" s="360"/>
      <c r="P1549" s="360"/>
      <c r="Q1549" s="360"/>
      <c r="R1549" s="360"/>
      <c r="S1549" s="360"/>
      <c r="T1549" s="360"/>
      <c r="U1549" s="360"/>
      <c r="V1549" s="360"/>
      <c r="W1549" s="360"/>
      <c r="X1549" s="393" t="str">
        <f t="shared" si="8"/>
        <v/>
      </c>
      <c r="Y1549" s="393"/>
      <c r="Z1549" s="207">
        <f>1/3</f>
        <v>0.33333333333333331</v>
      </c>
    </row>
    <row r="1550" spans="1:28" ht="15.75" x14ac:dyDescent="0.25">
      <c r="B1550" s="390" t="s">
        <v>516</v>
      </c>
      <c r="C1550" s="391"/>
      <c r="D1550" s="391"/>
      <c r="E1550" s="391"/>
      <c r="F1550" s="391"/>
      <c r="G1550" s="391"/>
      <c r="H1550" s="392"/>
      <c r="I1550" s="392"/>
      <c r="J1550" s="360" t="s">
        <v>528</v>
      </c>
      <c r="K1550" s="360"/>
      <c r="L1550" s="360"/>
      <c r="M1550" s="360"/>
      <c r="N1550" s="360"/>
      <c r="O1550" s="360"/>
      <c r="P1550" s="360"/>
      <c r="Q1550" s="360"/>
      <c r="R1550" s="360"/>
      <c r="S1550" s="360"/>
      <c r="T1550" s="360"/>
      <c r="U1550" s="360"/>
      <c r="V1550" s="360"/>
      <c r="W1550" s="360"/>
      <c r="X1550" s="393" t="str">
        <f t="shared" si="8"/>
        <v/>
      </c>
      <c r="Y1550" s="393"/>
      <c r="Z1550" s="207">
        <v>3.25</v>
      </c>
    </row>
    <row r="1551" spans="1:28" ht="15.75" x14ac:dyDescent="0.25">
      <c r="B1551" s="390" t="s">
        <v>517</v>
      </c>
      <c r="C1551" s="391"/>
      <c r="D1551" s="391"/>
      <c r="E1551" s="391"/>
      <c r="F1551" s="391"/>
      <c r="G1551" s="391"/>
      <c r="H1551" s="392"/>
      <c r="I1551" s="392"/>
      <c r="J1551" s="360" t="s">
        <v>529</v>
      </c>
      <c r="K1551" s="360"/>
      <c r="L1551" s="360"/>
      <c r="M1551" s="360"/>
      <c r="N1551" s="360"/>
      <c r="O1551" s="360"/>
      <c r="P1551" s="360"/>
      <c r="Q1551" s="360"/>
      <c r="R1551" s="360"/>
      <c r="S1551" s="360"/>
      <c r="T1551" s="360"/>
      <c r="U1551" s="360"/>
      <c r="V1551" s="360"/>
      <c r="W1551" s="360"/>
      <c r="X1551" s="393" t="str">
        <f t="shared" si="8"/>
        <v/>
      </c>
      <c r="Y1551" s="393"/>
      <c r="Z1551" s="207">
        <v>2.25</v>
      </c>
    </row>
    <row r="1552" spans="1:28" ht="15.75" x14ac:dyDescent="0.25">
      <c r="B1552" s="390" t="s">
        <v>518</v>
      </c>
      <c r="C1552" s="391"/>
      <c r="D1552" s="391"/>
      <c r="E1552" s="391"/>
      <c r="F1552" s="391"/>
      <c r="G1552" s="391"/>
      <c r="H1552" s="392"/>
      <c r="I1552" s="392"/>
      <c r="J1552" s="360" t="s">
        <v>548</v>
      </c>
      <c r="K1552" s="360"/>
      <c r="L1552" s="360"/>
      <c r="M1552" s="360"/>
      <c r="N1552" s="360"/>
      <c r="O1552" s="360"/>
      <c r="P1552" s="360"/>
      <c r="Q1552" s="360"/>
      <c r="R1552" s="360"/>
      <c r="S1552" s="360"/>
      <c r="T1552" s="360"/>
      <c r="U1552" s="360"/>
      <c r="V1552" s="360"/>
      <c r="W1552" s="360"/>
      <c r="X1552" s="393" t="str">
        <f t="shared" si="8"/>
        <v/>
      </c>
      <c r="Y1552" s="393"/>
      <c r="Z1552" s="207">
        <v>1.5</v>
      </c>
    </row>
    <row r="1553" spans="2:27" ht="15.75" x14ac:dyDescent="0.25">
      <c r="B1553" s="390" t="s">
        <v>519</v>
      </c>
      <c r="C1553" s="391"/>
      <c r="D1553" s="391"/>
      <c r="E1553" s="391"/>
      <c r="F1553" s="391"/>
      <c r="G1553" s="391"/>
      <c r="H1553" s="392"/>
      <c r="I1553" s="392"/>
      <c r="J1553" s="360" t="s">
        <v>530</v>
      </c>
      <c r="K1553" s="360"/>
      <c r="L1553" s="360"/>
      <c r="M1553" s="360"/>
      <c r="N1553" s="360"/>
      <c r="O1553" s="360"/>
      <c r="P1553" s="360"/>
      <c r="Q1553" s="360"/>
      <c r="R1553" s="360"/>
      <c r="S1553" s="360"/>
      <c r="T1553" s="360"/>
      <c r="U1553" s="360"/>
      <c r="V1553" s="360"/>
      <c r="W1553" s="360"/>
      <c r="X1553" s="393" t="str">
        <f t="shared" si="8"/>
        <v/>
      </c>
      <c r="Y1553" s="393"/>
      <c r="Z1553" s="207">
        <v>0.1</v>
      </c>
    </row>
    <row r="1554" spans="2:27" ht="16.5" thickBot="1" x14ac:dyDescent="0.3">
      <c r="B1554" s="369" t="s">
        <v>520</v>
      </c>
      <c r="C1554" s="370"/>
      <c r="D1554" s="370"/>
      <c r="E1554" s="370"/>
      <c r="F1554" s="370"/>
      <c r="G1554" s="370"/>
      <c r="H1554" s="371"/>
      <c r="I1554" s="371"/>
      <c r="J1554" s="372" t="s">
        <v>531</v>
      </c>
      <c r="K1554" s="372"/>
      <c r="L1554" s="372"/>
      <c r="M1554" s="372"/>
      <c r="N1554" s="372"/>
      <c r="O1554" s="372"/>
      <c r="P1554" s="372"/>
      <c r="Q1554" s="372"/>
      <c r="R1554" s="372"/>
      <c r="S1554" s="372"/>
      <c r="T1554" s="372"/>
      <c r="U1554" s="372"/>
      <c r="V1554" s="372"/>
      <c r="W1554" s="372"/>
      <c r="X1554" s="373" t="str">
        <f t="shared" si="8"/>
        <v/>
      </c>
      <c r="Y1554" s="373"/>
      <c r="Z1554" s="208">
        <v>0.1</v>
      </c>
    </row>
    <row r="1555" spans="2:27" ht="6" customHeight="1" thickBot="1" x14ac:dyDescent="0.25">
      <c r="B1555" s="209"/>
      <c r="C1555" s="209"/>
      <c r="D1555" s="209"/>
      <c r="E1555" s="209"/>
      <c r="F1555" s="209"/>
      <c r="G1555" s="209"/>
      <c r="H1555" s="209"/>
      <c r="I1555" s="209"/>
      <c r="J1555" s="209"/>
      <c r="K1555" s="209"/>
      <c r="L1555" s="209"/>
      <c r="M1555" s="209"/>
      <c r="N1555" s="209"/>
      <c r="O1555" s="209"/>
      <c r="P1555" s="209"/>
      <c r="Q1555" s="209"/>
      <c r="R1555" s="209"/>
      <c r="S1555" s="209"/>
      <c r="T1555" s="209"/>
      <c r="U1555" s="209"/>
      <c r="V1555" s="209"/>
      <c r="W1555" s="209"/>
      <c r="X1555" s="209"/>
      <c r="Y1555" s="209"/>
      <c r="Z1555" s="209"/>
    </row>
    <row r="1556" spans="2:27" x14ac:dyDescent="0.2">
      <c r="B1556" s="361" t="s">
        <v>532</v>
      </c>
      <c r="C1556" s="362"/>
      <c r="D1556" s="362"/>
      <c r="E1556" s="362"/>
      <c r="F1556" s="362"/>
      <c r="G1556" s="362"/>
      <c r="H1556" s="362"/>
      <c r="I1556" s="362"/>
      <c r="J1556" s="362"/>
      <c r="K1556" s="362"/>
      <c r="L1556" s="362"/>
      <c r="M1556" s="362"/>
      <c r="N1556" s="362"/>
      <c r="O1556" s="362"/>
      <c r="P1556" s="362"/>
      <c r="Q1556" s="362"/>
      <c r="R1556" s="362"/>
      <c r="S1556" s="362"/>
      <c r="T1556" s="362"/>
      <c r="U1556" s="362"/>
      <c r="V1556" s="362"/>
      <c r="W1556" s="365">
        <f>SUM(X1543:Y1554)</f>
        <v>5</v>
      </c>
      <c r="X1556" s="365"/>
      <c r="Y1556" s="365"/>
      <c r="Z1556" s="366"/>
      <c r="AA1556" s="19"/>
    </row>
    <row r="1557" spans="2:27" ht="13.5" thickBot="1" x14ac:dyDescent="0.25">
      <c r="B1557" s="363"/>
      <c r="C1557" s="364"/>
      <c r="D1557" s="364"/>
      <c r="E1557" s="364"/>
      <c r="F1557" s="364"/>
      <c r="G1557" s="364"/>
      <c r="H1557" s="364"/>
      <c r="I1557" s="364"/>
      <c r="J1557" s="364"/>
      <c r="K1557" s="364"/>
      <c r="L1557" s="364"/>
      <c r="M1557" s="364"/>
      <c r="N1557" s="364"/>
      <c r="O1557" s="364"/>
      <c r="P1557" s="364"/>
      <c r="Q1557" s="364"/>
      <c r="R1557" s="364"/>
      <c r="S1557" s="364"/>
      <c r="T1557" s="364"/>
      <c r="U1557" s="364"/>
      <c r="V1557" s="364"/>
      <c r="W1557" s="367"/>
      <c r="X1557" s="367"/>
      <c r="Y1557" s="367"/>
      <c r="Z1557" s="368"/>
    </row>
    <row r="1558" spans="2:27" ht="6" customHeight="1" thickBot="1" x14ac:dyDescent="0.25"/>
    <row r="1559" spans="2:27" ht="16.5" thickBot="1" x14ac:dyDescent="0.3">
      <c r="B1559" s="202" t="s">
        <v>547</v>
      </c>
      <c r="C1559" s="203"/>
      <c r="D1559" s="203"/>
      <c r="E1559" s="203"/>
      <c r="F1559" s="203"/>
      <c r="G1559" s="203"/>
      <c r="H1559" s="203"/>
      <c r="I1559" s="204"/>
      <c r="J1559" s="205"/>
    </row>
    <row r="1560" spans="2:27" ht="14.25" x14ac:dyDescent="0.2">
      <c r="B1560" s="200" t="s">
        <v>533</v>
      </c>
      <c r="C1560" s="201" t="s">
        <v>534</v>
      </c>
      <c r="D1560" s="201"/>
      <c r="E1560" s="201"/>
      <c r="F1560" s="201" t="s">
        <v>535</v>
      </c>
      <c r="G1560" s="201"/>
      <c r="H1560" s="201"/>
      <c r="I1560" s="307" t="s">
        <v>546</v>
      </c>
      <c r="J1560" s="424"/>
    </row>
    <row r="1561" spans="2:27" ht="15" x14ac:dyDescent="0.25">
      <c r="B1561" s="210" t="str">
        <f>IF($H$1543=1,"◄","")</f>
        <v>◄</v>
      </c>
      <c r="C1561" s="425">
        <v>1</v>
      </c>
      <c r="D1561" s="426"/>
      <c r="E1561" s="212" t="str">
        <f>IF($H$1543=1,"►","")</f>
        <v>►</v>
      </c>
      <c r="F1561" s="426" t="s">
        <v>536</v>
      </c>
      <c r="G1561" s="426"/>
      <c r="H1561" s="426"/>
      <c r="I1561" s="426">
        <f>IF($H$1543=1,5,"")</f>
        <v>5</v>
      </c>
      <c r="J1561" s="427"/>
      <c r="V1561" s="209"/>
    </row>
    <row r="1562" spans="2:27" ht="15" x14ac:dyDescent="0.25">
      <c r="B1562" s="210" t="str">
        <f>IF($H$1543=2,"◄","")</f>
        <v/>
      </c>
      <c r="C1562" s="425">
        <v>2</v>
      </c>
      <c r="D1562" s="426"/>
      <c r="E1562" s="212" t="str">
        <f>IF($H$1543=2,"►","")</f>
        <v/>
      </c>
      <c r="F1562" s="426" t="s">
        <v>537</v>
      </c>
      <c r="G1562" s="426"/>
      <c r="H1562" s="426"/>
      <c r="I1562" s="426" t="str">
        <f>IF($H$1543=2,10,"")</f>
        <v/>
      </c>
      <c r="J1562" s="427"/>
    </row>
    <row r="1563" spans="2:27" ht="15" x14ac:dyDescent="0.25">
      <c r="B1563" s="210" t="str">
        <f>IF(($H$1543=3)+($H$1543=4),"◄","")</f>
        <v/>
      </c>
      <c r="C1563" s="426" t="s">
        <v>538</v>
      </c>
      <c r="D1563" s="426"/>
      <c r="E1563" s="212" t="str">
        <f>IF(($H$1543=3)+($H$1543=4),"►","")</f>
        <v/>
      </c>
      <c r="F1563" s="426" t="s">
        <v>539</v>
      </c>
      <c r="G1563" s="426"/>
      <c r="H1563" s="426"/>
      <c r="I1563" s="426" t="str">
        <f>IF(($H$1543=3)+($H$1543=4),15,"")</f>
        <v/>
      </c>
      <c r="J1563" s="427"/>
    </row>
    <row r="1564" spans="2:27" ht="15" x14ac:dyDescent="0.25">
      <c r="B1564" s="210" t="str">
        <f>IF(($H$1543=5)+($H$1543=6),"◄","")</f>
        <v/>
      </c>
      <c r="C1564" s="426" t="s">
        <v>540</v>
      </c>
      <c r="D1564" s="426"/>
      <c r="E1564" s="212" t="str">
        <f>IF(($H$1543=5)+($H$1543=6),"►","")</f>
        <v/>
      </c>
      <c r="F1564" s="426" t="s">
        <v>541</v>
      </c>
      <c r="G1564" s="426"/>
      <c r="H1564" s="426"/>
      <c r="I1564" s="426" t="str">
        <f>IF(($H$1543=5)+($H$1543=6),20,"")</f>
        <v/>
      </c>
      <c r="J1564" s="427"/>
    </row>
    <row r="1565" spans="2:27" ht="15" x14ac:dyDescent="0.25">
      <c r="B1565" s="210" t="str">
        <f>IF(($H$1543=7)+($H$1543=8),"◄","")</f>
        <v/>
      </c>
      <c r="C1565" s="426" t="s">
        <v>542</v>
      </c>
      <c r="D1565" s="426"/>
      <c r="E1565" s="212" t="str">
        <f>IF(($H$1543=7)+($H$1543=8),"►","")</f>
        <v/>
      </c>
      <c r="F1565" s="426" t="s">
        <v>543</v>
      </c>
      <c r="G1565" s="426"/>
      <c r="H1565" s="426"/>
      <c r="I1565" s="426" t="str">
        <f>IF(($H$1543=7)+($H$1543=8),25,"")</f>
        <v/>
      </c>
      <c r="J1565" s="427"/>
    </row>
    <row r="1566" spans="2:27" ht="15.75" thickBot="1" x14ac:dyDescent="0.3">
      <c r="B1566" s="211" t="str">
        <f>IF(($H$1543=9)+($H$1543=10),"◄","")</f>
        <v/>
      </c>
      <c r="C1566" s="428" t="s">
        <v>544</v>
      </c>
      <c r="D1566" s="428"/>
      <c r="E1566" s="213" t="str">
        <f>IF(($H$1543=9)+($H$1543=10),"►","")</f>
        <v/>
      </c>
      <c r="F1566" s="428" t="s">
        <v>545</v>
      </c>
      <c r="G1566" s="428"/>
      <c r="H1566" s="428"/>
      <c r="I1566" s="428" t="str">
        <f>IF(($H$1543=9)+($H$1543=10),30,"")</f>
        <v/>
      </c>
      <c r="J1566" s="429"/>
    </row>
    <row r="1567" spans="2:27" ht="6" customHeight="1" x14ac:dyDescent="0.2"/>
    <row r="1568" spans="2:27" x14ac:dyDescent="0.2">
      <c r="B1568" s="399" t="s">
        <v>596</v>
      </c>
      <c r="C1568" s="399"/>
      <c r="D1568" s="399"/>
      <c r="E1568" s="399"/>
      <c r="F1568" s="399"/>
      <c r="G1568" s="399"/>
      <c r="H1568" s="399"/>
      <c r="I1568" s="399"/>
      <c r="J1568" s="399"/>
      <c r="K1568" s="399"/>
      <c r="L1568" s="399"/>
      <c r="M1568" s="399"/>
      <c r="N1568" s="399"/>
    </row>
    <row r="1569" spans="2:19" x14ac:dyDescent="0.2">
      <c r="B1569" s="399"/>
      <c r="C1569" s="399"/>
      <c r="D1569" s="399"/>
      <c r="E1569" s="399"/>
      <c r="F1569" s="399"/>
      <c r="G1569" s="399"/>
      <c r="H1569" s="399"/>
      <c r="I1569" s="399"/>
      <c r="J1569" s="399"/>
      <c r="K1569" s="399"/>
      <c r="L1569" s="399"/>
      <c r="M1569" s="399"/>
      <c r="N1569" s="399"/>
    </row>
    <row r="1570" spans="2:19" ht="13.5" thickBot="1" x14ac:dyDescent="0.25">
      <c r="B1570" t="s">
        <v>597</v>
      </c>
    </row>
    <row r="1571" spans="2:19" ht="13.5" thickBot="1" x14ac:dyDescent="0.25">
      <c r="B1571" s="218" t="s">
        <v>598</v>
      </c>
      <c r="C1571" s="204"/>
      <c r="D1571" s="204"/>
      <c r="E1571" s="204"/>
      <c r="F1571" s="204"/>
      <c r="G1571" s="205"/>
      <c r="J1571" s="218" t="s">
        <v>599</v>
      </c>
      <c r="K1571" s="204"/>
      <c r="L1571" s="204"/>
      <c r="M1571" s="204"/>
      <c r="N1571" s="204"/>
      <c r="O1571" s="205"/>
    </row>
    <row r="1572" spans="2:19" x14ac:dyDescent="0.2">
      <c r="B1572" s="358" t="s">
        <v>546</v>
      </c>
      <c r="C1572" s="359"/>
      <c r="D1572" s="220" t="s">
        <v>595</v>
      </c>
      <c r="E1572" s="221"/>
      <c r="F1572" s="221"/>
      <c r="G1572" s="222"/>
      <c r="J1572" s="358" t="s">
        <v>546</v>
      </c>
      <c r="K1572" s="359"/>
      <c r="L1572" s="220" t="s">
        <v>595</v>
      </c>
      <c r="M1572" s="221"/>
      <c r="N1572" s="221"/>
      <c r="O1572" s="222"/>
    </row>
    <row r="1573" spans="2:19" x14ac:dyDescent="0.2">
      <c r="B1573" s="357" t="s">
        <v>589</v>
      </c>
      <c r="C1573" s="356"/>
      <c r="D1573" s="356">
        <v>2</v>
      </c>
      <c r="E1573" s="356"/>
      <c r="F1573" s="356"/>
      <c r="G1573" s="223" t="str">
        <f>IF(($W$1556&gt;0)*($W$1556&lt;=5),"◄","")</f>
        <v>◄</v>
      </c>
      <c r="J1573" s="357" t="s">
        <v>589</v>
      </c>
      <c r="K1573" s="356"/>
      <c r="L1573" s="356">
        <v>1.6</v>
      </c>
      <c r="M1573" s="356"/>
      <c r="N1573" s="356"/>
      <c r="O1573" s="223" t="str">
        <f>IF(($W$1556&gt;0)*($W$1556&lt;=5),"◄","")</f>
        <v>◄</v>
      </c>
    </row>
    <row r="1574" spans="2:19" x14ac:dyDescent="0.2">
      <c r="B1574" s="357" t="s">
        <v>590</v>
      </c>
      <c r="C1574" s="356"/>
      <c r="D1574" s="356">
        <v>4</v>
      </c>
      <c r="E1574" s="356"/>
      <c r="F1574" s="356"/>
      <c r="G1574" s="223" t="str">
        <f>IF(($W$1556&gt;5)*($W$1556&lt;=10),"◄","")</f>
        <v/>
      </c>
      <c r="J1574" s="357" t="s">
        <v>590</v>
      </c>
      <c r="K1574" s="356"/>
      <c r="L1574" s="356">
        <v>2</v>
      </c>
      <c r="M1574" s="356"/>
      <c r="N1574" s="356"/>
      <c r="O1574" s="223" t="str">
        <f>IF(($W$1556&gt;5)*($W$1556&lt;=10),"◄","")</f>
        <v/>
      </c>
    </row>
    <row r="1575" spans="2:19" x14ac:dyDescent="0.2">
      <c r="B1575" s="357" t="s">
        <v>591</v>
      </c>
      <c r="C1575" s="356"/>
      <c r="D1575" s="356">
        <v>6</v>
      </c>
      <c r="E1575" s="356"/>
      <c r="F1575" s="356"/>
      <c r="G1575" s="223" t="str">
        <f>IF(($W$1556&gt;10)*($W$1556&lt;=15),"◄","")</f>
        <v/>
      </c>
      <c r="J1575" s="357" t="s">
        <v>591</v>
      </c>
      <c r="K1575" s="356"/>
      <c r="L1575" s="356">
        <v>3</v>
      </c>
      <c r="M1575" s="356"/>
      <c r="N1575" s="356"/>
      <c r="O1575" s="223" t="str">
        <f>IF(($W$1556&gt;10)*($W$1556&lt;=15),"◄","")</f>
        <v/>
      </c>
    </row>
    <row r="1576" spans="2:19" x14ac:dyDescent="0.2">
      <c r="B1576" s="357" t="s">
        <v>592</v>
      </c>
      <c r="C1576" s="356"/>
      <c r="D1576" s="356">
        <v>8</v>
      </c>
      <c r="E1576" s="356"/>
      <c r="F1576" s="356"/>
      <c r="G1576" s="223" t="str">
        <f>IF(($W$1556&gt;15)*($W$1556&lt;=20),"◄","")</f>
        <v/>
      </c>
      <c r="J1576" s="357" t="s">
        <v>592</v>
      </c>
      <c r="K1576" s="356"/>
      <c r="L1576" s="356">
        <v>4</v>
      </c>
      <c r="M1576" s="356"/>
      <c r="N1576" s="356"/>
      <c r="O1576" s="223" t="str">
        <f>IF(($W$1556&gt;15)*($W$1556&lt;=20),"◄","")</f>
        <v/>
      </c>
    </row>
    <row r="1577" spans="2:19" x14ac:dyDescent="0.2">
      <c r="B1577" s="357" t="s">
        <v>593</v>
      </c>
      <c r="C1577" s="356"/>
      <c r="D1577" s="356">
        <v>10</v>
      </c>
      <c r="E1577" s="356"/>
      <c r="F1577" s="356"/>
      <c r="G1577" s="223" t="str">
        <f>IF(($W$1556&gt;20)*($W$1556&lt;=25),"◄","")</f>
        <v/>
      </c>
      <c r="J1577" s="357" t="s">
        <v>593</v>
      </c>
      <c r="K1577" s="356"/>
      <c r="L1577" s="356">
        <v>5</v>
      </c>
      <c r="M1577" s="356"/>
      <c r="N1577" s="356"/>
      <c r="O1577" s="223" t="str">
        <f>IF(($W$1556&gt;20)*($W$1556&lt;=25),"◄","")</f>
        <v/>
      </c>
    </row>
    <row r="1578" spans="2:19" ht="13.5" thickBot="1" x14ac:dyDescent="0.25">
      <c r="B1578" s="376" t="s">
        <v>594</v>
      </c>
      <c r="C1578" s="377"/>
      <c r="D1578" s="377">
        <v>12</v>
      </c>
      <c r="E1578" s="377"/>
      <c r="F1578" s="377"/>
      <c r="G1578" s="224" t="str">
        <f>IF(($W$1556&gt;25)*($W$1556&lt;=30),"◄","")</f>
        <v/>
      </c>
      <c r="J1578" s="376" t="s">
        <v>594</v>
      </c>
      <c r="K1578" s="377"/>
      <c r="L1578" s="377">
        <v>6</v>
      </c>
      <c r="M1578" s="377"/>
      <c r="N1578" s="377"/>
      <c r="O1578" s="224" t="str">
        <f>IF(($W$1556&gt;25)*($W$1556&lt;=30),"◄","")</f>
        <v/>
      </c>
    </row>
    <row r="1579" spans="2:19" ht="6" customHeight="1" thickBot="1" x14ac:dyDescent="0.25">
      <c r="B1579" s="240"/>
      <c r="C1579" s="63"/>
      <c r="D1579" s="63"/>
      <c r="E1579" s="63"/>
      <c r="F1579" s="63"/>
      <c r="G1579" s="51"/>
      <c r="J1579" s="240"/>
      <c r="K1579" s="63"/>
      <c r="L1579" s="63"/>
      <c r="M1579" s="63"/>
      <c r="N1579" s="63"/>
      <c r="O1579" s="51"/>
    </row>
    <row r="1580" spans="2:19" x14ac:dyDescent="0.2">
      <c r="B1580" s="401" t="s">
        <v>626</v>
      </c>
      <c r="C1580" s="402"/>
      <c r="D1580" s="402"/>
      <c r="E1580" s="402"/>
      <c r="F1580" s="402"/>
      <c r="G1580" s="402"/>
      <c r="H1580" s="402"/>
      <c r="I1580" s="402"/>
      <c r="J1580" s="402"/>
      <c r="K1580" s="402"/>
      <c r="L1580" s="402"/>
      <c r="M1580" s="402"/>
      <c r="N1580" s="402"/>
      <c r="O1580" s="234"/>
      <c r="P1580" s="234"/>
      <c r="Q1580" s="234"/>
      <c r="R1580" s="234"/>
      <c r="S1580" s="235"/>
    </row>
    <row r="1581" spans="2:19" x14ac:dyDescent="0.2">
      <c r="B1581" s="405"/>
      <c r="C1581" s="406"/>
      <c r="D1581" s="406"/>
      <c r="E1581" s="406"/>
      <c r="F1581" s="406"/>
      <c r="G1581" s="406"/>
      <c r="H1581" s="406"/>
      <c r="I1581" s="406"/>
      <c r="J1581" s="406"/>
      <c r="K1581" s="406"/>
      <c r="L1581" s="406"/>
      <c r="M1581" s="406"/>
      <c r="N1581" s="406"/>
      <c r="O1581" s="236"/>
      <c r="P1581" s="236"/>
      <c r="Q1581" s="236"/>
      <c r="R1581" s="236"/>
      <c r="S1581" s="237"/>
    </row>
    <row r="1582" spans="2:19" ht="13.5" thickBot="1" x14ac:dyDescent="0.25">
      <c r="B1582" s="241" t="s">
        <v>597</v>
      </c>
      <c r="C1582" s="238"/>
      <c r="D1582" s="238"/>
      <c r="E1582" s="238"/>
      <c r="F1582" s="238"/>
      <c r="G1582" s="238"/>
      <c r="H1582" s="238"/>
      <c r="I1582" s="238"/>
      <c r="J1582" s="238"/>
      <c r="K1582" s="238"/>
      <c r="L1582" s="238"/>
      <c r="M1582" s="238"/>
      <c r="N1582" s="238"/>
      <c r="O1582" s="238"/>
      <c r="P1582" s="238"/>
      <c r="Q1582" s="238"/>
      <c r="R1582" s="238"/>
      <c r="S1582" s="239"/>
    </row>
    <row r="1583" spans="2:19" x14ac:dyDescent="0.2">
      <c r="B1583" s="430" t="s">
        <v>546</v>
      </c>
      <c r="C1583" s="431"/>
      <c r="D1583" s="431" t="s">
        <v>627</v>
      </c>
      <c r="E1583" s="431"/>
      <c r="F1583" s="431"/>
      <c r="G1583" s="431"/>
      <c r="H1583" s="431"/>
      <c r="I1583" s="431" t="s">
        <v>630</v>
      </c>
      <c r="J1583" s="431"/>
      <c r="K1583" s="431"/>
      <c r="L1583" s="431" t="s">
        <v>631</v>
      </c>
      <c r="M1583" s="431"/>
      <c r="N1583" s="431"/>
      <c r="O1583" s="431" t="s">
        <v>633</v>
      </c>
      <c r="P1583" s="431"/>
      <c r="Q1583" s="431"/>
      <c r="R1583" s="431"/>
      <c r="S1583" s="227"/>
    </row>
    <row r="1584" spans="2:19" x14ac:dyDescent="0.2">
      <c r="B1584" s="716"/>
      <c r="C1584" s="717"/>
      <c r="D1584" s="717"/>
      <c r="E1584" s="717"/>
      <c r="F1584" s="717"/>
      <c r="G1584" s="717"/>
      <c r="H1584" s="717"/>
      <c r="I1584" s="717" t="s">
        <v>640</v>
      </c>
      <c r="J1584" s="717"/>
      <c r="K1584" s="717"/>
      <c r="L1584" s="717" t="s">
        <v>632</v>
      </c>
      <c r="M1584" s="717"/>
      <c r="N1584" s="717"/>
      <c r="O1584" s="717" t="s">
        <v>634</v>
      </c>
      <c r="P1584" s="717"/>
      <c r="Q1584" s="717"/>
      <c r="R1584" s="717"/>
      <c r="S1584" s="228"/>
    </row>
    <row r="1585" spans="1:28" x14ac:dyDescent="0.2">
      <c r="B1585" s="718">
        <v>5</v>
      </c>
      <c r="C1585" s="410"/>
      <c r="D1585" s="410" t="s">
        <v>628</v>
      </c>
      <c r="E1585" s="410"/>
      <c r="F1585" s="410"/>
      <c r="G1585" s="410"/>
      <c r="H1585" s="410"/>
      <c r="I1585" s="410" t="s">
        <v>635</v>
      </c>
      <c r="J1585" s="410"/>
      <c r="K1585" s="410"/>
      <c r="L1585" s="410">
        <v>2</v>
      </c>
      <c r="M1585" s="410"/>
      <c r="N1585" s="410"/>
      <c r="O1585" s="410">
        <v>1</v>
      </c>
      <c r="P1585" s="410"/>
      <c r="Q1585" s="410"/>
      <c r="R1585" s="410"/>
      <c r="S1585" s="226" t="str">
        <f>IF(($W$1556&gt;0)*($W$1556&lt;=5),"◄","")</f>
        <v>◄</v>
      </c>
    </row>
    <row r="1586" spans="1:28" x14ac:dyDescent="0.2">
      <c r="B1586" s="715">
        <v>10</v>
      </c>
      <c r="C1586" s="356"/>
      <c r="D1586" s="356" t="s">
        <v>628</v>
      </c>
      <c r="E1586" s="356"/>
      <c r="F1586" s="356"/>
      <c r="G1586" s="356"/>
      <c r="H1586" s="356"/>
      <c r="I1586" s="356" t="s">
        <v>636</v>
      </c>
      <c r="J1586" s="356"/>
      <c r="K1586" s="356"/>
      <c r="L1586" s="356">
        <v>4</v>
      </c>
      <c r="M1586" s="356"/>
      <c r="N1586" s="356"/>
      <c r="O1586" s="356">
        <v>1</v>
      </c>
      <c r="P1586" s="356"/>
      <c r="Q1586" s="356"/>
      <c r="R1586" s="356"/>
      <c r="S1586" s="223" t="str">
        <f>IF(($W$1556&gt;5)*($W$1556&lt;=10),"◄","")</f>
        <v/>
      </c>
    </row>
    <row r="1587" spans="1:28" x14ac:dyDescent="0.2">
      <c r="B1587" s="715">
        <v>15</v>
      </c>
      <c r="C1587" s="356"/>
      <c r="D1587" s="356" t="s">
        <v>629</v>
      </c>
      <c r="E1587" s="356"/>
      <c r="F1587" s="356"/>
      <c r="G1587" s="356"/>
      <c r="H1587" s="356"/>
      <c r="I1587" s="356" t="s">
        <v>637</v>
      </c>
      <c r="J1587" s="356"/>
      <c r="K1587" s="356"/>
      <c r="L1587" s="356">
        <v>5</v>
      </c>
      <c r="M1587" s="356"/>
      <c r="N1587" s="356"/>
      <c r="O1587" s="356">
        <v>1</v>
      </c>
      <c r="P1587" s="356"/>
      <c r="Q1587" s="356"/>
      <c r="R1587" s="356"/>
      <c r="S1587" s="223" t="str">
        <f>IF(($W$1556&gt;10)*($W$1556&lt;=15),"◄","")</f>
        <v/>
      </c>
    </row>
    <row r="1588" spans="1:28" x14ac:dyDescent="0.2">
      <c r="B1588" s="715">
        <v>20</v>
      </c>
      <c r="C1588" s="356"/>
      <c r="D1588" s="356" t="s">
        <v>628</v>
      </c>
      <c r="E1588" s="356"/>
      <c r="F1588" s="356"/>
      <c r="G1588" s="356"/>
      <c r="H1588" s="356"/>
      <c r="I1588" s="356" t="s">
        <v>638</v>
      </c>
      <c r="J1588" s="356"/>
      <c r="K1588" s="356"/>
      <c r="L1588" s="356">
        <v>8</v>
      </c>
      <c r="M1588" s="356"/>
      <c r="N1588" s="356"/>
      <c r="O1588" s="356">
        <v>2</v>
      </c>
      <c r="P1588" s="356"/>
      <c r="Q1588" s="356"/>
      <c r="R1588" s="356"/>
      <c r="S1588" s="223" t="str">
        <f>IF(($W$1556&gt;15)*($W$1556&lt;=20),"◄","")</f>
        <v/>
      </c>
    </row>
    <row r="1589" spans="1:28" x14ac:dyDescent="0.2">
      <c r="B1589" s="715">
        <v>25</v>
      </c>
      <c r="C1589" s="356"/>
      <c r="D1589" s="356" t="s">
        <v>628</v>
      </c>
      <c r="E1589" s="356"/>
      <c r="F1589" s="356"/>
      <c r="G1589" s="356"/>
      <c r="H1589" s="356"/>
      <c r="I1589" s="356" t="s">
        <v>639</v>
      </c>
      <c r="J1589" s="356"/>
      <c r="K1589" s="356"/>
      <c r="L1589" s="356">
        <v>10</v>
      </c>
      <c r="M1589" s="356"/>
      <c r="N1589" s="356"/>
      <c r="O1589" s="356">
        <v>2</v>
      </c>
      <c r="P1589" s="356"/>
      <c r="Q1589" s="356"/>
      <c r="R1589" s="356"/>
      <c r="S1589" s="223" t="str">
        <f>IF(($W$1556&gt;20)*($W$1556&lt;=25),"◄","")</f>
        <v/>
      </c>
    </row>
    <row r="1590" spans="1:28" ht="13.5" thickBot="1" x14ac:dyDescent="0.25">
      <c r="B1590" s="714">
        <v>30</v>
      </c>
      <c r="C1590" s="377"/>
      <c r="D1590" s="377" t="s">
        <v>629</v>
      </c>
      <c r="E1590" s="377"/>
      <c r="F1590" s="377"/>
      <c r="G1590" s="377"/>
      <c r="H1590" s="377"/>
      <c r="I1590" s="377" t="s">
        <v>639</v>
      </c>
      <c r="J1590" s="377"/>
      <c r="K1590" s="377"/>
      <c r="L1590" s="377">
        <v>10</v>
      </c>
      <c r="M1590" s="377"/>
      <c r="N1590" s="377"/>
      <c r="O1590" s="377">
        <v>2</v>
      </c>
      <c r="P1590" s="377"/>
      <c r="Q1590" s="377"/>
      <c r="R1590" s="377"/>
      <c r="S1590" s="224" t="str">
        <f>IF(($W$1556&gt;25)*($W$1556&lt;=30),"◄","")</f>
        <v/>
      </c>
    </row>
    <row r="1591" spans="1:28" x14ac:dyDescent="0.2">
      <c r="A1591" s="423" t="s">
        <v>0</v>
      </c>
      <c r="B1591" s="378"/>
      <c r="C1591" s="378"/>
      <c r="D1591" s="378"/>
      <c r="E1591" s="378"/>
      <c r="F1591" s="378"/>
      <c r="G1591" s="374" t="s">
        <v>1</v>
      </c>
      <c r="H1591" s="374"/>
      <c r="I1591" s="374"/>
      <c r="J1591" s="374"/>
      <c r="K1591" s="374"/>
      <c r="L1591" s="374"/>
      <c r="M1591" s="374"/>
      <c r="N1591" s="374"/>
      <c r="O1591" s="374"/>
      <c r="P1591" s="374"/>
      <c r="Q1591" s="374"/>
      <c r="R1591" s="374"/>
      <c r="S1591" s="374"/>
      <c r="T1591" s="374"/>
      <c r="U1591" s="8"/>
      <c r="V1591" s="8"/>
      <c r="W1591" s="9"/>
      <c r="X1591" s="9"/>
      <c r="Y1591" s="378" t="s">
        <v>2</v>
      </c>
      <c r="Z1591" s="378"/>
      <c r="AA1591" s="378"/>
      <c r="AB1591" s="1"/>
    </row>
    <row r="1592" spans="1:28" x14ac:dyDescent="0.2">
      <c r="A1592" s="382"/>
      <c r="B1592" s="379"/>
      <c r="C1592" s="379"/>
      <c r="D1592" s="379"/>
      <c r="E1592" s="379"/>
      <c r="F1592" s="379"/>
      <c r="G1592" s="375"/>
      <c r="H1592" s="375"/>
      <c r="I1592" s="375"/>
      <c r="J1592" s="375"/>
      <c r="K1592" s="375"/>
      <c r="L1592" s="375"/>
      <c r="M1592" s="375"/>
      <c r="N1592" s="375"/>
      <c r="O1592" s="375"/>
      <c r="P1592" s="375"/>
      <c r="Q1592" s="375"/>
      <c r="R1592" s="375"/>
      <c r="S1592" s="375"/>
      <c r="T1592" s="375"/>
      <c r="U1592" s="6"/>
      <c r="V1592" s="6"/>
      <c r="W1592" s="10"/>
      <c r="X1592" s="14">
        <f>X1536+1</f>
        <v>29</v>
      </c>
      <c r="Y1592" s="379"/>
      <c r="Z1592" s="379"/>
      <c r="AA1592" s="379"/>
      <c r="AB1592" s="4"/>
    </row>
    <row r="1593" spans="1:28" x14ac:dyDescent="0.2">
      <c r="A1593" s="380" t="s">
        <v>3</v>
      </c>
      <c r="B1593" s="381"/>
      <c r="C1593" s="381"/>
      <c r="D1593" s="381"/>
      <c r="E1593" s="381"/>
      <c r="F1593" s="381"/>
      <c r="G1593" s="383" t="s">
        <v>5</v>
      </c>
      <c r="H1593" s="383"/>
      <c r="I1593" s="383"/>
      <c r="J1593" s="383"/>
      <c r="K1593" s="383"/>
      <c r="L1593" s="383"/>
      <c r="M1593" s="383"/>
      <c r="N1593" s="383"/>
      <c r="O1593" s="383"/>
      <c r="P1593" s="383"/>
      <c r="Q1593" s="383"/>
      <c r="R1593" s="383"/>
      <c r="S1593" s="383"/>
      <c r="T1593" s="383"/>
      <c r="U1593" s="5"/>
      <c r="V1593" s="5"/>
      <c r="W1593" s="2"/>
      <c r="X1593" s="384" t="s">
        <v>4</v>
      </c>
      <c r="Y1593" s="384"/>
      <c r="Z1593" s="384"/>
      <c r="AA1593" s="384"/>
      <c r="AB1593" s="385"/>
    </row>
    <row r="1594" spans="1:28" x14ac:dyDescent="0.2">
      <c r="A1594" s="382"/>
      <c r="B1594" s="379"/>
      <c r="C1594" s="379"/>
      <c r="D1594" s="379"/>
      <c r="E1594" s="379"/>
      <c r="F1594" s="379"/>
      <c r="G1594" s="388" t="s">
        <v>436</v>
      </c>
      <c r="H1594" s="388"/>
      <c r="I1594" s="388"/>
      <c r="J1594" s="388"/>
      <c r="K1594" s="388"/>
      <c r="L1594" s="388"/>
      <c r="M1594" s="388"/>
      <c r="N1594" s="388"/>
      <c r="O1594" s="388"/>
      <c r="P1594" s="388"/>
      <c r="Q1594" s="388"/>
      <c r="R1594" s="388"/>
      <c r="S1594" s="388"/>
      <c r="T1594" s="388"/>
      <c r="U1594" s="7"/>
      <c r="V1594" s="7"/>
      <c r="W1594" s="3"/>
      <c r="X1594" s="386"/>
      <c r="Y1594" s="386"/>
      <c r="Z1594" s="386"/>
      <c r="AA1594" s="386"/>
      <c r="AB1594" s="387"/>
    </row>
    <row r="1595" spans="1:28" x14ac:dyDescent="0.2">
      <c r="B1595" s="398" t="s">
        <v>641</v>
      </c>
      <c r="C1595" s="398"/>
      <c r="D1595" s="398"/>
      <c r="E1595" s="398"/>
      <c r="F1595" s="398"/>
      <c r="G1595" s="398"/>
      <c r="H1595" s="398"/>
      <c r="I1595" s="398"/>
      <c r="J1595" s="398"/>
      <c r="K1595" s="398"/>
      <c r="L1595" s="398"/>
      <c r="M1595" s="398"/>
      <c r="N1595" s="398"/>
      <c r="O1595" s="398"/>
      <c r="P1595" s="398"/>
      <c r="Q1595" s="398"/>
    </row>
    <row r="1596" spans="1:28" x14ac:dyDescent="0.2">
      <c r="B1596" s="399"/>
      <c r="C1596" s="399"/>
      <c r="D1596" s="399"/>
      <c r="E1596" s="399"/>
      <c r="F1596" s="399"/>
      <c r="G1596" s="399"/>
      <c r="H1596" s="399"/>
      <c r="I1596" s="399"/>
      <c r="J1596" s="399"/>
      <c r="K1596" s="399"/>
      <c r="L1596" s="399"/>
      <c r="M1596" s="399"/>
      <c r="N1596" s="399"/>
      <c r="O1596" s="399"/>
      <c r="P1596" s="399"/>
      <c r="Q1596" s="399"/>
    </row>
    <row r="1597" spans="1:28" x14ac:dyDescent="0.2">
      <c r="B1597" s="400" t="s">
        <v>508</v>
      </c>
      <c r="C1597" s="400"/>
      <c r="D1597" s="400"/>
      <c r="E1597" s="400"/>
      <c r="F1597" s="400"/>
      <c r="G1597" s="400"/>
      <c r="H1597" s="400"/>
      <c r="I1597" s="400"/>
      <c r="J1597" s="400"/>
      <c r="K1597" s="400"/>
      <c r="L1597" s="400"/>
      <c r="M1597" s="400"/>
      <c r="N1597" s="400"/>
      <c r="O1597" s="400"/>
      <c r="P1597" s="400"/>
      <c r="Q1597" s="400"/>
    </row>
    <row r="1598" spans="1:28" ht="13.5" thickBot="1" x14ac:dyDescent="0.25">
      <c r="B1598" s="400"/>
      <c r="C1598" s="400"/>
      <c r="D1598" s="400"/>
      <c r="E1598" s="400"/>
      <c r="F1598" s="400"/>
      <c r="G1598" s="400"/>
      <c r="H1598" s="400"/>
      <c r="I1598" s="400"/>
      <c r="J1598" s="400"/>
      <c r="K1598" s="400"/>
      <c r="L1598" s="400"/>
      <c r="M1598" s="400"/>
      <c r="N1598" s="400"/>
      <c r="O1598" s="400"/>
      <c r="P1598" s="400"/>
      <c r="Q1598" s="400"/>
    </row>
    <row r="1599" spans="1:28" ht="15.75" x14ac:dyDescent="0.25">
      <c r="B1599" s="394" t="s">
        <v>509</v>
      </c>
      <c r="C1599" s="395"/>
      <c r="D1599" s="395"/>
      <c r="E1599" s="395"/>
      <c r="F1599" s="395"/>
      <c r="G1599" s="395"/>
      <c r="H1599" s="396">
        <v>2</v>
      </c>
      <c r="I1599" s="396"/>
      <c r="J1599" s="397" t="s">
        <v>521</v>
      </c>
      <c r="K1599" s="397"/>
      <c r="L1599" s="397"/>
      <c r="M1599" s="397"/>
      <c r="N1599" s="397"/>
      <c r="O1599" s="397"/>
      <c r="P1599" s="397"/>
      <c r="Q1599" s="397"/>
      <c r="R1599" s="397"/>
      <c r="S1599" s="397"/>
      <c r="T1599" s="397"/>
      <c r="U1599" s="397"/>
      <c r="V1599" s="397"/>
      <c r="W1599" s="397"/>
      <c r="X1599" s="389">
        <f>IF(H1599,SUM(I1617:J1622),"")</f>
        <v>10</v>
      </c>
      <c r="Y1599" s="389"/>
      <c r="Z1599" s="206">
        <v>5</v>
      </c>
    </row>
    <row r="1600" spans="1:28" ht="15.75" x14ac:dyDescent="0.25">
      <c r="B1600" s="390" t="s">
        <v>510</v>
      </c>
      <c r="C1600" s="391"/>
      <c r="D1600" s="391"/>
      <c r="E1600" s="391"/>
      <c r="F1600" s="391"/>
      <c r="G1600" s="391"/>
      <c r="H1600" s="392"/>
      <c r="I1600" s="392"/>
      <c r="J1600" s="360" t="s">
        <v>522</v>
      </c>
      <c r="K1600" s="360"/>
      <c r="L1600" s="360"/>
      <c r="M1600" s="360"/>
      <c r="N1600" s="360"/>
      <c r="O1600" s="360"/>
      <c r="P1600" s="360"/>
      <c r="Q1600" s="360"/>
      <c r="R1600" s="360"/>
      <c r="S1600" s="360"/>
      <c r="T1600" s="360"/>
      <c r="U1600" s="360"/>
      <c r="V1600" s="360"/>
      <c r="W1600" s="360"/>
      <c r="X1600" s="393" t="str">
        <f t="shared" ref="X1600:X1610" si="9">IF(H1600,H1600*Z1600,"")</f>
        <v/>
      </c>
      <c r="Y1600" s="393"/>
      <c r="Z1600" s="207">
        <v>0.5</v>
      </c>
    </row>
    <row r="1601" spans="2:27" ht="15.75" x14ac:dyDescent="0.25">
      <c r="B1601" s="390" t="s">
        <v>511</v>
      </c>
      <c r="C1601" s="391"/>
      <c r="D1601" s="391"/>
      <c r="E1601" s="391"/>
      <c r="F1601" s="391"/>
      <c r="G1601" s="391"/>
      <c r="H1601" s="392"/>
      <c r="I1601" s="392"/>
      <c r="J1601" s="360" t="s">
        <v>523</v>
      </c>
      <c r="K1601" s="360"/>
      <c r="L1601" s="360"/>
      <c r="M1601" s="360"/>
      <c r="N1601" s="360"/>
      <c r="O1601" s="360"/>
      <c r="P1601" s="360"/>
      <c r="Q1601" s="360"/>
      <c r="R1601" s="360"/>
      <c r="S1601" s="360"/>
      <c r="T1601" s="360"/>
      <c r="U1601" s="360"/>
      <c r="V1601" s="360"/>
      <c r="W1601" s="360"/>
      <c r="X1601" s="393" t="str">
        <f t="shared" si="9"/>
        <v/>
      </c>
      <c r="Y1601" s="393"/>
      <c r="Z1601" s="207">
        <v>0.5</v>
      </c>
    </row>
    <row r="1602" spans="2:27" ht="15.75" x14ac:dyDescent="0.25">
      <c r="B1602" s="390" t="s">
        <v>512</v>
      </c>
      <c r="C1602" s="391"/>
      <c r="D1602" s="391"/>
      <c r="E1602" s="391"/>
      <c r="F1602" s="391"/>
      <c r="G1602" s="391"/>
      <c r="H1602" s="392"/>
      <c r="I1602" s="392"/>
      <c r="J1602" s="360" t="s">
        <v>524</v>
      </c>
      <c r="K1602" s="360"/>
      <c r="L1602" s="360"/>
      <c r="M1602" s="360"/>
      <c r="N1602" s="360"/>
      <c r="O1602" s="360"/>
      <c r="P1602" s="360"/>
      <c r="Q1602" s="360"/>
      <c r="R1602" s="360"/>
      <c r="S1602" s="360"/>
      <c r="T1602" s="360"/>
      <c r="U1602" s="360"/>
      <c r="V1602" s="360"/>
      <c r="W1602" s="360"/>
      <c r="X1602" s="393" t="str">
        <f t="shared" si="9"/>
        <v/>
      </c>
      <c r="Y1602" s="393"/>
      <c r="Z1602" s="207">
        <f>1/3</f>
        <v>0.33333333333333331</v>
      </c>
    </row>
    <row r="1603" spans="2:27" ht="15.75" x14ac:dyDescent="0.25">
      <c r="B1603" s="390" t="s">
        <v>513</v>
      </c>
      <c r="C1603" s="391"/>
      <c r="D1603" s="391"/>
      <c r="E1603" s="391"/>
      <c r="F1603" s="391"/>
      <c r="G1603" s="391"/>
      <c r="H1603" s="392"/>
      <c r="I1603" s="392"/>
      <c r="J1603" s="360" t="s">
        <v>525</v>
      </c>
      <c r="K1603" s="360"/>
      <c r="L1603" s="360"/>
      <c r="M1603" s="360"/>
      <c r="N1603" s="360"/>
      <c r="O1603" s="360"/>
      <c r="P1603" s="360"/>
      <c r="Q1603" s="360"/>
      <c r="R1603" s="360"/>
      <c r="S1603" s="360"/>
      <c r="T1603" s="360"/>
      <c r="U1603" s="360"/>
      <c r="V1603" s="360"/>
      <c r="W1603" s="360"/>
      <c r="X1603" s="393" t="str">
        <f t="shared" si="9"/>
        <v/>
      </c>
      <c r="Y1603" s="393"/>
      <c r="Z1603" s="207">
        <f>1/3</f>
        <v>0.33333333333333331</v>
      </c>
    </row>
    <row r="1604" spans="2:27" ht="15.75" x14ac:dyDescent="0.25">
      <c r="B1604" s="390" t="s">
        <v>514</v>
      </c>
      <c r="C1604" s="391"/>
      <c r="D1604" s="391"/>
      <c r="E1604" s="391"/>
      <c r="F1604" s="391"/>
      <c r="G1604" s="391"/>
      <c r="H1604" s="392"/>
      <c r="I1604" s="392"/>
      <c r="J1604" s="360" t="s">
        <v>526</v>
      </c>
      <c r="K1604" s="360"/>
      <c r="L1604" s="360"/>
      <c r="M1604" s="360"/>
      <c r="N1604" s="360"/>
      <c r="O1604" s="360"/>
      <c r="P1604" s="360"/>
      <c r="Q1604" s="360"/>
      <c r="R1604" s="360"/>
      <c r="S1604" s="360"/>
      <c r="T1604" s="360"/>
      <c r="U1604" s="360"/>
      <c r="V1604" s="360"/>
      <c r="W1604" s="360"/>
      <c r="X1604" s="393" t="str">
        <f t="shared" si="9"/>
        <v/>
      </c>
      <c r="Y1604" s="393"/>
      <c r="Z1604" s="207">
        <f>1/3</f>
        <v>0.33333333333333331</v>
      </c>
    </row>
    <row r="1605" spans="2:27" ht="15.75" x14ac:dyDescent="0.25">
      <c r="B1605" s="390" t="s">
        <v>515</v>
      </c>
      <c r="C1605" s="391"/>
      <c r="D1605" s="391"/>
      <c r="E1605" s="391"/>
      <c r="F1605" s="391"/>
      <c r="G1605" s="391"/>
      <c r="H1605" s="392"/>
      <c r="I1605" s="392"/>
      <c r="J1605" s="360" t="s">
        <v>527</v>
      </c>
      <c r="K1605" s="360"/>
      <c r="L1605" s="360"/>
      <c r="M1605" s="360"/>
      <c r="N1605" s="360"/>
      <c r="O1605" s="360"/>
      <c r="P1605" s="360"/>
      <c r="Q1605" s="360"/>
      <c r="R1605" s="360"/>
      <c r="S1605" s="360"/>
      <c r="T1605" s="360"/>
      <c r="U1605" s="360"/>
      <c r="V1605" s="360"/>
      <c r="W1605" s="360"/>
      <c r="X1605" s="393" t="str">
        <f t="shared" si="9"/>
        <v/>
      </c>
      <c r="Y1605" s="393"/>
      <c r="Z1605" s="207">
        <f>1/3</f>
        <v>0.33333333333333331</v>
      </c>
    </row>
    <row r="1606" spans="2:27" ht="15.75" x14ac:dyDescent="0.25">
      <c r="B1606" s="390" t="s">
        <v>516</v>
      </c>
      <c r="C1606" s="391"/>
      <c r="D1606" s="391"/>
      <c r="E1606" s="391"/>
      <c r="F1606" s="391"/>
      <c r="G1606" s="391"/>
      <c r="H1606" s="392"/>
      <c r="I1606" s="392"/>
      <c r="J1606" s="360" t="s">
        <v>528</v>
      </c>
      <c r="K1606" s="360"/>
      <c r="L1606" s="360"/>
      <c r="M1606" s="360"/>
      <c r="N1606" s="360"/>
      <c r="O1606" s="360"/>
      <c r="P1606" s="360"/>
      <c r="Q1606" s="360"/>
      <c r="R1606" s="360"/>
      <c r="S1606" s="360"/>
      <c r="T1606" s="360"/>
      <c r="U1606" s="360"/>
      <c r="V1606" s="360"/>
      <c r="W1606" s="360"/>
      <c r="X1606" s="393" t="str">
        <f t="shared" si="9"/>
        <v/>
      </c>
      <c r="Y1606" s="393"/>
      <c r="Z1606" s="207">
        <v>3.25</v>
      </c>
    </row>
    <row r="1607" spans="2:27" ht="15.75" x14ac:dyDescent="0.25">
      <c r="B1607" s="390" t="s">
        <v>517</v>
      </c>
      <c r="C1607" s="391"/>
      <c r="D1607" s="391"/>
      <c r="E1607" s="391"/>
      <c r="F1607" s="391"/>
      <c r="G1607" s="391"/>
      <c r="H1607" s="392"/>
      <c r="I1607" s="392"/>
      <c r="J1607" s="360" t="s">
        <v>529</v>
      </c>
      <c r="K1607" s="360"/>
      <c r="L1607" s="360"/>
      <c r="M1607" s="360"/>
      <c r="N1607" s="360"/>
      <c r="O1607" s="360"/>
      <c r="P1607" s="360"/>
      <c r="Q1607" s="360"/>
      <c r="R1607" s="360"/>
      <c r="S1607" s="360"/>
      <c r="T1607" s="360"/>
      <c r="U1607" s="360"/>
      <c r="V1607" s="360"/>
      <c r="W1607" s="360"/>
      <c r="X1607" s="393" t="str">
        <f t="shared" si="9"/>
        <v/>
      </c>
      <c r="Y1607" s="393"/>
      <c r="Z1607" s="207">
        <v>2.25</v>
      </c>
    </row>
    <row r="1608" spans="2:27" ht="15.75" x14ac:dyDescent="0.25">
      <c r="B1608" s="390" t="s">
        <v>518</v>
      </c>
      <c r="C1608" s="391"/>
      <c r="D1608" s="391"/>
      <c r="E1608" s="391"/>
      <c r="F1608" s="391"/>
      <c r="G1608" s="391"/>
      <c r="H1608" s="392"/>
      <c r="I1608" s="392"/>
      <c r="J1608" s="360" t="s">
        <v>548</v>
      </c>
      <c r="K1608" s="360"/>
      <c r="L1608" s="360"/>
      <c r="M1608" s="360"/>
      <c r="N1608" s="360"/>
      <c r="O1608" s="360"/>
      <c r="P1608" s="360"/>
      <c r="Q1608" s="360"/>
      <c r="R1608" s="360"/>
      <c r="S1608" s="360"/>
      <c r="T1608" s="360"/>
      <c r="U1608" s="360"/>
      <c r="V1608" s="360"/>
      <c r="W1608" s="360"/>
      <c r="X1608" s="393" t="str">
        <f t="shared" si="9"/>
        <v/>
      </c>
      <c r="Y1608" s="393"/>
      <c r="Z1608" s="207">
        <v>1.5</v>
      </c>
    </row>
    <row r="1609" spans="2:27" ht="15.75" x14ac:dyDescent="0.25">
      <c r="B1609" s="390" t="s">
        <v>519</v>
      </c>
      <c r="C1609" s="391"/>
      <c r="D1609" s="391"/>
      <c r="E1609" s="391"/>
      <c r="F1609" s="391"/>
      <c r="G1609" s="391"/>
      <c r="H1609" s="392"/>
      <c r="I1609" s="392"/>
      <c r="J1609" s="360" t="s">
        <v>530</v>
      </c>
      <c r="K1609" s="360"/>
      <c r="L1609" s="360"/>
      <c r="M1609" s="360"/>
      <c r="N1609" s="360"/>
      <c r="O1609" s="360"/>
      <c r="P1609" s="360"/>
      <c r="Q1609" s="360"/>
      <c r="R1609" s="360"/>
      <c r="S1609" s="360"/>
      <c r="T1609" s="360"/>
      <c r="U1609" s="360"/>
      <c r="V1609" s="360"/>
      <c r="W1609" s="360"/>
      <c r="X1609" s="393" t="str">
        <f t="shared" si="9"/>
        <v/>
      </c>
      <c r="Y1609" s="393"/>
      <c r="Z1609" s="207">
        <v>0.1</v>
      </c>
    </row>
    <row r="1610" spans="2:27" ht="16.5" thickBot="1" x14ac:dyDescent="0.3">
      <c r="B1610" s="369" t="s">
        <v>520</v>
      </c>
      <c r="C1610" s="370"/>
      <c r="D1610" s="370"/>
      <c r="E1610" s="370"/>
      <c r="F1610" s="370"/>
      <c r="G1610" s="370"/>
      <c r="H1610" s="371"/>
      <c r="I1610" s="371"/>
      <c r="J1610" s="372" t="s">
        <v>531</v>
      </c>
      <c r="K1610" s="372"/>
      <c r="L1610" s="372"/>
      <c r="M1610" s="372"/>
      <c r="N1610" s="372"/>
      <c r="O1610" s="372"/>
      <c r="P1610" s="372"/>
      <c r="Q1610" s="372"/>
      <c r="R1610" s="372"/>
      <c r="S1610" s="372"/>
      <c r="T1610" s="372"/>
      <c r="U1610" s="372"/>
      <c r="V1610" s="372"/>
      <c r="W1610" s="372"/>
      <c r="X1610" s="373" t="str">
        <f t="shared" si="9"/>
        <v/>
      </c>
      <c r="Y1610" s="373"/>
      <c r="Z1610" s="208">
        <v>0.1</v>
      </c>
    </row>
    <row r="1611" spans="2:27" ht="6" customHeight="1" thickBot="1" x14ac:dyDescent="0.25">
      <c r="B1611" s="209"/>
      <c r="C1611" s="209"/>
      <c r="D1611" s="209"/>
      <c r="E1611" s="209"/>
      <c r="F1611" s="209"/>
      <c r="G1611" s="209"/>
      <c r="H1611" s="209"/>
      <c r="I1611" s="209"/>
      <c r="J1611" s="209"/>
      <c r="K1611" s="209"/>
      <c r="L1611" s="209"/>
      <c r="M1611" s="209"/>
      <c r="N1611" s="209"/>
      <c r="O1611" s="209"/>
      <c r="P1611" s="209"/>
      <c r="Q1611" s="209"/>
      <c r="R1611" s="209"/>
      <c r="S1611" s="209"/>
      <c r="T1611" s="209"/>
      <c r="U1611" s="209"/>
      <c r="V1611" s="209"/>
      <c r="W1611" s="209"/>
      <c r="X1611" s="209"/>
      <c r="Y1611" s="209"/>
      <c r="Z1611" s="209"/>
    </row>
    <row r="1612" spans="2:27" x14ac:dyDescent="0.2">
      <c r="B1612" s="361" t="s">
        <v>532</v>
      </c>
      <c r="C1612" s="362"/>
      <c r="D1612" s="362"/>
      <c r="E1612" s="362"/>
      <c r="F1612" s="362"/>
      <c r="G1612" s="362"/>
      <c r="H1612" s="362"/>
      <c r="I1612" s="362"/>
      <c r="J1612" s="362"/>
      <c r="K1612" s="362"/>
      <c r="L1612" s="362"/>
      <c r="M1612" s="362"/>
      <c r="N1612" s="362"/>
      <c r="O1612" s="362"/>
      <c r="P1612" s="362"/>
      <c r="Q1612" s="362"/>
      <c r="R1612" s="362"/>
      <c r="S1612" s="362"/>
      <c r="T1612" s="362"/>
      <c r="U1612" s="362"/>
      <c r="V1612" s="362"/>
      <c r="W1612" s="365">
        <f>SUM(X1599:Y1610)</f>
        <v>10</v>
      </c>
      <c r="X1612" s="365"/>
      <c r="Y1612" s="365"/>
      <c r="Z1612" s="366"/>
      <c r="AA1612" s="19"/>
    </row>
    <row r="1613" spans="2:27" ht="13.5" thickBot="1" x14ac:dyDescent="0.25">
      <c r="B1613" s="363"/>
      <c r="C1613" s="364"/>
      <c r="D1613" s="364"/>
      <c r="E1613" s="364"/>
      <c r="F1613" s="364"/>
      <c r="G1613" s="364"/>
      <c r="H1613" s="364"/>
      <c r="I1613" s="364"/>
      <c r="J1613" s="364"/>
      <c r="K1613" s="364"/>
      <c r="L1613" s="364"/>
      <c r="M1613" s="364"/>
      <c r="N1613" s="364"/>
      <c r="O1613" s="364"/>
      <c r="P1613" s="364"/>
      <c r="Q1613" s="364"/>
      <c r="R1613" s="364"/>
      <c r="S1613" s="364"/>
      <c r="T1613" s="364"/>
      <c r="U1613" s="364"/>
      <c r="V1613" s="364"/>
      <c r="W1613" s="367"/>
      <c r="X1613" s="367"/>
      <c r="Y1613" s="367"/>
      <c r="Z1613" s="368"/>
    </row>
    <row r="1614" spans="2:27" ht="6" customHeight="1" thickBot="1" x14ac:dyDescent="0.25"/>
    <row r="1615" spans="2:27" ht="16.5" thickBot="1" x14ac:dyDescent="0.3">
      <c r="B1615" s="202" t="s">
        <v>547</v>
      </c>
      <c r="C1615" s="203"/>
      <c r="D1615" s="203"/>
      <c r="E1615" s="203"/>
      <c r="F1615" s="203"/>
      <c r="G1615" s="203"/>
      <c r="H1615" s="203"/>
      <c r="I1615" s="204"/>
      <c r="J1615" s="205"/>
      <c r="L1615" s="399" t="s">
        <v>596</v>
      </c>
      <c r="M1615" s="399"/>
      <c r="N1615" s="399"/>
      <c r="O1615" s="399"/>
      <c r="P1615" s="399"/>
      <c r="Q1615" s="399"/>
      <c r="R1615" s="399"/>
      <c r="S1615" s="399"/>
      <c r="T1615" s="399"/>
      <c r="U1615" s="399"/>
      <c r="V1615" s="399"/>
      <c r="W1615" s="399"/>
      <c r="X1615" s="399"/>
    </row>
    <row r="1616" spans="2:27" ht="14.25" x14ac:dyDescent="0.2">
      <c r="B1616" s="200" t="s">
        <v>533</v>
      </c>
      <c r="C1616" s="201" t="s">
        <v>534</v>
      </c>
      <c r="D1616" s="201"/>
      <c r="E1616" s="201"/>
      <c r="F1616" s="201" t="s">
        <v>535</v>
      </c>
      <c r="G1616" s="201"/>
      <c r="H1616" s="201"/>
      <c r="I1616" s="307" t="s">
        <v>546</v>
      </c>
      <c r="J1616" s="424"/>
      <c r="L1616" s="399"/>
      <c r="M1616" s="399"/>
      <c r="N1616" s="399"/>
      <c r="O1616" s="399"/>
      <c r="P1616" s="399"/>
      <c r="Q1616" s="399"/>
      <c r="R1616" s="399"/>
      <c r="S1616" s="399"/>
      <c r="T1616" s="399"/>
      <c r="U1616" s="399"/>
      <c r="V1616" s="399"/>
      <c r="W1616" s="399"/>
      <c r="X1616" s="399"/>
    </row>
    <row r="1617" spans="2:27" ht="15.75" thickBot="1" x14ac:dyDescent="0.3">
      <c r="B1617" s="210" t="str">
        <f>IF($H$1599=1,"◄","")</f>
        <v/>
      </c>
      <c r="C1617" s="425">
        <v>1</v>
      </c>
      <c r="D1617" s="426"/>
      <c r="E1617" s="212" t="str">
        <f>IF($H$1599=1,"►","")</f>
        <v/>
      </c>
      <c r="F1617" s="426" t="s">
        <v>536</v>
      </c>
      <c r="G1617" s="426"/>
      <c r="H1617" s="426"/>
      <c r="I1617" s="426" t="str">
        <f>IF($H$1599=1,5,"")</f>
        <v/>
      </c>
      <c r="J1617" s="427"/>
      <c r="L1617" t="s">
        <v>597</v>
      </c>
    </row>
    <row r="1618" spans="2:27" ht="15.75" thickBot="1" x14ac:dyDescent="0.3">
      <c r="B1618" s="210" t="str">
        <f>IF($H$1599=2,"◄","")</f>
        <v>◄</v>
      </c>
      <c r="C1618" s="425">
        <v>2</v>
      </c>
      <c r="D1618" s="426"/>
      <c r="E1618" s="212" t="str">
        <f>IF($H$1599=2,"►","")</f>
        <v>►</v>
      </c>
      <c r="F1618" s="426" t="s">
        <v>537</v>
      </c>
      <c r="G1618" s="426"/>
      <c r="H1618" s="426"/>
      <c r="I1618" s="426">
        <f>IF($H$1599=2,10,"")</f>
        <v>10</v>
      </c>
      <c r="J1618" s="427"/>
      <c r="L1618" s="218" t="s">
        <v>598</v>
      </c>
      <c r="M1618" s="204"/>
      <c r="N1618" s="204"/>
      <c r="O1618" s="204"/>
      <c r="P1618" s="204"/>
      <c r="Q1618" s="205"/>
      <c r="T1618" s="218" t="s">
        <v>599</v>
      </c>
      <c r="U1618" s="204"/>
      <c r="V1618" s="204"/>
      <c r="W1618" s="204"/>
      <c r="X1618" s="204"/>
      <c r="Y1618" s="205"/>
    </row>
    <row r="1619" spans="2:27" ht="15" x14ac:dyDescent="0.25">
      <c r="B1619" s="210" t="str">
        <f>IF(($H$1599=3)+($H$1599=4),"◄","")</f>
        <v/>
      </c>
      <c r="C1619" s="426" t="s">
        <v>538</v>
      </c>
      <c r="D1619" s="426"/>
      <c r="E1619" s="212" t="str">
        <f>IF(($H$1599=3)+($H$1599=4),"►","")</f>
        <v/>
      </c>
      <c r="F1619" s="426" t="s">
        <v>539</v>
      </c>
      <c r="G1619" s="426"/>
      <c r="H1619" s="426"/>
      <c r="I1619" s="426" t="str">
        <f>IF(($H$1599=3)+($H$1599=4),15,"")</f>
        <v/>
      </c>
      <c r="J1619" s="427"/>
      <c r="L1619" s="358" t="s">
        <v>546</v>
      </c>
      <c r="M1619" s="359"/>
      <c r="N1619" s="220" t="s">
        <v>595</v>
      </c>
      <c r="O1619" s="221"/>
      <c r="P1619" s="221"/>
      <c r="Q1619" s="222"/>
      <c r="T1619" s="358" t="s">
        <v>546</v>
      </c>
      <c r="U1619" s="359"/>
      <c r="V1619" s="220" t="s">
        <v>595</v>
      </c>
      <c r="W1619" s="221"/>
      <c r="X1619" s="221"/>
      <c r="Y1619" s="222"/>
    </row>
    <row r="1620" spans="2:27" ht="15" x14ac:dyDescent="0.25">
      <c r="B1620" s="210" t="str">
        <f>IF(($H$1599=5)+($H$1599=6),"◄","")</f>
        <v/>
      </c>
      <c r="C1620" s="426" t="s">
        <v>540</v>
      </c>
      <c r="D1620" s="426"/>
      <c r="E1620" s="212" t="str">
        <f>IF(($H$1599=5)+($H$1599=6),"►","")</f>
        <v/>
      </c>
      <c r="F1620" s="426" t="s">
        <v>541</v>
      </c>
      <c r="G1620" s="426"/>
      <c r="H1620" s="426"/>
      <c r="I1620" s="426" t="str">
        <f>IF(($H$1599=5)+($H$1599=6),20,"")</f>
        <v/>
      </c>
      <c r="J1620" s="427"/>
      <c r="L1620" s="357" t="s">
        <v>589</v>
      </c>
      <c r="M1620" s="356"/>
      <c r="N1620" s="356">
        <v>2</v>
      </c>
      <c r="O1620" s="356"/>
      <c r="P1620" s="356"/>
      <c r="Q1620" s="223" t="str">
        <f>IF(($W$1612&gt;0)*($W$1612&lt;=5),"◄","")</f>
        <v/>
      </c>
      <c r="T1620" s="357" t="s">
        <v>589</v>
      </c>
      <c r="U1620" s="356"/>
      <c r="V1620" s="356">
        <v>1.6</v>
      </c>
      <c r="W1620" s="356"/>
      <c r="X1620" s="356"/>
      <c r="Y1620" s="223" t="str">
        <f>IF(($W$1612&gt;0)*($W$1612&lt;=5),"◄","")</f>
        <v/>
      </c>
    </row>
    <row r="1621" spans="2:27" ht="15" x14ac:dyDescent="0.25">
      <c r="B1621" s="210" t="str">
        <f>IF(($H$1599=7)+($H$1599=8),"◄","")</f>
        <v/>
      </c>
      <c r="C1621" s="426" t="s">
        <v>542</v>
      </c>
      <c r="D1621" s="426"/>
      <c r="E1621" s="212" t="str">
        <f>IF(($H$1599=7)+($H$1599=8),"►","")</f>
        <v/>
      </c>
      <c r="F1621" s="426" t="s">
        <v>543</v>
      </c>
      <c r="G1621" s="426"/>
      <c r="H1621" s="426"/>
      <c r="I1621" s="426" t="str">
        <f>IF(($H$1599=7)+($H$1599=8),25,"")</f>
        <v/>
      </c>
      <c r="J1621" s="427"/>
      <c r="L1621" s="357" t="s">
        <v>590</v>
      </c>
      <c r="M1621" s="356"/>
      <c r="N1621" s="356">
        <v>4</v>
      </c>
      <c r="O1621" s="356"/>
      <c r="P1621" s="356"/>
      <c r="Q1621" s="223" t="str">
        <f>IF(($W$1612&gt;5)*($W$1612&lt;=10),"◄","")</f>
        <v>◄</v>
      </c>
      <c r="T1621" s="357" t="s">
        <v>590</v>
      </c>
      <c r="U1621" s="356"/>
      <c r="V1621" s="356">
        <v>2</v>
      </c>
      <c r="W1621" s="356"/>
      <c r="X1621" s="356"/>
      <c r="Y1621" s="223" t="str">
        <f>IF(($W$1612&gt;5)*($W$1612&lt;=10),"◄","")</f>
        <v>◄</v>
      </c>
    </row>
    <row r="1622" spans="2:27" ht="15.75" thickBot="1" x14ac:dyDescent="0.3">
      <c r="B1622" s="211" t="str">
        <f>IF(($H$1599=9)+($H$1599=10),"◄","")</f>
        <v/>
      </c>
      <c r="C1622" s="428" t="s">
        <v>544</v>
      </c>
      <c r="D1622" s="428"/>
      <c r="E1622" s="213" t="str">
        <f>IF(($H$1599=9)+($H$1599=10),"►","")</f>
        <v/>
      </c>
      <c r="F1622" s="428" t="s">
        <v>545</v>
      </c>
      <c r="G1622" s="428"/>
      <c r="H1622" s="428"/>
      <c r="I1622" s="428" t="str">
        <f>IF(($H$1599=9)+($H$1599=10),30,"")</f>
        <v/>
      </c>
      <c r="J1622" s="429"/>
      <c r="L1622" s="357" t="s">
        <v>591</v>
      </c>
      <c r="M1622" s="356"/>
      <c r="N1622" s="356">
        <v>6</v>
      </c>
      <c r="O1622" s="356"/>
      <c r="P1622" s="356"/>
      <c r="Q1622" s="223" t="str">
        <f>IF(($W$1612&gt;10)*($W$1612&lt;=15),"◄","")</f>
        <v/>
      </c>
      <c r="T1622" s="357" t="s">
        <v>591</v>
      </c>
      <c r="U1622" s="356"/>
      <c r="V1622" s="356">
        <v>3</v>
      </c>
      <c r="W1622" s="356"/>
      <c r="X1622" s="356"/>
      <c r="Y1622" s="223" t="str">
        <f>IF(($W$1612&gt;10)*($W$1612&lt;=15),"◄","")</f>
        <v/>
      </c>
    </row>
    <row r="1623" spans="2:27" x14ac:dyDescent="0.2">
      <c r="L1623" s="357" t="s">
        <v>592</v>
      </c>
      <c r="M1623" s="356"/>
      <c r="N1623" s="356">
        <v>8</v>
      </c>
      <c r="O1623" s="356"/>
      <c r="P1623" s="356"/>
      <c r="Q1623" s="223" t="str">
        <f>IF(($W$1612&gt;15)*($W$1612&lt;=20),"◄","")</f>
        <v/>
      </c>
      <c r="T1623" s="357" t="s">
        <v>592</v>
      </c>
      <c r="U1623" s="356"/>
      <c r="V1623" s="356">
        <v>4</v>
      </c>
      <c r="W1623" s="356"/>
      <c r="X1623" s="356"/>
      <c r="Y1623" s="223" t="str">
        <f>IF(($W$1612&gt;15)*($W$1612&lt;=20),"◄","")</f>
        <v/>
      </c>
    </row>
    <row r="1624" spans="2:27" x14ac:dyDescent="0.2">
      <c r="L1624" s="357" t="s">
        <v>593</v>
      </c>
      <c r="M1624" s="356"/>
      <c r="N1624" s="356">
        <v>10</v>
      </c>
      <c r="O1624" s="356"/>
      <c r="P1624" s="356"/>
      <c r="Q1624" s="223" t="str">
        <f>IF(($W$1612&gt;20)*($W$1612&lt;=25),"◄","")</f>
        <v/>
      </c>
      <c r="T1624" s="357" t="s">
        <v>593</v>
      </c>
      <c r="U1624" s="356"/>
      <c r="V1624" s="356">
        <v>5</v>
      </c>
      <c r="W1624" s="356"/>
      <c r="X1624" s="356"/>
      <c r="Y1624" s="223" t="str">
        <f>IF(($W$1612&gt;20)*($W$1612&lt;=25),"◄","")</f>
        <v/>
      </c>
    </row>
    <row r="1625" spans="2:27" ht="13.5" thickBot="1" x14ac:dyDescent="0.25">
      <c r="L1625" s="376" t="s">
        <v>594</v>
      </c>
      <c r="M1625" s="377"/>
      <c r="N1625" s="377">
        <v>12</v>
      </c>
      <c r="O1625" s="377"/>
      <c r="P1625" s="377"/>
      <c r="Q1625" s="224" t="str">
        <f>IF(($W$1612&gt;25)*($W$1612&lt;=30),"◄","")</f>
        <v/>
      </c>
      <c r="T1625" s="376" t="s">
        <v>594</v>
      </c>
      <c r="U1625" s="377"/>
      <c r="V1625" s="377">
        <v>6</v>
      </c>
      <c r="W1625" s="377"/>
      <c r="X1625" s="377"/>
      <c r="Y1625" s="224" t="str">
        <f>IF(($W$1612&gt;25)*($W$1612&lt;=30),"◄","")</f>
        <v/>
      </c>
    </row>
    <row r="1626" spans="2:27" ht="6" customHeight="1" thickBot="1" x14ac:dyDescent="0.25"/>
    <row r="1627" spans="2:27" x14ac:dyDescent="0.2">
      <c r="B1627" s="401" t="s">
        <v>641</v>
      </c>
      <c r="C1627" s="402"/>
      <c r="D1627" s="402"/>
      <c r="E1627" s="402"/>
      <c r="F1627" s="402"/>
      <c r="G1627" s="402"/>
      <c r="H1627" s="402"/>
      <c r="I1627" s="402"/>
      <c r="J1627" s="402"/>
      <c r="K1627" s="402"/>
      <c r="L1627" s="402"/>
      <c r="M1627" s="402"/>
      <c r="N1627" s="402"/>
      <c r="O1627" s="234"/>
      <c r="P1627" s="234"/>
      <c r="Q1627" s="234"/>
      <c r="R1627" s="234"/>
      <c r="S1627" s="234"/>
      <c r="T1627" s="234"/>
      <c r="U1627" s="234"/>
      <c r="V1627" s="234"/>
      <c r="W1627" s="234"/>
      <c r="X1627" s="234"/>
      <c r="Y1627" s="234"/>
      <c r="Z1627" s="234"/>
      <c r="AA1627" s="235"/>
    </row>
    <row r="1628" spans="2:27" ht="13.5" thickBot="1" x14ac:dyDescent="0.25">
      <c r="B1628" s="403"/>
      <c r="C1628" s="404"/>
      <c r="D1628" s="404"/>
      <c r="E1628" s="404"/>
      <c r="F1628" s="404"/>
      <c r="G1628" s="404"/>
      <c r="H1628" s="404"/>
      <c r="I1628" s="404"/>
      <c r="J1628" s="404"/>
      <c r="K1628" s="404"/>
      <c r="L1628" s="404"/>
      <c r="M1628" s="404"/>
      <c r="N1628" s="404"/>
      <c r="O1628" s="238"/>
      <c r="P1628" s="238"/>
      <c r="Q1628" s="238"/>
      <c r="R1628" s="238"/>
      <c r="S1628" s="238"/>
      <c r="T1628" s="238"/>
      <c r="U1628" s="238"/>
      <c r="V1628" s="238"/>
      <c r="W1628" s="238"/>
      <c r="X1628" s="238"/>
      <c r="Y1628" s="238"/>
      <c r="Z1628" s="238"/>
      <c r="AA1628" s="239"/>
    </row>
    <row r="1629" spans="2:27" x14ac:dyDescent="0.2">
      <c r="B1629" s="20" t="s">
        <v>597</v>
      </c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30"/>
    </row>
    <row r="1630" spans="2:27" ht="15.75" x14ac:dyDescent="0.25">
      <c r="B1630" s="232" t="s">
        <v>646</v>
      </c>
      <c r="C1630" s="63"/>
      <c r="D1630" s="63"/>
      <c r="E1630" s="63"/>
      <c r="F1630" s="63"/>
      <c r="G1630" s="63"/>
      <c r="H1630" s="63"/>
      <c r="I1630" s="63"/>
      <c r="J1630" s="63"/>
      <c r="K1630" s="2"/>
      <c r="L1630" s="2"/>
      <c r="M1630" s="419">
        <f>W1612</f>
        <v>10</v>
      </c>
      <c r="N1630" s="420"/>
      <c r="O1630" s="420"/>
      <c r="P1630" s="63"/>
      <c r="Q1630" s="51"/>
      <c r="R1630" s="2"/>
      <c r="S1630" s="2"/>
      <c r="T1630" s="2"/>
      <c r="U1630" s="2"/>
      <c r="V1630" s="2"/>
      <c r="W1630" s="2"/>
      <c r="X1630" s="2"/>
      <c r="Y1630" s="2"/>
      <c r="Z1630" s="2"/>
      <c r="AA1630" s="30"/>
    </row>
    <row r="1631" spans="2:27" ht="15.75" x14ac:dyDescent="0.25">
      <c r="B1631" s="232" t="s">
        <v>642</v>
      </c>
      <c r="C1631" s="63"/>
      <c r="D1631" s="63"/>
      <c r="E1631" s="63"/>
      <c r="F1631" s="63"/>
      <c r="G1631" s="63"/>
      <c r="H1631" s="63"/>
      <c r="I1631" s="63"/>
      <c r="J1631" s="63"/>
      <c r="K1631" s="2"/>
      <c r="L1631" s="2"/>
      <c r="M1631" s="415">
        <v>45</v>
      </c>
      <c r="N1631" s="415"/>
      <c r="O1631" s="415"/>
      <c r="P1631" s="231" t="s">
        <v>643</v>
      </c>
      <c r="Q1631" s="231"/>
      <c r="R1631" s="2"/>
      <c r="S1631" s="2"/>
      <c r="T1631" s="2"/>
      <c r="U1631" s="233" t="s">
        <v>649</v>
      </c>
      <c r="V1631" s="2"/>
      <c r="W1631" s="2"/>
      <c r="X1631" s="2"/>
      <c r="Y1631" s="2"/>
      <c r="Z1631" s="2"/>
      <c r="AA1631" s="30"/>
    </row>
    <row r="1632" spans="2:27" ht="15.75" x14ac:dyDescent="0.25">
      <c r="B1632" s="232" t="s">
        <v>644</v>
      </c>
      <c r="C1632" s="63"/>
      <c r="D1632" s="63"/>
      <c r="E1632" s="63"/>
      <c r="F1632" s="63"/>
      <c r="G1632" s="63"/>
      <c r="H1632" s="63"/>
      <c r="I1632" s="63"/>
      <c r="J1632" s="63"/>
      <c r="K1632" s="2"/>
      <c r="L1632" s="2"/>
      <c r="M1632" s="415">
        <v>400</v>
      </c>
      <c r="N1632" s="415"/>
      <c r="O1632" s="415"/>
      <c r="P1632" s="216" t="s">
        <v>645</v>
      </c>
      <c r="Q1632" s="51"/>
      <c r="R1632" s="2"/>
      <c r="S1632" s="2"/>
      <c r="T1632" s="2"/>
      <c r="U1632" s="2"/>
      <c r="V1632" s="2"/>
      <c r="W1632" s="2"/>
      <c r="X1632" s="2"/>
      <c r="Y1632" s="2"/>
      <c r="Z1632" s="2"/>
      <c r="AA1632" s="30"/>
    </row>
    <row r="1633" spans="1:28" ht="15.75" x14ac:dyDescent="0.25">
      <c r="B1633" s="232" t="s">
        <v>647</v>
      </c>
      <c r="C1633" s="63"/>
      <c r="D1633" s="63"/>
      <c r="E1633" s="63"/>
      <c r="F1633" s="63"/>
      <c r="G1633" s="63"/>
      <c r="H1633" s="63"/>
      <c r="I1633" s="63"/>
      <c r="J1633" s="63"/>
      <c r="K1633" s="63"/>
      <c r="L1633" s="63"/>
      <c r="M1633" s="415">
        <v>27</v>
      </c>
      <c r="N1633" s="415"/>
      <c r="O1633" s="415"/>
      <c r="P1633" s="233" t="s">
        <v>648</v>
      </c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30"/>
    </row>
    <row r="1634" spans="1:28" x14ac:dyDescent="0.2">
      <c r="B1634" s="20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30"/>
    </row>
    <row r="1635" spans="1:28" x14ac:dyDescent="0.2">
      <c r="B1635" s="416" t="s">
        <v>650</v>
      </c>
      <c r="C1635" s="417"/>
      <c r="D1635" s="417"/>
      <c r="E1635" s="417"/>
      <c r="F1635" s="417"/>
      <c r="G1635" s="417"/>
      <c r="H1635" s="418" t="str">
        <f>ROUND(M1630,1)&amp;"∙"&amp;M1631</f>
        <v>10∙45</v>
      </c>
      <c r="I1635" s="418"/>
      <c r="J1635" s="418"/>
      <c r="K1635" s="421">
        <f>M1632</f>
        <v>400</v>
      </c>
      <c r="L1635" s="421"/>
      <c r="M1635" s="418" t="str">
        <f>"100 - "&amp;M1633</f>
        <v>100 - 27</v>
      </c>
      <c r="N1635" s="418"/>
      <c r="O1635" s="418"/>
      <c r="P1635" s="421" t="s">
        <v>42</v>
      </c>
      <c r="Q1635" s="422">
        <f>M1630*M1631/100*M1632*(100-M1633)/100</f>
        <v>1314</v>
      </c>
      <c r="R1635" s="422"/>
      <c r="S1635" s="421" t="s">
        <v>625</v>
      </c>
      <c r="T1635" s="2"/>
      <c r="U1635" s="2"/>
      <c r="V1635" s="2"/>
      <c r="W1635" s="2"/>
      <c r="X1635" s="2"/>
      <c r="Y1635" s="2"/>
      <c r="Z1635" s="2"/>
      <c r="AA1635" s="30"/>
    </row>
    <row r="1636" spans="1:28" x14ac:dyDescent="0.2">
      <c r="B1636" s="416"/>
      <c r="C1636" s="417"/>
      <c r="D1636" s="417"/>
      <c r="E1636" s="417"/>
      <c r="F1636" s="417"/>
      <c r="G1636" s="417"/>
      <c r="H1636" s="307">
        <v>100</v>
      </c>
      <c r="I1636" s="307"/>
      <c r="J1636" s="307"/>
      <c r="K1636" s="421"/>
      <c r="L1636" s="421"/>
      <c r="M1636" s="307">
        <v>100</v>
      </c>
      <c r="N1636" s="307"/>
      <c r="O1636" s="307"/>
      <c r="P1636" s="421"/>
      <c r="Q1636" s="422"/>
      <c r="R1636" s="422"/>
      <c r="S1636" s="421"/>
      <c r="T1636" s="2"/>
      <c r="U1636" s="2"/>
      <c r="V1636" s="2"/>
      <c r="W1636" s="2"/>
      <c r="X1636" s="2"/>
      <c r="Y1636" s="2"/>
      <c r="Z1636" s="2"/>
      <c r="AA1636" s="30"/>
    </row>
    <row r="1637" spans="1:28" x14ac:dyDescent="0.2">
      <c r="B1637" s="230"/>
      <c r="C1637" s="215"/>
      <c r="D1637" s="215"/>
      <c r="E1637" s="215"/>
      <c r="F1637" s="215"/>
      <c r="G1637" s="215"/>
      <c r="H1637" s="63"/>
      <c r="I1637" s="63"/>
      <c r="J1637" s="63"/>
      <c r="K1637" s="111"/>
      <c r="L1637" s="111"/>
      <c r="M1637" s="63"/>
      <c r="N1637" s="63"/>
      <c r="O1637" s="63"/>
      <c r="P1637" s="111"/>
      <c r="Q1637" s="111"/>
      <c r="R1637" s="111"/>
      <c r="S1637" s="111"/>
      <c r="T1637" s="2"/>
      <c r="U1637" s="2"/>
      <c r="V1637" s="2"/>
      <c r="W1637" s="2"/>
      <c r="X1637" s="2"/>
      <c r="Y1637" s="2"/>
      <c r="Z1637" s="2"/>
      <c r="AA1637" s="30"/>
    </row>
    <row r="1638" spans="1:28" x14ac:dyDescent="0.2">
      <c r="B1638" s="230" t="s">
        <v>651</v>
      </c>
      <c r="C1638" s="215"/>
      <c r="D1638" s="215"/>
      <c r="E1638" s="215"/>
      <c r="F1638" s="215"/>
      <c r="G1638" s="215"/>
      <c r="H1638" s="63"/>
      <c r="I1638" s="63"/>
      <c r="J1638" s="63"/>
      <c r="K1638" s="111"/>
      <c r="L1638" s="111"/>
      <c r="M1638" s="553" t="str">
        <f>"L = "&amp;ROUND(Q1635,0)&amp;"/8 = "&amp;ROUND(Q1635/8,1)&amp;" m"</f>
        <v>L = 1314/8 = 164,3 m</v>
      </c>
      <c r="N1638" s="553"/>
      <c r="O1638" s="553"/>
      <c r="P1638" s="553"/>
      <c r="Q1638" s="553"/>
      <c r="R1638" s="553"/>
      <c r="S1638" s="553"/>
      <c r="T1638" s="553"/>
      <c r="U1638" s="553"/>
      <c r="V1638" s="2"/>
      <c r="W1638" s="2"/>
      <c r="X1638" s="2"/>
      <c r="Y1638" s="2"/>
      <c r="Z1638" s="2"/>
      <c r="AA1638" s="30"/>
    </row>
    <row r="1639" spans="1:28" ht="13.5" thickBot="1" x14ac:dyDescent="0.25">
      <c r="B1639" s="21"/>
      <c r="C1639" s="22"/>
      <c r="D1639" s="22"/>
      <c r="E1639" s="22"/>
      <c r="F1639" s="22"/>
      <c r="G1639" s="22"/>
      <c r="H1639" s="22"/>
      <c r="I1639" s="22"/>
      <c r="J1639" s="22"/>
      <c r="K1639" s="22"/>
      <c r="L1639" s="22"/>
      <c r="M1639" s="22"/>
      <c r="N1639" s="22"/>
      <c r="O1639" s="22"/>
      <c r="P1639" s="22"/>
      <c r="Q1639" s="22"/>
      <c r="R1639" s="22"/>
      <c r="S1639" s="22"/>
      <c r="T1639" s="22"/>
      <c r="U1639" s="22"/>
      <c r="V1639" s="22"/>
      <c r="W1639" s="22"/>
      <c r="X1639" s="22"/>
      <c r="Y1639" s="22"/>
      <c r="Z1639" s="22"/>
      <c r="AA1639" s="24"/>
    </row>
    <row r="1645" spans="1:28" x14ac:dyDescent="0.2">
      <c r="B1645" s="225"/>
      <c r="C1645" s="63"/>
      <c r="D1645" s="63"/>
      <c r="E1645" s="63"/>
      <c r="F1645" s="63"/>
      <c r="G1645" s="63"/>
      <c r="H1645" s="63"/>
      <c r="I1645" s="63"/>
      <c r="J1645" s="63"/>
      <c r="K1645" s="63"/>
      <c r="L1645" s="63"/>
      <c r="M1645" s="63"/>
      <c r="N1645" s="63"/>
      <c r="O1645" s="51"/>
    </row>
    <row r="1646" spans="1:28" x14ac:dyDescent="0.2">
      <c r="A1646" s="423" t="s">
        <v>0</v>
      </c>
      <c r="B1646" s="378"/>
      <c r="C1646" s="378"/>
      <c r="D1646" s="378"/>
      <c r="E1646" s="378"/>
      <c r="F1646" s="378"/>
      <c r="G1646" s="374" t="s">
        <v>1</v>
      </c>
      <c r="H1646" s="374"/>
      <c r="I1646" s="374"/>
      <c r="J1646" s="374"/>
      <c r="K1646" s="374"/>
      <c r="L1646" s="374"/>
      <c r="M1646" s="374"/>
      <c r="N1646" s="374"/>
      <c r="O1646" s="374"/>
      <c r="P1646" s="374"/>
      <c r="Q1646" s="374"/>
      <c r="R1646" s="374"/>
      <c r="S1646" s="374"/>
      <c r="T1646" s="374"/>
      <c r="U1646" s="8"/>
      <c r="V1646" s="8"/>
      <c r="W1646" s="9"/>
      <c r="X1646" s="9"/>
      <c r="Y1646" s="378" t="s">
        <v>2</v>
      </c>
      <c r="Z1646" s="378"/>
      <c r="AA1646" s="378"/>
      <c r="AB1646" s="1"/>
    </row>
    <row r="1647" spans="1:28" x14ac:dyDescent="0.2">
      <c r="A1647" s="382"/>
      <c r="B1647" s="379"/>
      <c r="C1647" s="379"/>
      <c r="D1647" s="379"/>
      <c r="E1647" s="379"/>
      <c r="F1647" s="379"/>
      <c r="G1647" s="375"/>
      <c r="H1647" s="375"/>
      <c r="I1647" s="375"/>
      <c r="J1647" s="375"/>
      <c r="K1647" s="375"/>
      <c r="L1647" s="375"/>
      <c r="M1647" s="375"/>
      <c r="N1647" s="375"/>
      <c r="O1647" s="375"/>
      <c r="P1647" s="375"/>
      <c r="Q1647" s="375"/>
      <c r="R1647" s="375"/>
      <c r="S1647" s="375"/>
      <c r="T1647" s="375"/>
      <c r="U1647" s="6"/>
      <c r="V1647" s="6"/>
      <c r="W1647" s="10"/>
      <c r="X1647" s="14">
        <f>X1592+1</f>
        <v>30</v>
      </c>
      <c r="Y1647" s="379"/>
      <c r="Z1647" s="379"/>
      <c r="AA1647" s="379"/>
      <c r="AB1647" s="4"/>
    </row>
    <row r="1648" spans="1:28" x14ac:dyDescent="0.2">
      <c r="A1648" s="380" t="s">
        <v>3</v>
      </c>
      <c r="B1648" s="381"/>
      <c r="C1648" s="381"/>
      <c r="D1648" s="381"/>
      <c r="E1648" s="381"/>
      <c r="F1648" s="381"/>
      <c r="G1648" s="383" t="s">
        <v>5</v>
      </c>
      <c r="H1648" s="383"/>
      <c r="I1648" s="383"/>
      <c r="J1648" s="383"/>
      <c r="K1648" s="383"/>
      <c r="L1648" s="383"/>
      <c r="M1648" s="383"/>
      <c r="N1648" s="383"/>
      <c r="O1648" s="383"/>
      <c r="P1648" s="383"/>
      <c r="Q1648" s="383"/>
      <c r="R1648" s="383"/>
      <c r="S1648" s="383"/>
      <c r="T1648" s="383"/>
      <c r="U1648" s="5"/>
      <c r="V1648" s="5"/>
      <c r="W1648" s="2"/>
      <c r="X1648" s="384" t="s">
        <v>4</v>
      </c>
      <c r="Y1648" s="384"/>
      <c r="Z1648" s="384"/>
      <c r="AA1648" s="384"/>
      <c r="AB1648" s="385"/>
    </row>
    <row r="1649" spans="1:28" x14ac:dyDescent="0.2">
      <c r="A1649" s="382"/>
      <c r="B1649" s="379"/>
      <c r="C1649" s="379"/>
      <c r="D1649" s="379"/>
      <c r="E1649" s="379"/>
      <c r="F1649" s="379"/>
      <c r="G1649" s="388" t="s">
        <v>436</v>
      </c>
      <c r="H1649" s="388"/>
      <c r="I1649" s="388"/>
      <c r="J1649" s="388"/>
      <c r="K1649" s="388"/>
      <c r="L1649" s="388"/>
      <c r="M1649" s="388"/>
      <c r="N1649" s="388"/>
      <c r="O1649" s="388"/>
      <c r="P1649" s="388"/>
      <c r="Q1649" s="388"/>
      <c r="R1649" s="388"/>
      <c r="S1649" s="388"/>
      <c r="T1649" s="388"/>
      <c r="U1649" s="7"/>
      <c r="V1649" s="7"/>
      <c r="W1649" s="3"/>
      <c r="X1649" s="386"/>
      <c r="Y1649" s="386"/>
      <c r="Z1649" s="386"/>
      <c r="AA1649" s="386"/>
      <c r="AB1649" s="387"/>
    </row>
    <row r="1650" spans="1:28" x14ac:dyDescent="0.2">
      <c r="B1650" s="398" t="s">
        <v>641</v>
      </c>
      <c r="C1650" s="398"/>
      <c r="D1650" s="398"/>
      <c r="E1650" s="398"/>
      <c r="F1650" s="398"/>
      <c r="G1650" s="398"/>
      <c r="H1650" s="398"/>
      <c r="I1650" s="398"/>
      <c r="J1650" s="398"/>
      <c r="K1650" s="398"/>
      <c r="L1650" s="398"/>
      <c r="M1650" s="398"/>
      <c r="N1650" s="398"/>
      <c r="O1650" s="398"/>
      <c r="P1650" s="398"/>
      <c r="Q1650" s="398"/>
    </row>
    <row r="1651" spans="1:28" x14ac:dyDescent="0.2">
      <c r="B1651" s="399"/>
      <c r="C1651" s="399"/>
      <c r="D1651" s="399"/>
      <c r="E1651" s="399"/>
      <c r="F1651" s="399"/>
      <c r="G1651" s="399"/>
      <c r="H1651" s="399"/>
      <c r="I1651" s="399"/>
      <c r="J1651" s="399"/>
      <c r="K1651" s="399"/>
      <c r="L1651" s="399"/>
      <c r="M1651" s="399"/>
      <c r="N1651" s="399"/>
      <c r="O1651" s="399"/>
      <c r="P1651" s="399"/>
      <c r="Q1651" s="399"/>
    </row>
    <row r="1652" spans="1:28" x14ac:dyDescent="0.2">
      <c r="B1652" s="225"/>
      <c r="C1652" s="63"/>
      <c r="D1652" s="63"/>
      <c r="E1652" s="63"/>
      <c r="F1652" s="63"/>
      <c r="G1652" s="63"/>
      <c r="H1652" s="63"/>
      <c r="I1652" s="63"/>
      <c r="J1652" s="63"/>
      <c r="K1652" s="63"/>
      <c r="L1652" s="63"/>
      <c r="M1652" s="63"/>
      <c r="N1652" s="63"/>
      <c r="O1652" s="51"/>
    </row>
    <row r="1653" spans="1:28" x14ac:dyDescent="0.2">
      <c r="B1653" s="225"/>
      <c r="C1653" s="63"/>
      <c r="D1653" s="63"/>
      <c r="E1653" s="63"/>
      <c r="F1653" s="63"/>
      <c r="G1653" s="63"/>
      <c r="H1653" s="63"/>
      <c r="I1653" s="63"/>
      <c r="J1653" s="63"/>
      <c r="K1653" s="63"/>
      <c r="L1653" s="63"/>
      <c r="M1653" s="63"/>
      <c r="N1653" s="63"/>
      <c r="O1653" s="51"/>
    </row>
    <row r="1654" spans="1:28" x14ac:dyDescent="0.2">
      <c r="B1654" s="225"/>
      <c r="C1654" s="63"/>
      <c r="D1654" s="63"/>
      <c r="E1654" s="63"/>
      <c r="F1654" s="63"/>
      <c r="G1654" s="63"/>
      <c r="H1654" s="63"/>
      <c r="I1654" s="63"/>
      <c r="J1654" s="63"/>
      <c r="K1654" s="63"/>
      <c r="L1654" s="63"/>
      <c r="M1654" s="63"/>
      <c r="N1654" s="63"/>
      <c r="O1654" s="51"/>
    </row>
    <row r="1655" spans="1:28" x14ac:dyDescent="0.2">
      <c r="B1655" s="225"/>
      <c r="C1655" s="63"/>
      <c r="D1655" s="63"/>
      <c r="E1655" s="63"/>
      <c r="F1655" s="63"/>
      <c r="G1655" s="63"/>
      <c r="H1655" s="63"/>
      <c r="I1655" s="63"/>
      <c r="J1655" s="63"/>
      <c r="K1655" s="63"/>
      <c r="L1655" s="63"/>
      <c r="M1655" s="63"/>
      <c r="N1655" s="63"/>
      <c r="O1655" s="51"/>
    </row>
    <row r="1656" spans="1:28" x14ac:dyDescent="0.2">
      <c r="B1656" s="225"/>
      <c r="C1656" s="63"/>
      <c r="D1656" s="63"/>
      <c r="E1656" s="63"/>
      <c r="F1656" s="63"/>
      <c r="G1656" s="63"/>
      <c r="H1656" s="63"/>
      <c r="I1656" s="63"/>
      <c r="J1656" s="63"/>
      <c r="K1656" s="63"/>
      <c r="L1656" s="63"/>
      <c r="M1656" s="63"/>
      <c r="N1656" s="63"/>
      <c r="O1656" s="51"/>
    </row>
    <row r="1657" spans="1:28" x14ac:dyDescent="0.2">
      <c r="B1657" s="225"/>
      <c r="C1657" s="63"/>
      <c r="D1657" s="63"/>
      <c r="E1657" s="63"/>
      <c r="F1657" s="63"/>
      <c r="G1657" s="63"/>
      <c r="H1657" s="63"/>
      <c r="I1657" s="63"/>
      <c r="J1657" s="63"/>
      <c r="K1657" s="63"/>
      <c r="L1657" s="63"/>
      <c r="M1657" s="63"/>
      <c r="N1657" s="63"/>
      <c r="O1657" s="51"/>
    </row>
    <row r="1658" spans="1:28" x14ac:dyDescent="0.2">
      <c r="B1658" s="225"/>
      <c r="C1658" s="63"/>
      <c r="D1658" s="63"/>
      <c r="E1658" s="63"/>
      <c r="F1658" s="63"/>
      <c r="G1658" s="63"/>
      <c r="H1658" s="63"/>
      <c r="I1658" s="63"/>
      <c r="J1658" s="63"/>
      <c r="K1658" s="63"/>
      <c r="L1658" s="63"/>
      <c r="M1658" s="63"/>
      <c r="N1658" s="63"/>
      <c r="O1658" s="51"/>
    </row>
    <row r="1659" spans="1:28" x14ac:dyDescent="0.2">
      <c r="B1659" s="225"/>
      <c r="C1659" s="63"/>
      <c r="D1659" s="63"/>
      <c r="E1659" s="63"/>
      <c r="F1659" s="63"/>
      <c r="G1659" s="63"/>
      <c r="H1659" s="63"/>
      <c r="I1659" s="63"/>
      <c r="J1659" s="63"/>
      <c r="K1659" s="63"/>
      <c r="L1659" s="63"/>
      <c r="M1659" s="63"/>
      <c r="N1659" s="63"/>
      <c r="O1659" s="51"/>
    </row>
    <row r="1660" spans="1:28" x14ac:dyDescent="0.2">
      <c r="B1660" s="225"/>
      <c r="C1660" s="63"/>
      <c r="D1660" s="63"/>
      <c r="E1660" s="63"/>
      <c r="F1660" s="63"/>
      <c r="G1660" s="63"/>
      <c r="H1660" s="63"/>
      <c r="I1660" s="63"/>
      <c r="J1660" s="63"/>
      <c r="K1660" s="63"/>
      <c r="L1660" s="63"/>
      <c r="M1660" s="63"/>
      <c r="N1660" s="63"/>
      <c r="O1660" s="51"/>
    </row>
    <row r="1661" spans="1:28" x14ac:dyDescent="0.2">
      <c r="B1661" s="225"/>
      <c r="C1661" s="63"/>
      <c r="D1661" s="63"/>
      <c r="E1661" s="63"/>
      <c r="F1661" s="63"/>
      <c r="G1661" s="63"/>
      <c r="H1661" s="63"/>
      <c r="I1661" s="63"/>
      <c r="J1661" s="63"/>
      <c r="K1661" s="63"/>
      <c r="L1661" s="63"/>
      <c r="M1661" s="63"/>
      <c r="N1661" s="63"/>
      <c r="O1661" s="51"/>
    </row>
    <row r="1662" spans="1:28" x14ac:dyDescent="0.2">
      <c r="B1662" s="225"/>
      <c r="C1662" s="63"/>
      <c r="D1662" s="63"/>
      <c r="E1662" s="63"/>
      <c r="F1662" s="63"/>
      <c r="G1662" s="63"/>
      <c r="H1662" s="63"/>
      <c r="I1662" s="63"/>
      <c r="J1662" s="63"/>
      <c r="K1662" s="63"/>
      <c r="L1662" s="63"/>
      <c r="M1662" s="63"/>
      <c r="N1662" s="63"/>
      <c r="O1662" s="51"/>
    </row>
    <row r="1663" spans="1:28" x14ac:dyDescent="0.2">
      <c r="B1663" s="225"/>
      <c r="C1663" s="63"/>
      <c r="D1663" s="63"/>
      <c r="E1663" s="63"/>
      <c r="F1663" s="63"/>
      <c r="G1663" s="63"/>
      <c r="H1663" s="63"/>
      <c r="I1663" s="63"/>
      <c r="J1663" s="63"/>
      <c r="K1663" s="63"/>
      <c r="L1663" s="63"/>
      <c r="M1663" s="63"/>
      <c r="N1663" s="63"/>
      <c r="O1663" s="51"/>
    </row>
    <row r="1664" spans="1:28" x14ac:dyDescent="0.2">
      <c r="B1664" s="225"/>
      <c r="C1664" s="63"/>
      <c r="D1664" s="63"/>
      <c r="E1664" s="63"/>
      <c r="F1664" s="63"/>
      <c r="G1664" s="63"/>
      <c r="H1664" s="63"/>
      <c r="I1664" s="63"/>
      <c r="J1664" s="63"/>
      <c r="K1664" s="63"/>
      <c r="L1664" s="63"/>
      <c r="M1664" s="63"/>
      <c r="N1664" s="63"/>
      <c r="O1664" s="51"/>
    </row>
    <row r="1665" spans="2:15" x14ac:dyDescent="0.2">
      <c r="B1665" s="225"/>
      <c r="C1665" s="63"/>
      <c r="D1665" s="63"/>
      <c r="E1665" s="63"/>
      <c r="F1665" s="63"/>
      <c r="G1665" s="63"/>
      <c r="H1665" s="63"/>
      <c r="I1665" s="63"/>
      <c r="J1665" s="63"/>
      <c r="K1665" s="63"/>
      <c r="L1665" s="63"/>
      <c r="M1665" s="63"/>
      <c r="N1665" s="63"/>
      <c r="O1665" s="51"/>
    </row>
    <row r="1666" spans="2:15" x14ac:dyDescent="0.2">
      <c r="B1666" s="225"/>
      <c r="C1666" s="63"/>
      <c r="D1666" s="63"/>
      <c r="E1666" s="63"/>
      <c r="F1666" s="63"/>
      <c r="G1666" s="63"/>
      <c r="H1666" s="63"/>
      <c r="I1666" s="63"/>
      <c r="J1666" s="63"/>
      <c r="K1666" s="63"/>
      <c r="L1666" s="63"/>
      <c r="M1666" s="63"/>
      <c r="N1666" s="63"/>
      <c r="O1666" s="51"/>
    </row>
    <row r="1667" spans="2:15" x14ac:dyDescent="0.2">
      <c r="B1667" s="225"/>
      <c r="C1667" s="63"/>
      <c r="D1667" s="63"/>
      <c r="E1667" s="63"/>
      <c r="F1667" s="63"/>
      <c r="G1667" s="63"/>
      <c r="H1667" s="63"/>
      <c r="I1667" s="63"/>
      <c r="J1667" s="63"/>
      <c r="K1667" s="63"/>
      <c r="L1667" s="63"/>
      <c r="M1667" s="63"/>
      <c r="N1667" s="63"/>
      <c r="O1667" s="51"/>
    </row>
    <row r="1668" spans="2:15" x14ac:dyDescent="0.2">
      <c r="B1668" s="225"/>
      <c r="C1668" s="63"/>
      <c r="D1668" s="63"/>
      <c r="E1668" s="63"/>
      <c r="F1668" s="63"/>
      <c r="G1668" s="63"/>
      <c r="H1668" s="63"/>
      <c r="I1668" s="63"/>
      <c r="J1668" s="63"/>
      <c r="K1668" s="63"/>
      <c r="L1668" s="63"/>
      <c r="M1668" s="63"/>
      <c r="N1668" s="63"/>
      <c r="O1668" s="51"/>
    </row>
    <row r="1669" spans="2:15" x14ac:dyDescent="0.2">
      <c r="B1669" s="225"/>
      <c r="C1669" s="63"/>
      <c r="D1669" s="63"/>
      <c r="E1669" s="63"/>
      <c r="F1669" s="63"/>
      <c r="G1669" s="63"/>
      <c r="H1669" s="63"/>
      <c r="I1669" s="63"/>
      <c r="J1669" s="63"/>
      <c r="K1669" s="63"/>
      <c r="L1669" s="63"/>
      <c r="M1669" s="63"/>
      <c r="N1669" s="63"/>
      <c r="O1669" s="51"/>
    </row>
    <row r="1670" spans="2:15" x14ac:dyDescent="0.2">
      <c r="B1670" s="225"/>
      <c r="C1670" s="63"/>
      <c r="D1670" s="63"/>
      <c r="E1670" s="63"/>
      <c r="F1670" s="63"/>
      <c r="G1670" s="63"/>
      <c r="H1670" s="63"/>
      <c r="I1670" s="63"/>
      <c r="J1670" s="63"/>
      <c r="K1670" s="63"/>
      <c r="L1670" s="63"/>
      <c r="M1670" s="63"/>
      <c r="N1670" s="63"/>
      <c r="O1670" s="51"/>
    </row>
    <row r="1671" spans="2:15" x14ac:dyDescent="0.2">
      <c r="B1671" s="225"/>
      <c r="C1671" s="63"/>
      <c r="D1671" s="63"/>
      <c r="E1671" s="63"/>
      <c r="F1671" s="63"/>
      <c r="G1671" s="63"/>
      <c r="H1671" s="63"/>
      <c r="I1671" s="63"/>
      <c r="J1671" s="63"/>
      <c r="K1671" s="63"/>
      <c r="L1671" s="63"/>
      <c r="M1671" s="63"/>
      <c r="N1671" s="63"/>
      <c r="O1671" s="51"/>
    </row>
    <row r="1672" spans="2:15" x14ac:dyDescent="0.2">
      <c r="B1672" s="225"/>
      <c r="C1672" s="63"/>
      <c r="D1672" s="63"/>
      <c r="E1672" s="63"/>
      <c r="F1672" s="63"/>
      <c r="G1672" s="63"/>
      <c r="H1672" s="63"/>
      <c r="I1672" s="63"/>
      <c r="J1672" s="63"/>
      <c r="K1672" s="63"/>
      <c r="L1672" s="63"/>
      <c r="M1672" s="63"/>
      <c r="N1672" s="63"/>
      <c r="O1672" s="51"/>
    </row>
    <row r="1673" spans="2:15" x14ac:dyDescent="0.2">
      <c r="B1673" s="225"/>
      <c r="C1673" s="63"/>
      <c r="D1673" s="63"/>
      <c r="E1673" s="63"/>
      <c r="F1673" s="63"/>
      <c r="G1673" s="63"/>
      <c r="H1673" s="63"/>
      <c r="I1673" s="63"/>
      <c r="J1673" s="63"/>
      <c r="K1673" s="63"/>
      <c r="L1673" s="63"/>
      <c r="M1673" s="63"/>
      <c r="N1673" s="63"/>
      <c r="O1673" s="51"/>
    </row>
    <row r="1674" spans="2:15" x14ac:dyDescent="0.2">
      <c r="B1674" s="225"/>
      <c r="C1674" s="63"/>
      <c r="D1674" s="63"/>
      <c r="E1674" s="63"/>
      <c r="F1674" s="63"/>
      <c r="G1674" s="63"/>
      <c r="H1674" s="63"/>
      <c r="I1674" s="63"/>
      <c r="J1674" s="63"/>
      <c r="K1674" s="63"/>
      <c r="L1674" s="63"/>
      <c r="M1674" s="63"/>
      <c r="N1674" s="63"/>
      <c r="O1674" s="51"/>
    </row>
    <row r="1675" spans="2:15" x14ac:dyDescent="0.2">
      <c r="B1675" s="225"/>
      <c r="C1675" s="63"/>
      <c r="D1675" s="63"/>
      <c r="E1675" s="63"/>
      <c r="F1675" s="63"/>
      <c r="G1675" s="63"/>
      <c r="H1675" s="63"/>
      <c r="I1675" s="63"/>
      <c r="J1675" s="63"/>
      <c r="K1675" s="63"/>
      <c r="L1675" s="63"/>
      <c r="M1675" s="63"/>
      <c r="N1675" s="63"/>
      <c r="O1675" s="51"/>
    </row>
    <row r="1676" spans="2:15" x14ac:dyDescent="0.2">
      <c r="B1676" s="225"/>
      <c r="C1676" s="63"/>
      <c r="D1676" s="63"/>
      <c r="E1676" s="63"/>
      <c r="F1676" s="63"/>
      <c r="G1676" s="63"/>
      <c r="H1676" s="63"/>
      <c r="I1676" s="63"/>
      <c r="J1676" s="63"/>
      <c r="K1676" s="63"/>
      <c r="L1676" s="63"/>
      <c r="M1676" s="63"/>
      <c r="N1676" s="63"/>
      <c r="O1676" s="51"/>
    </row>
    <row r="1677" spans="2:15" x14ac:dyDescent="0.2">
      <c r="B1677" s="225"/>
      <c r="C1677" s="63"/>
      <c r="D1677" s="63"/>
      <c r="E1677" s="63"/>
      <c r="F1677" s="63"/>
      <c r="G1677" s="63"/>
      <c r="H1677" s="63"/>
      <c r="I1677" s="63"/>
      <c r="J1677" s="63"/>
      <c r="K1677" s="63"/>
      <c r="L1677" s="63"/>
      <c r="M1677" s="63"/>
      <c r="N1677" s="63"/>
      <c r="O1677" s="51"/>
    </row>
    <row r="1678" spans="2:15" x14ac:dyDescent="0.2">
      <c r="B1678" s="225"/>
      <c r="C1678" s="63"/>
      <c r="D1678" s="63"/>
      <c r="E1678" s="63"/>
      <c r="F1678" s="63"/>
      <c r="G1678" s="63"/>
      <c r="H1678" s="63"/>
      <c r="I1678" s="63"/>
      <c r="J1678" s="63"/>
      <c r="K1678" s="63"/>
      <c r="L1678" s="63"/>
      <c r="M1678" s="63"/>
      <c r="N1678" s="63"/>
      <c r="O1678" s="51"/>
    </row>
    <row r="1679" spans="2:15" x14ac:dyDescent="0.2">
      <c r="B1679" s="225"/>
      <c r="C1679" s="63"/>
      <c r="D1679" s="63"/>
      <c r="E1679" s="63"/>
      <c r="F1679" s="63"/>
      <c r="G1679" s="63"/>
      <c r="H1679" s="63"/>
      <c r="I1679" s="63"/>
      <c r="J1679" s="63"/>
      <c r="K1679" s="63"/>
      <c r="L1679" s="63"/>
      <c r="M1679" s="63"/>
      <c r="N1679" s="63"/>
      <c r="O1679" s="51"/>
    </row>
    <row r="1680" spans="2:15" x14ac:dyDescent="0.2">
      <c r="B1680" s="225"/>
      <c r="C1680" s="63"/>
      <c r="D1680" s="63"/>
      <c r="E1680" s="63"/>
      <c r="F1680" s="63"/>
      <c r="G1680" s="63"/>
      <c r="H1680" s="63"/>
      <c r="I1680" s="63"/>
      <c r="J1680" s="63"/>
      <c r="K1680" s="63"/>
      <c r="L1680" s="63"/>
      <c r="M1680" s="63"/>
      <c r="N1680" s="63"/>
      <c r="O1680" s="51"/>
    </row>
    <row r="1681" spans="2:15" x14ac:dyDescent="0.2">
      <c r="B1681" s="225"/>
      <c r="C1681" s="63"/>
      <c r="D1681" s="63"/>
      <c r="E1681" s="63"/>
      <c r="F1681" s="63"/>
      <c r="G1681" s="63"/>
      <c r="H1681" s="63"/>
      <c r="I1681" s="63"/>
      <c r="J1681" s="63"/>
      <c r="K1681" s="63"/>
      <c r="L1681" s="63"/>
      <c r="M1681" s="63"/>
      <c r="N1681" s="63"/>
      <c r="O1681" s="51"/>
    </row>
    <row r="1682" spans="2:15" x14ac:dyDescent="0.2">
      <c r="B1682" s="225"/>
      <c r="C1682" s="63"/>
      <c r="D1682" s="63"/>
      <c r="E1682" s="63"/>
      <c r="F1682" s="63"/>
      <c r="G1682" s="63"/>
      <c r="H1682" s="63"/>
      <c r="I1682" s="63"/>
      <c r="J1682" s="63"/>
      <c r="K1682" s="63"/>
      <c r="L1682" s="63"/>
      <c r="M1682" s="63"/>
      <c r="N1682" s="63"/>
      <c r="O1682" s="51"/>
    </row>
    <row r="1683" spans="2:15" x14ac:dyDescent="0.2">
      <c r="B1683" s="225"/>
      <c r="C1683" s="63"/>
      <c r="D1683" s="63"/>
      <c r="E1683" s="63"/>
      <c r="F1683" s="63"/>
      <c r="G1683" s="63"/>
      <c r="H1683" s="63"/>
      <c r="I1683" s="63"/>
      <c r="J1683" s="63"/>
      <c r="K1683" s="63"/>
      <c r="L1683" s="63"/>
      <c r="M1683" s="63"/>
      <c r="N1683" s="63"/>
      <c r="O1683" s="51"/>
    </row>
    <row r="1684" spans="2:15" x14ac:dyDescent="0.2">
      <c r="B1684" s="225"/>
      <c r="C1684" s="63"/>
      <c r="D1684" s="63"/>
      <c r="E1684" s="63"/>
      <c r="F1684" s="63"/>
      <c r="G1684" s="63"/>
      <c r="H1684" s="63"/>
      <c r="I1684" s="63"/>
      <c r="J1684" s="63"/>
      <c r="K1684" s="63"/>
      <c r="L1684" s="63"/>
      <c r="M1684" s="63"/>
      <c r="N1684" s="63"/>
      <c r="O1684" s="51"/>
    </row>
    <row r="1685" spans="2:15" x14ac:dyDescent="0.2">
      <c r="B1685" s="225"/>
      <c r="C1685" s="63"/>
      <c r="D1685" s="63"/>
      <c r="E1685" s="63"/>
      <c r="F1685" s="63"/>
      <c r="G1685" s="63"/>
      <c r="H1685" s="63"/>
      <c r="I1685" s="63"/>
      <c r="J1685" s="63"/>
      <c r="K1685" s="63"/>
      <c r="L1685" s="63"/>
      <c r="M1685" s="63"/>
      <c r="N1685" s="63"/>
      <c r="O1685" s="51"/>
    </row>
    <row r="1686" spans="2:15" x14ac:dyDescent="0.2">
      <c r="B1686" s="225"/>
      <c r="C1686" s="63"/>
      <c r="D1686" s="63"/>
      <c r="E1686" s="63"/>
      <c r="F1686" s="63"/>
      <c r="G1686" s="63"/>
      <c r="H1686" s="63"/>
      <c r="I1686" s="63"/>
      <c r="J1686" s="63"/>
      <c r="K1686" s="63"/>
      <c r="L1686" s="63"/>
      <c r="M1686" s="63"/>
      <c r="N1686" s="63"/>
      <c r="O1686" s="51"/>
    </row>
    <row r="1687" spans="2:15" x14ac:dyDescent="0.2">
      <c r="B1687" s="225"/>
      <c r="C1687" s="63"/>
      <c r="D1687" s="63"/>
      <c r="E1687" s="63"/>
      <c r="F1687" s="63"/>
      <c r="G1687" s="63"/>
      <c r="H1687" s="63"/>
      <c r="I1687" s="63"/>
      <c r="J1687" s="63"/>
      <c r="K1687" s="63"/>
      <c r="L1687" s="63"/>
      <c r="M1687" s="63"/>
      <c r="N1687" s="63"/>
      <c r="O1687" s="51"/>
    </row>
    <row r="1688" spans="2:15" x14ac:dyDescent="0.2">
      <c r="B1688" s="225"/>
      <c r="C1688" s="63"/>
      <c r="D1688" s="63"/>
      <c r="E1688" s="63"/>
      <c r="F1688" s="63"/>
      <c r="G1688" s="63"/>
      <c r="H1688" s="63"/>
      <c r="I1688" s="63"/>
      <c r="J1688" s="63"/>
      <c r="K1688" s="63"/>
      <c r="L1688" s="63"/>
      <c r="M1688" s="63"/>
      <c r="N1688" s="63"/>
      <c r="O1688" s="51"/>
    </row>
    <row r="1689" spans="2:15" x14ac:dyDescent="0.2">
      <c r="B1689" s="225"/>
      <c r="C1689" s="63"/>
      <c r="D1689" s="63"/>
      <c r="E1689" s="63"/>
      <c r="F1689" s="63"/>
      <c r="G1689" s="63"/>
      <c r="H1689" s="63"/>
      <c r="I1689" s="63"/>
      <c r="J1689" s="63"/>
      <c r="K1689" s="63"/>
      <c r="L1689" s="63"/>
      <c r="M1689" s="63"/>
      <c r="N1689" s="63"/>
      <c r="O1689" s="51"/>
    </row>
    <row r="1690" spans="2:15" x14ac:dyDescent="0.2">
      <c r="B1690" s="225"/>
      <c r="C1690" s="63"/>
      <c r="D1690" s="63"/>
      <c r="E1690" s="63"/>
      <c r="F1690" s="63"/>
      <c r="G1690" s="63"/>
      <c r="H1690" s="63"/>
      <c r="I1690" s="63"/>
      <c r="J1690" s="63"/>
      <c r="K1690" s="63"/>
      <c r="L1690" s="63"/>
      <c r="M1690" s="63"/>
      <c r="N1690" s="63"/>
      <c r="O1690" s="51"/>
    </row>
    <row r="1691" spans="2:15" x14ac:dyDescent="0.2">
      <c r="B1691" s="225"/>
      <c r="C1691" s="63"/>
      <c r="D1691" s="63"/>
      <c r="E1691" s="63"/>
      <c r="F1691" s="63"/>
      <c r="G1691" s="63"/>
      <c r="H1691" s="63"/>
      <c r="I1691" s="63"/>
      <c r="J1691" s="63"/>
      <c r="K1691" s="63"/>
      <c r="L1691" s="63"/>
      <c r="M1691" s="63"/>
      <c r="N1691" s="63"/>
      <c r="O1691" s="51"/>
    </row>
    <row r="1692" spans="2:15" x14ac:dyDescent="0.2">
      <c r="B1692" s="225"/>
      <c r="C1692" s="63"/>
      <c r="D1692" s="63"/>
      <c r="E1692" s="63"/>
      <c r="F1692" s="63"/>
      <c r="G1692" s="63"/>
      <c r="H1692" s="63"/>
      <c r="I1692" s="63"/>
      <c r="J1692" s="63"/>
      <c r="K1692" s="63"/>
      <c r="L1692" s="63"/>
      <c r="M1692" s="63"/>
      <c r="N1692" s="63"/>
      <c r="O1692" s="51"/>
    </row>
    <row r="1693" spans="2:15" x14ac:dyDescent="0.2">
      <c r="B1693" s="225"/>
      <c r="C1693" s="63"/>
      <c r="D1693" s="63"/>
      <c r="E1693" s="63"/>
      <c r="F1693" s="63"/>
      <c r="G1693" s="63"/>
      <c r="H1693" s="63"/>
      <c r="I1693" s="63"/>
      <c r="J1693" s="63"/>
      <c r="K1693" s="63"/>
      <c r="L1693" s="63"/>
      <c r="M1693" s="63"/>
      <c r="N1693" s="63"/>
      <c r="O1693" s="51"/>
    </row>
    <row r="1694" spans="2:15" x14ac:dyDescent="0.2">
      <c r="B1694" s="225"/>
      <c r="C1694" s="63"/>
      <c r="D1694" s="63"/>
      <c r="E1694" s="63"/>
      <c r="F1694" s="63"/>
      <c r="G1694" s="63"/>
      <c r="H1694" s="63"/>
      <c r="I1694" s="63"/>
      <c r="J1694" s="63"/>
      <c r="K1694" s="63"/>
      <c r="L1694" s="63"/>
      <c r="M1694" s="63"/>
      <c r="N1694" s="63"/>
      <c r="O1694" s="51"/>
    </row>
    <row r="1695" spans="2:15" x14ac:dyDescent="0.2">
      <c r="B1695" s="225"/>
      <c r="C1695" s="63"/>
      <c r="D1695" s="63"/>
      <c r="E1695" s="63"/>
      <c r="F1695" s="63"/>
      <c r="G1695" s="63"/>
      <c r="H1695" s="63"/>
      <c r="I1695" s="63"/>
      <c r="J1695" s="63"/>
      <c r="K1695" s="63"/>
      <c r="L1695" s="63"/>
      <c r="M1695" s="63"/>
      <c r="N1695" s="63"/>
      <c r="O1695" s="51"/>
    </row>
    <row r="1696" spans="2:15" x14ac:dyDescent="0.2">
      <c r="B1696" s="225"/>
      <c r="C1696" s="63"/>
      <c r="D1696" s="63"/>
      <c r="E1696" s="63"/>
      <c r="F1696" s="63"/>
      <c r="G1696" s="63"/>
      <c r="H1696" s="63"/>
      <c r="I1696" s="63"/>
      <c r="J1696" s="63"/>
      <c r="K1696" s="63"/>
      <c r="L1696" s="63"/>
      <c r="M1696" s="63"/>
      <c r="N1696" s="63"/>
      <c r="O1696" s="51"/>
    </row>
    <row r="1697" spans="1:28" x14ac:dyDescent="0.2">
      <c r="B1697" s="225"/>
      <c r="C1697" s="63"/>
      <c r="D1697" s="63"/>
      <c r="E1697" s="63"/>
      <c r="F1697" s="63"/>
      <c r="G1697" s="63"/>
      <c r="H1697" s="63"/>
      <c r="I1697" s="63"/>
      <c r="J1697" s="63"/>
      <c r="K1697" s="63"/>
      <c r="L1697" s="63"/>
      <c r="M1697" s="63"/>
      <c r="N1697" s="63"/>
      <c r="O1697" s="51"/>
    </row>
    <row r="1698" spans="1:28" x14ac:dyDescent="0.2">
      <c r="B1698" s="225"/>
      <c r="C1698" s="63"/>
      <c r="D1698" s="63"/>
      <c r="E1698" s="63"/>
      <c r="F1698" s="63"/>
      <c r="G1698" s="63"/>
      <c r="H1698" s="63"/>
      <c r="I1698" s="63"/>
      <c r="J1698" s="63"/>
      <c r="K1698" s="63"/>
      <c r="L1698" s="63"/>
      <c r="M1698" s="63"/>
      <c r="N1698" s="63"/>
      <c r="O1698" s="51"/>
    </row>
    <row r="1699" spans="1:28" x14ac:dyDescent="0.2">
      <c r="B1699" s="225"/>
      <c r="C1699" s="63"/>
      <c r="D1699" s="63"/>
      <c r="E1699" s="63"/>
      <c r="F1699" s="63"/>
      <c r="G1699" s="63"/>
      <c r="H1699" s="63"/>
      <c r="I1699" s="63"/>
      <c r="J1699" s="63"/>
      <c r="K1699" s="63"/>
      <c r="L1699" s="63"/>
      <c r="M1699" s="63"/>
      <c r="N1699" s="63"/>
      <c r="O1699" s="51"/>
    </row>
    <row r="1700" spans="1:28" x14ac:dyDescent="0.2">
      <c r="B1700" s="225"/>
      <c r="C1700" s="63"/>
      <c r="D1700" s="63"/>
      <c r="E1700" s="63"/>
      <c r="F1700" s="63"/>
      <c r="G1700" s="63"/>
      <c r="H1700" s="63"/>
      <c r="I1700" s="63"/>
      <c r="J1700" s="63"/>
      <c r="K1700" s="63"/>
      <c r="L1700" s="63"/>
      <c r="M1700" s="63"/>
      <c r="N1700" s="63"/>
      <c r="O1700" s="51"/>
    </row>
    <row r="1701" spans="1:28" x14ac:dyDescent="0.2">
      <c r="B1701" s="225"/>
      <c r="C1701" s="63"/>
      <c r="D1701" s="63"/>
      <c r="E1701" s="63"/>
      <c r="F1701" s="63"/>
      <c r="G1701" s="63"/>
      <c r="H1701" s="63"/>
      <c r="I1701" s="63"/>
      <c r="J1701" s="63"/>
      <c r="K1701" s="63"/>
      <c r="L1701" s="63"/>
      <c r="M1701" s="63"/>
      <c r="N1701" s="63"/>
      <c r="O1701" s="51"/>
    </row>
    <row r="1702" spans="1:28" x14ac:dyDescent="0.2">
      <c r="B1702" s="225"/>
      <c r="C1702" s="63"/>
      <c r="D1702" s="63"/>
      <c r="E1702" s="63"/>
      <c r="F1702" s="63"/>
      <c r="G1702" s="63"/>
      <c r="H1702" s="63"/>
      <c r="I1702" s="63"/>
      <c r="J1702" s="63"/>
      <c r="K1702" s="63"/>
      <c r="L1702" s="63"/>
      <c r="M1702" s="63"/>
      <c r="N1702" s="63"/>
      <c r="O1702" s="51"/>
    </row>
    <row r="1703" spans="1:28" x14ac:dyDescent="0.2">
      <c r="B1703" s="225"/>
      <c r="C1703" s="63"/>
      <c r="D1703" s="63"/>
      <c r="E1703" s="63"/>
      <c r="F1703" s="63"/>
      <c r="G1703" s="63"/>
      <c r="H1703" s="63"/>
      <c r="I1703" s="63"/>
      <c r="J1703" s="63"/>
      <c r="K1703" s="63"/>
      <c r="L1703" s="63"/>
      <c r="M1703" s="63"/>
      <c r="N1703" s="63"/>
      <c r="O1703" s="51"/>
    </row>
    <row r="1704" spans="1:28" x14ac:dyDescent="0.2">
      <c r="B1704" s="225"/>
      <c r="C1704" s="63"/>
      <c r="D1704" s="63"/>
      <c r="E1704" s="63"/>
      <c r="F1704" s="63"/>
      <c r="G1704" s="63"/>
      <c r="H1704" s="63"/>
      <c r="I1704" s="63"/>
      <c r="J1704" s="63"/>
      <c r="K1704" s="63"/>
      <c r="L1704" s="63"/>
      <c r="M1704" s="63"/>
      <c r="N1704" s="63"/>
      <c r="O1704" s="51"/>
    </row>
    <row r="1705" spans="1:28" x14ac:dyDescent="0.2">
      <c r="A1705" s="423" t="s">
        <v>0</v>
      </c>
      <c r="B1705" s="378"/>
      <c r="C1705" s="378"/>
      <c r="D1705" s="378"/>
      <c r="E1705" s="378"/>
      <c r="F1705" s="378"/>
      <c r="G1705" s="374" t="s">
        <v>1</v>
      </c>
      <c r="H1705" s="374"/>
      <c r="I1705" s="374"/>
      <c r="J1705" s="374"/>
      <c r="K1705" s="374"/>
      <c r="L1705" s="374"/>
      <c r="M1705" s="374"/>
      <c r="N1705" s="374"/>
      <c r="O1705" s="374"/>
      <c r="P1705" s="374"/>
      <c r="Q1705" s="374"/>
      <c r="R1705" s="374"/>
      <c r="S1705" s="374"/>
      <c r="T1705" s="374"/>
      <c r="U1705" s="8"/>
      <c r="V1705" s="8"/>
      <c r="W1705" s="9"/>
      <c r="X1705" s="9"/>
      <c r="Y1705" s="378" t="s">
        <v>2</v>
      </c>
      <c r="Z1705" s="378"/>
      <c r="AA1705" s="378"/>
      <c r="AB1705" s="1"/>
    </row>
    <row r="1706" spans="1:28" x14ac:dyDescent="0.2">
      <c r="A1706" s="382"/>
      <c r="B1706" s="379"/>
      <c r="C1706" s="379"/>
      <c r="D1706" s="379"/>
      <c r="E1706" s="379"/>
      <c r="F1706" s="379"/>
      <c r="G1706" s="375"/>
      <c r="H1706" s="375"/>
      <c r="I1706" s="375"/>
      <c r="J1706" s="375"/>
      <c r="K1706" s="375"/>
      <c r="L1706" s="375"/>
      <c r="M1706" s="375"/>
      <c r="N1706" s="375"/>
      <c r="O1706" s="375"/>
      <c r="P1706" s="375"/>
      <c r="Q1706" s="375"/>
      <c r="R1706" s="375"/>
      <c r="S1706" s="375"/>
      <c r="T1706" s="375"/>
      <c r="U1706" s="6"/>
      <c r="V1706" s="6"/>
      <c r="W1706" s="10"/>
      <c r="X1706" s="14">
        <f>X1647+1</f>
        <v>31</v>
      </c>
      <c r="Y1706" s="379"/>
      <c r="Z1706" s="379"/>
      <c r="AA1706" s="379"/>
      <c r="AB1706" s="4"/>
    </row>
    <row r="1707" spans="1:28" x14ac:dyDescent="0.2">
      <c r="A1707" s="380" t="s">
        <v>3</v>
      </c>
      <c r="B1707" s="381"/>
      <c r="C1707" s="381"/>
      <c r="D1707" s="381"/>
      <c r="E1707" s="381"/>
      <c r="F1707" s="381"/>
      <c r="G1707" s="383" t="s">
        <v>5</v>
      </c>
      <c r="H1707" s="383"/>
      <c r="I1707" s="383"/>
      <c r="J1707" s="383"/>
      <c r="K1707" s="383"/>
      <c r="L1707" s="383"/>
      <c r="M1707" s="383"/>
      <c r="N1707" s="383"/>
      <c r="O1707" s="383"/>
      <c r="P1707" s="383"/>
      <c r="Q1707" s="383"/>
      <c r="R1707" s="383"/>
      <c r="S1707" s="383"/>
      <c r="T1707" s="383"/>
      <c r="U1707" s="5"/>
      <c r="V1707" s="5"/>
      <c r="W1707" s="2"/>
      <c r="X1707" s="384" t="s">
        <v>4</v>
      </c>
      <c r="Y1707" s="384"/>
      <c r="Z1707" s="384"/>
      <c r="AA1707" s="384"/>
      <c r="AB1707" s="385"/>
    </row>
    <row r="1708" spans="1:28" x14ac:dyDescent="0.2">
      <c r="A1708" s="382"/>
      <c r="B1708" s="379"/>
      <c r="C1708" s="379"/>
      <c r="D1708" s="379"/>
      <c r="E1708" s="379"/>
      <c r="F1708" s="379"/>
      <c r="G1708" s="388" t="s">
        <v>436</v>
      </c>
      <c r="H1708" s="388"/>
      <c r="I1708" s="388"/>
      <c r="J1708" s="388"/>
      <c r="K1708" s="388"/>
      <c r="L1708" s="388"/>
      <c r="M1708" s="388"/>
      <c r="N1708" s="388"/>
      <c r="O1708" s="388"/>
      <c r="P1708" s="388"/>
      <c r="Q1708" s="388"/>
      <c r="R1708" s="388"/>
      <c r="S1708" s="388"/>
      <c r="T1708" s="388"/>
      <c r="U1708" s="7"/>
      <c r="V1708" s="7"/>
      <c r="W1708" s="3"/>
      <c r="X1708" s="386"/>
      <c r="Y1708" s="386"/>
      <c r="Z1708" s="386"/>
      <c r="AA1708" s="386"/>
      <c r="AB1708" s="387"/>
    </row>
    <row r="1709" spans="1:28" ht="12.75" customHeight="1" x14ac:dyDescent="0.2">
      <c r="B1709" s="398" t="s">
        <v>672</v>
      </c>
      <c r="C1709" s="398"/>
      <c r="D1709" s="398"/>
      <c r="E1709" s="398"/>
      <c r="F1709" s="398"/>
      <c r="G1709" s="398"/>
      <c r="H1709" s="398"/>
      <c r="I1709" s="398"/>
      <c r="J1709" s="398"/>
      <c r="K1709" s="398"/>
      <c r="L1709" s="398"/>
      <c r="M1709" s="398"/>
      <c r="N1709" s="398"/>
      <c r="O1709" s="398"/>
      <c r="P1709" s="398"/>
      <c r="Q1709" s="398"/>
    </row>
    <row r="1710" spans="1:28" ht="12.75" customHeight="1" x14ac:dyDescent="0.2">
      <c r="B1710" s="399"/>
      <c r="C1710" s="399"/>
      <c r="D1710" s="399"/>
      <c r="E1710" s="399"/>
      <c r="F1710" s="399"/>
      <c r="G1710" s="399"/>
      <c r="H1710" s="399"/>
      <c r="I1710" s="399"/>
      <c r="J1710" s="399"/>
      <c r="K1710" s="399"/>
      <c r="L1710" s="399"/>
      <c r="M1710" s="399"/>
      <c r="N1710" s="399"/>
      <c r="O1710" s="399"/>
      <c r="P1710" s="399"/>
      <c r="Q1710" s="399"/>
    </row>
    <row r="1711" spans="1:28" ht="12.75" customHeight="1" x14ac:dyDescent="0.2">
      <c r="B1711" s="400" t="s">
        <v>508</v>
      </c>
      <c r="C1711" s="400"/>
      <c r="D1711" s="400"/>
      <c r="E1711" s="400"/>
      <c r="F1711" s="400"/>
      <c r="G1711" s="400"/>
      <c r="H1711" s="400"/>
      <c r="I1711" s="400"/>
      <c r="J1711" s="400"/>
      <c r="K1711" s="400"/>
      <c r="L1711" s="400"/>
      <c r="M1711" s="400"/>
      <c r="N1711" s="400"/>
      <c r="O1711" s="400"/>
      <c r="P1711" s="400"/>
      <c r="Q1711" s="400"/>
    </row>
    <row r="1712" spans="1:28" ht="12.75" customHeight="1" thickBot="1" x14ac:dyDescent="0.25">
      <c r="B1712" s="400"/>
      <c r="C1712" s="400"/>
      <c r="D1712" s="400"/>
      <c r="E1712" s="400"/>
      <c r="F1712" s="400"/>
      <c r="G1712" s="400"/>
      <c r="H1712" s="400"/>
      <c r="I1712" s="400"/>
      <c r="J1712" s="400"/>
      <c r="K1712" s="400"/>
      <c r="L1712" s="400"/>
      <c r="M1712" s="400"/>
      <c r="N1712" s="400"/>
      <c r="O1712" s="400"/>
      <c r="P1712" s="400"/>
      <c r="Q1712" s="400"/>
    </row>
    <row r="1713" spans="2:27" ht="15" customHeight="1" x14ac:dyDescent="0.25">
      <c r="B1713" s="394" t="s">
        <v>509</v>
      </c>
      <c r="C1713" s="395"/>
      <c r="D1713" s="395"/>
      <c r="E1713" s="395"/>
      <c r="F1713" s="395"/>
      <c r="G1713" s="395"/>
      <c r="H1713" s="396">
        <v>3</v>
      </c>
      <c r="I1713" s="396"/>
      <c r="J1713" s="397" t="s">
        <v>521</v>
      </c>
      <c r="K1713" s="397"/>
      <c r="L1713" s="397"/>
      <c r="M1713" s="397"/>
      <c r="N1713" s="397"/>
      <c r="O1713" s="397"/>
      <c r="P1713" s="397"/>
      <c r="Q1713" s="397"/>
      <c r="R1713" s="397"/>
      <c r="S1713" s="397"/>
      <c r="T1713" s="397"/>
      <c r="U1713" s="397"/>
      <c r="V1713" s="397"/>
      <c r="W1713" s="397"/>
      <c r="X1713" s="389">
        <f>(H1713&lt;=2)*H1713*5+((H1713=3)+(H1713=4))*15+((H1713=5)+(H1713=6))*20+((H1713=7)+(H1713=8))*25+((H1713=9)+(H1713=10))*30</f>
        <v>15</v>
      </c>
      <c r="Y1713" s="389"/>
      <c r="Z1713" s="206">
        <v>5</v>
      </c>
    </row>
    <row r="1714" spans="2:27" ht="15" customHeight="1" x14ac:dyDescent="0.25">
      <c r="B1714" s="390" t="s">
        <v>510</v>
      </c>
      <c r="C1714" s="391"/>
      <c r="D1714" s="391"/>
      <c r="E1714" s="391"/>
      <c r="F1714" s="391"/>
      <c r="G1714" s="391"/>
      <c r="H1714" s="392"/>
      <c r="I1714" s="392"/>
      <c r="J1714" s="360" t="s">
        <v>522</v>
      </c>
      <c r="K1714" s="360"/>
      <c r="L1714" s="360"/>
      <c r="M1714" s="360"/>
      <c r="N1714" s="360"/>
      <c r="O1714" s="360"/>
      <c r="P1714" s="360"/>
      <c r="Q1714" s="360"/>
      <c r="R1714" s="360"/>
      <c r="S1714" s="360"/>
      <c r="T1714" s="360"/>
      <c r="U1714" s="360"/>
      <c r="V1714" s="360"/>
      <c r="W1714" s="360"/>
      <c r="X1714" s="393" t="str">
        <f t="shared" ref="X1714:X1724" si="10">IF(H1714,H1714*Z1714,"")</f>
        <v/>
      </c>
      <c r="Y1714" s="393"/>
      <c r="Z1714" s="207">
        <v>0.5</v>
      </c>
    </row>
    <row r="1715" spans="2:27" ht="15" customHeight="1" x14ac:dyDescent="0.25">
      <c r="B1715" s="390" t="s">
        <v>511</v>
      </c>
      <c r="C1715" s="391"/>
      <c r="D1715" s="391"/>
      <c r="E1715" s="391"/>
      <c r="F1715" s="391"/>
      <c r="G1715" s="391"/>
      <c r="H1715" s="392"/>
      <c r="I1715" s="392"/>
      <c r="J1715" s="360" t="s">
        <v>523</v>
      </c>
      <c r="K1715" s="360"/>
      <c r="L1715" s="360"/>
      <c r="M1715" s="360"/>
      <c r="N1715" s="360"/>
      <c r="O1715" s="360"/>
      <c r="P1715" s="360"/>
      <c r="Q1715" s="360"/>
      <c r="R1715" s="360"/>
      <c r="S1715" s="360"/>
      <c r="T1715" s="360"/>
      <c r="U1715" s="360"/>
      <c r="V1715" s="360"/>
      <c r="W1715" s="360"/>
      <c r="X1715" s="393" t="str">
        <f t="shared" si="10"/>
        <v/>
      </c>
      <c r="Y1715" s="393"/>
      <c r="Z1715" s="207">
        <v>0.5</v>
      </c>
    </row>
    <row r="1716" spans="2:27" ht="15" customHeight="1" x14ac:dyDescent="0.25">
      <c r="B1716" s="390" t="s">
        <v>512</v>
      </c>
      <c r="C1716" s="391"/>
      <c r="D1716" s="391"/>
      <c r="E1716" s="391"/>
      <c r="F1716" s="391"/>
      <c r="G1716" s="391"/>
      <c r="H1716" s="392"/>
      <c r="I1716" s="392"/>
      <c r="J1716" s="360" t="s">
        <v>524</v>
      </c>
      <c r="K1716" s="360"/>
      <c r="L1716" s="360"/>
      <c r="M1716" s="360"/>
      <c r="N1716" s="360"/>
      <c r="O1716" s="360"/>
      <c r="P1716" s="360"/>
      <c r="Q1716" s="360"/>
      <c r="R1716" s="360"/>
      <c r="S1716" s="360"/>
      <c r="T1716" s="360"/>
      <c r="U1716" s="360"/>
      <c r="V1716" s="360"/>
      <c r="W1716" s="360"/>
      <c r="X1716" s="393" t="str">
        <f t="shared" si="10"/>
        <v/>
      </c>
      <c r="Y1716" s="393"/>
      <c r="Z1716" s="207">
        <f>1/3</f>
        <v>0.33333333333333331</v>
      </c>
    </row>
    <row r="1717" spans="2:27" ht="15" customHeight="1" x14ac:dyDescent="0.25">
      <c r="B1717" s="390" t="s">
        <v>513</v>
      </c>
      <c r="C1717" s="391"/>
      <c r="D1717" s="391"/>
      <c r="E1717" s="391"/>
      <c r="F1717" s="391"/>
      <c r="G1717" s="391"/>
      <c r="H1717" s="392"/>
      <c r="I1717" s="392"/>
      <c r="J1717" s="360" t="s">
        <v>525</v>
      </c>
      <c r="K1717" s="360"/>
      <c r="L1717" s="360"/>
      <c r="M1717" s="360"/>
      <c r="N1717" s="360"/>
      <c r="O1717" s="360"/>
      <c r="P1717" s="360"/>
      <c r="Q1717" s="360"/>
      <c r="R1717" s="360"/>
      <c r="S1717" s="360"/>
      <c r="T1717" s="360"/>
      <c r="U1717" s="360"/>
      <c r="V1717" s="360"/>
      <c r="W1717" s="360"/>
      <c r="X1717" s="393" t="str">
        <f t="shared" si="10"/>
        <v/>
      </c>
      <c r="Y1717" s="393"/>
      <c r="Z1717" s="207">
        <f>1/3</f>
        <v>0.33333333333333331</v>
      </c>
    </row>
    <row r="1718" spans="2:27" ht="15" customHeight="1" x14ac:dyDescent="0.25">
      <c r="B1718" s="390" t="s">
        <v>514</v>
      </c>
      <c r="C1718" s="391"/>
      <c r="D1718" s="391"/>
      <c r="E1718" s="391"/>
      <c r="F1718" s="391"/>
      <c r="G1718" s="391"/>
      <c r="H1718" s="392"/>
      <c r="I1718" s="392"/>
      <c r="J1718" s="360" t="s">
        <v>526</v>
      </c>
      <c r="K1718" s="360"/>
      <c r="L1718" s="360"/>
      <c r="M1718" s="360"/>
      <c r="N1718" s="360"/>
      <c r="O1718" s="360"/>
      <c r="P1718" s="360"/>
      <c r="Q1718" s="360"/>
      <c r="R1718" s="360"/>
      <c r="S1718" s="360"/>
      <c r="T1718" s="360"/>
      <c r="U1718" s="360"/>
      <c r="V1718" s="360"/>
      <c r="W1718" s="360"/>
      <c r="X1718" s="393" t="str">
        <f t="shared" si="10"/>
        <v/>
      </c>
      <c r="Y1718" s="393"/>
      <c r="Z1718" s="207">
        <f>1/3</f>
        <v>0.33333333333333331</v>
      </c>
    </row>
    <row r="1719" spans="2:27" ht="15" customHeight="1" x14ac:dyDescent="0.25">
      <c r="B1719" s="390" t="s">
        <v>515</v>
      </c>
      <c r="C1719" s="391"/>
      <c r="D1719" s="391"/>
      <c r="E1719" s="391"/>
      <c r="F1719" s="391"/>
      <c r="G1719" s="391"/>
      <c r="H1719" s="392"/>
      <c r="I1719" s="392"/>
      <c r="J1719" s="360" t="s">
        <v>527</v>
      </c>
      <c r="K1719" s="360"/>
      <c r="L1719" s="360"/>
      <c r="M1719" s="360"/>
      <c r="N1719" s="360"/>
      <c r="O1719" s="360"/>
      <c r="P1719" s="360"/>
      <c r="Q1719" s="360"/>
      <c r="R1719" s="360"/>
      <c r="S1719" s="360"/>
      <c r="T1719" s="360"/>
      <c r="U1719" s="360"/>
      <c r="V1719" s="360"/>
      <c r="W1719" s="360"/>
      <c r="X1719" s="393" t="str">
        <f t="shared" si="10"/>
        <v/>
      </c>
      <c r="Y1719" s="393"/>
      <c r="Z1719" s="207">
        <f>1/3</f>
        <v>0.33333333333333331</v>
      </c>
    </row>
    <row r="1720" spans="2:27" ht="15" customHeight="1" x14ac:dyDescent="0.25">
      <c r="B1720" s="390" t="s">
        <v>516</v>
      </c>
      <c r="C1720" s="391"/>
      <c r="D1720" s="391"/>
      <c r="E1720" s="391"/>
      <c r="F1720" s="391"/>
      <c r="G1720" s="391"/>
      <c r="H1720" s="392"/>
      <c r="I1720" s="392"/>
      <c r="J1720" s="360" t="s">
        <v>528</v>
      </c>
      <c r="K1720" s="360"/>
      <c r="L1720" s="360"/>
      <c r="M1720" s="360"/>
      <c r="N1720" s="360"/>
      <c r="O1720" s="360"/>
      <c r="P1720" s="360"/>
      <c r="Q1720" s="360"/>
      <c r="R1720" s="360"/>
      <c r="S1720" s="360"/>
      <c r="T1720" s="360"/>
      <c r="U1720" s="360"/>
      <c r="V1720" s="360"/>
      <c r="W1720" s="360"/>
      <c r="X1720" s="393" t="str">
        <f t="shared" si="10"/>
        <v/>
      </c>
      <c r="Y1720" s="393"/>
      <c r="Z1720" s="207">
        <v>3.25</v>
      </c>
    </row>
    <row r="1721" spans="2:27" ht="15" customHeight="1" x14ac:dyDescent="0.25">
      <c r="B1721" s="390" t="s">
        <v>517</v>
      </c>
      <c r="C1721" s="391"/>
      <c r="D1721" s="391"/>
      <c r="E1721" s="391"/>
      <c r="F1721" s="391"/>
      <c r="G1721" s="391"/>
      <c r="H1721" s="392"/>
      <c r="I1721" s="392"/>
      <c r="J1721" s="360" t="s">
        <v>529</v>
      </c>
      <c r="K1721" s="360"/>
      <c r="L1721" s="360"/>
      <c r="M1721" s="360"/>
      <c r="N1721" s="360"/>
      <c r="O1721" s="360"/>
      <c r="P1721" s="360"/>
      <c r="Q1721" s="360"/>
      <c r="R1721" s="360"/>
      <c r="S1721" s="360"/>
      <c r="T1721" s="360"/>
      <c r="U1721" s="360"/>
      <c r="V1721" s="360"/>
      <c r="W1721" s="360"/>
      <c r="X1721" s="393" t="str">
        <f t="shared" si="10"/>
        <v/>
      </c>
      <c r="Y1721" s="393"/>
      <c r="Z1721" s="207">
        <v>2.25</v>
      </c>
    </row>
    <row r="1722" spans="2:27" ht="15" customHeight="1" x14ac:dyDescent="0.25">
      <c r="B1722" s="390" t="s">
        <v>518</v>
      </c>
      <c r="C1722" s="391"/>
      <c r="D1722" s="391"/>
      <c r="E1722" s="391"/>
      <c r="F1722" s="391"/>
      <c r="G1722" s="391"/>
      <c r="H1722" s="392"/>
      <c r="I1722" s="392"/>
      <c r="J1722" s="360" t="s">
        <v>548</v>
      </c>
      <c r="K1722" s="360"/>
      <c r="L1722" s="360"/>
      <c r="M1722" s="360"/>
      <c r="N1722" s="360"/>
      <c r="O1722" s="360"/>
      <c r="P1722" s="360"/>
      <c r="Q1722" s="360"/>
      <c r="R1722" s="360"/>
      <c r="S1722" s="360"/>
      <c r="T1722" s="360"/>
      <c r="U1722" s="360"/>
      <c r="V1722" s="360"/>
      <c r="W1722" s="360"/>
      <c r="X1722" s="393" t="str">
        <f t="shared" si="10"/>
        <v/>
      </c>
      <c r="Y1722" s="393"/>
      <c r="Z1722" s="207">
        <v>1.5</v>
      </c>
    </row>
    <row r="1723" spans="2:27" ht="15" customHeight="1" x14ac:dyDescent="0.25">
      <c r="B1723" s="390" t="s">
        <v>519</v>
      </c>
      <c r="C1723" s="391"/>
      <c r="D1723" s="391"/>
      <c r="E1723" s="391"/>
      <c r="F1723" s="391"/>
      <c r="G1723" s="391"/>
      <c r="H1723" s="392"/>
      <c r="I1723" s="392"/>
      <c r="J1723" s="360" t="s">
        <v>530</v>
      </c>
      <c r="K1723" s="360"/>
      <c r="L1723" s="360"/>
      <c r="M1723" s="360"/>
      <c r="N1723" s="360"/>
      <c r="O1723" s="360"/>
      <c r="P1723" s="360"/>
      <c r="Q1723" s="360"/>
      <c r="R1723" s="360"/>
      <c r="S1723" s="360"/>
      <c r="T1723" s="360"/>
      <c r="U1723" s="360"/>
      <c r="V1723" s="360"/>
      <c r="W1723" s="360"/>
      <c r="X1723" s="393" t="str">
        <f t="shared" si="10"/>
        <v/>
      </c>
      <c r="Y1723" s="393"/>
      <c r="Z1723" s="207">
        <v>0.1</v>
      </c>
    </row>
    <row r="1724" spans="2:27" ht="15" customHeight="1" thickBot="1" x14ac:dyDescent="0.3">
      <c r="B1724" s="369" t="s">
        <v>520</v>
      </c>
      <c r="C1724" s="370"/>
      <c r="D1724" s="370"/>
      <c r="E1724" s="370"/>
      <c r="F1724" s="370"/>
      <c r="G1724" s="370"/>
      <c r="H1724" s="371"/>
      <c r="I1724" s="371"/>
      <c r="J1724" s="372" t="s">
        <v>531</v>
      </c>
      <c r="K1724" s="372"/>
      <c r="L1724" s="372"/>
      <c r="M1724" s="372"/>
      <c r="N1724" s="372"/>
      <c r="O1724" s="372"/>
      <c r="P1724" s="372"/>
      <c r="Q1724" s="372"/>
      <c r="R1724" s="372"/>
      <c r="S1724" s="372"/>
      <c r="T1724" s="372"/>
      <c r="U1724" s="372"/>
      <c r="V1724" s="372"/>
      <c r="W1724" s="372"/>
      <c r="X1724" s="373" t="str">
        <f t="shared" si="10"/>
        <v/>
      </c>
      <c r="Y1724" s="373"/>
      <c r="Z1724" s="208">
        <v>0.1</v>
      </c>
    </row>
    <row r="1725" spans="2:27" ht="6" customHeight="1" thickBot="1" x14ac:dyDescent="0.25">
      <c r="B1725" s="209"/>
      <c r="C1725" s="209"/>
      <c r="D1725" s="209"/>
      <c r="E1725" s="209"/>
      <c r="F1725" s="209"/>
      <c r="G1725" s="209"/>
      <c r="H1725" s="209"/>
      <c r="I1725" s="209"/>
      <c r="J1725" s="209"/>
      <c r="K1725" s="209"/>
      <c r="L1725" s="209"/>
      <c r="M1725" s="209"/>
      <c r="N1725" s="209"/>
      <c r="O1725" s="209"/>
      <c r="P1725" s="209"/>
      <c r="Q1725" s="209"/>
      <c r="R1725" s="209"/>
      <c r="S1725" s="209"/>
      <c r="T1725" s="209"/>
      <c r="U1725" s="209"/>
      <c r="V1725" s="209"/>
      <c r="W1725" s="209"/>
      <c r="X1725" s="209"/>
      <c r="Y1725" s="209"/>
      <c r="Z1725" s="209"/>
    </row>
    <row r="1726" spans="2:27" x14ac:dyDescent="0.2">
      <c r="B1726" s="361" t="s">
        <v>532</v>
      </c>
      <c r="C1726" s="362"/>
      <c r="D1726" s="362"/>
      <c r="E1726" s="362"/>
      <c r="F1726" s="362"/>
      <c r="G1726" s="362"/>
      <c r="H1726" s="362"/>
      <c r="I1726" s="362"/>
      <c r="J1726" s="362"/>
      <c r="K1726" s="362"/>
      <c r="L1726" s="362"/>
      <c r="M1726" s="362"/>
      <c r="N1726" s="362"/>
      <c r="O1726" s="362"/>
      <c r="P1726" s="362"/>
      <c r="Q1726" s="362"/>
      <c r="R1726" s="362"/>
      <c r="S1726" s="362"/>
      <c r="T1726" s="362"/>
      <c r="U1726" s="362"/>
      <c r="V1726" s="362"/>
      <c r="W1726" s="365">
        <f>SUM(X1713:Y1724)</f>
        <v>15</v>
      </c>
      <c r="X1726" s="365"/>
      <c r="Y1726" s="365"/>
      <c r="Z1726" s="366"/>
      <c r="AA1726" s="19"/>
    </row>
    <row r="1727" spans="2:27" ht="13.5" thickBot="1" x14ac:dyDescent="0.25">
      <c r="B1727" s="363"/>
      <c r="C1727" s="364"/>
      <c r="D1727" s="364"/>
      <c r="E1727" s="364"/>
      <c r="F1727" s="364"/>
      <c r="G1727" s="364"/>
      <c r="H1727" s="364"/>
      <c r="I1727" s="364"/>
      <c r="J1727" s="364"/>
      <c r="K1727" s="364"/>
      <c r="L1727" s="364"/>
      <c r="M1727" s="364"/>
      <c r="N1727" s="364"/>
      <c r="O1727" s="364"/>
      <c r="P1727" s="364"/>
      <c r="Q1727" s="364"/>
      <c r="R1727" s="364"/>
      <c r="S1727" s="364"/>
      <c r="T1727" s="364"/>
      <c r="U1727" s="364"/>
      <c r="V1727" s="364"/>
      <c r="W1727" s="367"/>
      <c r="X1727" s="367"/>
      <c r="Y1727" s="367"/>
      <c r="Z1727" s="368"/>
    </row>
    <row r="1728" spans="2:27" ht="6" customHeight="1" thickBot="1" x14ac:dyDescent="0.25"/>
    <row r="1729" spans="2:22" x14ac:dyDescent="0.2">
      <c r="B1729" s="401" t="s">
        <v>596</v>
      </c>
      <c r="C1729" s="402"/>
      <c r="D1729" s="402"/>
      <c r="E1729" s="402"/>
      <c r="F1729" s="402"/>
      <c r="G1729" s="402"/>
      <c r="H1729" s="402"/>
      <c r="I1729" s="402"/>
      <c r="J1729" s="402"/>
      <c r="K1729" s="402"/>
      <c r="L1729" s="402"/>
      <c r="M1729" s="402"/>
      <c r="N1729" s="402"/>
      <c r="O1729" s="235"/>
    </row>
    <row r="1730" spans="2:22" ht="13.5" thickBot="1" x14ac:dyDescent="0.25">
      <c r="B1730" s="403"/>
      <c r="C1730" s="404"/>
      <c r="D1730" s="404"/>
      <c r="E1730" s="404"/>
      <c r="F1730" s="404"/>
      <c r="G1730" s="404"/>
      <c r="H1730" s="404"/>
      <c r="I1730" s="404"/>
      <c r="J1730" s="404"/>
      <c r="K1730" s="404"/>
      <c r="L1730" s="404"/>
      <c r="M1730" s="404"/>
      <c r="N1730" s="404"/>
      <c r="O1730" s="239"/>
    </row>
    <row r="1731" spans="2:22" ht="13.5" thickBot="1" x14ac:dyDescent="0.25">
      <c r="B1731" t="s">
        <v>597</v>
      </c>
    </row>
    <row r="1732" spans="2:22" ht="13.5" thickBot="1" x14ac:dyDescent="0.25">
      <c r="B1732" s="218" t="s">
        <v>598</v>
      </c>
      <c r="C1732" s="204"/>
      <c r="D1732" s="204"/>
      <c r="E1732" s="204"/>
      <c r="F1732" s="204"/>
      <c r="G1732" s="205"/>
      <c r="J1732" s="218" t="s">
        <v>599</v>
      </c>
      <c r="K1732" s="204"/>
      <c r="L1732" s="204"/>
      <c r="M1732" s="204"/>
      <c r="N1732" s="204"/>
      <c r="O1732" s="205"/>
    </row>
    <row r="1733" spans="2:22" ht="12.75" customHeight="1" x14ac:dyDescent="0.2">
      <c r="B1733" s="358" t="s">
        <v>546</v>
      </c>
      <c r="C1733" s="359"/>
      <c r="D1733" s="220" t="s">
        <v>595</v>
      </c>
      <c r="E1733" s="221"/>
      <c r="F1733" s="221"/>
      <c r="G1733" s="222"/>
      <c r="J1733" s="358" t="s">
        <v>546</v>
      </c>
      <c r="K1733" s="359"/>
      <c r="L1733" s="220" t="s">
        <v>595</v>
      </c>
      <c r="M1733" s="221"/>
      <c r="N1733" s="221"/>
      <c r="O1733" s="222"/>
    </row>
    <row r="1734" spans="2:22" ht="12.75" customHeight="1" x14ac:dyDescent="0.2">
      <c r="B1734" s="357" t="s">
        <v>589</v>
      </c>
      <c r="C1734" s="356"/>
      <c r="D1734" s="356">
        <v>2</v>
      </c>
      <c r="E1734" s="356"/>
      <c r="F1734" s="356"/>
      <c r="G1734" s="223" t="str">
        <f>IF(($W$1726&gt;0)*($W$1726&lt;=5),"◄","")</f>
        <v/>
      </c>
      <c r="J1734" s="357" t="s">
        <v>589</v>
      </c>
      <c r="K1734" s="356"/>
      <c r="L1734" s="356">
        <v>1.6</v>
      </c>
      <c r="M1734" s="356"/>
      <c r="N1734" s="356"/>
      <c r="O1734" s="223" t="str">
        <f>IF(($W$1726&gt;0)*($W$1726&lt;=5),"◄","")</f>
        <v/>
      </c>
      <c r="V1734" s="209"/>
    </row>
    <row r="1735" spans="2:22" x14ac:dyDescent="0.2">
      <c r="B1735" s="357" t="s">
        <v>590</v>
      </c>
      <c r="C1735" s="356"/>
      <c r="D1735" s="356">
        <v>4</v>
      </c>
      <c r="E1735" s="356"/>
      <c r="F1735" s="356"/>
      <c r="G1735" s="223" t="str">
        <f>IF(($W$1726&gt;5)*($W$1726&lt;=10),"◄","")</f>
        <v/>
      </c>
      <c r="J1735" s="357" t="s">
        <v>590</v>
      </c>
      <c r="K1735" s="356"/>
      <c r="L1735" s="356">
        <v>2</v>
      </c>
      <c r="M1735" s="356"/>
      <c r="N1735" s="356"/>
      <c r="O1735" s="223" t="str">
        <f>IF(($W$1726&gt;5)*($W$1726&lt;=10),"◄","")</f>
        <v/>
      </c>
    </row>
    <row r="1736" spans="2:22" x14ac:dyDescent="0.2">
      <c r="B1736" s="357" t="s">
        <v>591</v>
      </c>
      <c r="C1736" s="356"/>
      <c r="D1736" s="356">
        <v>6</v>
      </c>
      <c r="E1736" s="356"/>
      <c r="F1736" s="356"/>
      <c r="G1736" s="223" t="str">
        <f>IF(($W$1726&gt;10)*($W$1726&lt;=15),"◄","")</f>
        <v>◄</v>
      </c>
      <c r="J1736" s="357" t="s">
        <v>591</v>
      </c>
      <c r="K1736" s="356"/>
      <c r="L1736" s="356">
        <v>3</v>
      </c>
      <c r="M1736" s="356"/>
      <c r="N1736" s="356"/>
      <c r="O1736" s="223" t="str">
        <f>IF(($W$1726&gt;10)*($W$1726&lt;=15),"◄","")</f>
        <v>◄</v>
      </c>
    </row>
    <row r="1737" spans="2:22" x14ac:dyDescent="0.2">
      <c r="B1737" s="357" t="s">
        <v>592</v>
      </c>
      <c r="C1737" s="356"/>
      <c r="D1737" s="356">
        <v>8</v>
      </c>
      <c r="E1737" s="356"/>
      <c r="F1737" s="356"/>
      <c r="G1737" s="223" t="str">
        <f>IF(($W$1726&gt;15)*($W$1726&lt;=20),"◄","")</f>
        <v/>
      </c>
      <c r="J1737" s="357" t="s">
        <v>592</v>
      </c>
      <c r="K1737" s="356"/>
      <c r="L1737" s="356">
        <v>4</v>
      </c>
      <c r="M1737" s="356"/>
      <c r="N1737" s="356"/>
      <c r="O1737" s="223" t="str">
        <f>IF(($W$1726&gt;15)*($W$1726&lt;=20),"◄","")</f>
        <v/>
      </c>
    </row>
    <row r="1738" spans="2:22" x14ac:dyDescent="0.2">
      <c r="B1738" s="357" t="s">
        <v>593</v>
      </c>
      <c r="C1738" s="356"/>
      <c r="D1738" s="356">
        <v>10</v>
      </c>
      <c r="E1738" s="356"/>
      <c r="F1738" s="356"/>
      <c r="G1738" s="223" t="str">
        <f>IF(($W$1726&gt;20)*($W$1726&lt;=25),"◄","")</f>
        <v/>
      </c>
      <c r="J1738" s="357" t="s">
        <v>593</v>
      </c>
      <c r="K1738" s="356"/>
      <c r="L1738" s="356">
        <v>5</v>
      </c>
      <c r="M1738" s="356"/>
      <c r="N1738" s="356"/>
      <c r="O1738" s="223" t="str">
        <f>IF(($W$1726&gt;20)*($W$1726&lt;=25),"◄","")</f>
        <v/>
      </c>
    </row>
    <row r="1739" spans="2:22" ht="13.5" thickBot="1" x14ac:dyDescent="0.25">
      <c r="B1739" s="376" t="s">
        <v>594</v>
      </c>
      <c r="C1739" s="377"/>
      <c r="D1739" s="377">
        <v>12</v>
      </c>
      <c r="E1739" s="377"/>
      <c r="F1739" s="377"/>
      <c r="G1739" s="224" t="str">
        <f>IF(($W$1726&gt;25)*($W$1726&lt;=30),"◄","")</f>
        <v/>
      </c>
      <c r="J1739" s="376" t="s">
        <v>594</v>
      </c>
      <c r="K1739" s="377"/>
      <c r="L1739" s="377">
        <v>6</v>
      </c>
      <c r="M1739" s="377"/>
      <c r="N1739" s="377"/>
      <c r="O1739" s="224" t="str">
        <f>IF(($W$1726&gt;25)*($W$1726&lt;=30),"◄","")</f>
        <v/>
      </c>
    </row>
    <row r="1740" spans="2:22" ht="6" customHeight="1" thickBot="1" x14ac:dyDescent="0.25">
      <c r="B1740" s="240"/>
      <c r="C1740" s="63"/>
      <c r="D1740" s="63"/>
      <c r="E1740" s="63"/>
      <c r="F1740" s="63"/>
      <c r="G1740" s="51"/>
      <c r="J1740" s="240"/>
      <c r="K1740" s="63"/>
      <c r="L1740" s="63"/>
      <c r="M1740" s="63"/>
      <c r="N1740" s="63"/>
      <c r="O1740" s="51"/>
    </row>
    <row r="1741" spans="2:22" ht="12.75" customHeight="1" x14ac:dyDescent="0.25">
      <c r="B1741" s="401" t="s">
        <v>672</v>
      </c>
      <c r="C1741" s="402"/>
      <c r="D1741" s="402"/>
      <c r="E1741" s="402"/>
      <c r="F1741" s="402"/>
      <c r="G1741" s="402"/>
      <c r="H1741" s="402"/>
      <c r="I1741" s="402"/>
      <c r="J1741" s="402"/>
      <c r="K1741" s="402"/>
      <c r="L1741" s="247"/>
      <c r="M1741" s="247"/>
      <c r="N1741" s="247"/>
      <c r="O1741" s="234"/>
      <c r="P1741" s="234"/>
      <c r="Q1741" s="234"/>
      <c r="R1741" s="234"/>
      <c r="S1741" s="234"/>
      <c r="T1741" s="234"/>
      <c r="U1741" s="235"/>
    </row>
    <row r="1742" spans="2:22" ht="12.75" customHeight="1" x14ac:dyDescent="0.25">
      <c r="B1742" s="405"/>
      <c r="C1742" s="406"/>
      <c r="D1742" s="406"/>
      <c r="E1742" s="406"/>
      <c r="F1742" s="406"/>
      <c r="G1742" s="406"/>
      <c r="H1742" s="406"/>
      <c r="I1742" s="406"/>
      <c r="J1742" s="406"/>
      <c r="K1742" s="406"/>
      <c r="L1742" s="248"/>
      <c r="M1742" s="248"/>
      <c r="N1742" s="248"/>
      <c r="O1742" s="236"/>
      <c r="P1742" s="236"/>
      <c r="Q1742" s="236"/>
      <c r="R1742" s="236"/>
      <c r="S1742" s="236"/>
      <c r="T1742" s="236"/>
      <c r="U1742" s="237"/>
    </row>
    <row r="1743" spans="2:22" ht="13.5" thickBot="1" x14ac:dyDescent="0.25">
      <c r="B1743" s="241" t="s">
        <v>597</v>
      </c>
      <c r="C1743" s="238"/>
      <c r="D1743" s="238"/>
      <c r="E1743" s="238"/>
      <c r="F1743" s="238"/>
      <c r="G1743" s="238"/>
      <c r="H1743" s="238"/>
      <c r="I1743" s="238"/>
      <c r="J1743" s="238"/>
      <c r="K1743" s="238"/>
      <c r="L1743" s="238"/>
      <c r="M1743" s="238"/>
      <c r="N1743" s="238"/>
      <c r="O1743" s="238"/>
      <c r="P1743" s="238"/>
      <c r="Q1743" s="238"/>
      <c r="R1743" s="238"/>
      <c r="S1743" s="238"/>
      <c r="T1743" s="238"/>
      <c r="U1743" s="239"/>
    </row>
    <row r="1744" spans="2:22" x14ac:dyDescent="0.2">
      <c r="B1744" s="430" t="s">
        <v>546</v>
      </c>
      <c r="C1744" s="431"/>
      <c r="D1744" s="407" t="s">
        <v>387</v>
      </c>
      <c r="E1744" s="407"/>
      <c r="F1744" s="407" t="s">
        <v>666</v>
      </c>
      <c r="G1744" s="407"/>
      <c r="H1744" s="407"/>
      <c r="I1744" s="407" t="s">
        <v>630</v>
      </c>
      <c r="J1744" s="407"/>
      <c r="K1744" s="407"/>
      <c r="L1744" s="407" t="s">
        <v>387</v>
      </c>
      <c r="M1744" s="407"/>
      <c r="N1744" s="407"/>
      <c r="O1744" s="407" t="s">
        <v>667</v>
      </c>
      <c r="P1744" s="407"/>
      <c r="Q1744" s="407"/>
      <c r="R1744" s="407" t="s">
        <v>669</v>
      </c>
      <c r="S1744" s="407"/>
      <c r="T1744" s="407"/>
      <c r="U1744" s="227"/>
    </row>
    <row r="1745" spans="2:21" x14ac:dyDescent="0.2">
      <c r="B1745" s="411"/>
      <c r="C1745" s="412"/>
      <c r="D1745" s="408" t="s">
        <v>665</v>
      </c>
      <c r="E1745" s="408"/>
      <c r="F1745" s="408" t="s">
        <v>640</v>
      </c>
      <c r="G1745" s="408"/>
      <c r="H1745" s="408"/>
      <c r="I1745" s="408" t="s">
        <v>640</v>
      </c>
      <c r="J1745" s="408"/>
      <c r="K1745" s="408"/>
      <c r="L1745" s="408" t="s">
        <v>631</v>
      </c>
      <c r="M1745" s="408"/>
      <c r="N1745" s="408"/>
      <c r="O1745" s="408" t="s">
        <v>668</v>
      </c>
      <c r="P1745" s="408"/>
      <c r="Q1745" s="408"/>
      <c r="R1745" s="408" t="s">
        <v>670</v>
      </c>
      <c r="S1745" s="408"/>
      <c r="T1745" s="408"/>
      <c r="U1745" s="249"/>
    </row>
    <row r="1746" spans="2:21" x14ac:dyDescent="0.2">
      <c r="B1746" s="432"/>
      <c r="C1746" s="433"/>
      <c r="D1746" s="408"/>
      <c r="E1746" s="408"/>
      <c r="F1746" s="408"/>
      <c r="G1746" s="408"/>
      <c r="H1746" s="408"/>
      <c r="I1746" s="408"/>
      <c r="J1746" s="408"/>
      <c r="K1746" s="408"/>
      <c r="L1746" s="408" t="s">
        <v>632</v>
      </c>
      <c r="M1746" s="408"/>
      <c r="N1746" s="408"/>
      <c r="O1746" s="408" t="s">
        <v>634</v>
      </c>
      <c r="P1746" s="408"/>
      <c r="Q1746" s="408"/>
      <c r="R1746" s="408" t="s">
        <v>625</v>
      </c>
      <c r="S1746" s="408"/>
      <c r="T1746" s="408"/>
      <c r="U1746" s="228"/>
    </row>
    <row r="1747" spans="2:21" x14ac:dyDescent="0.2">
      <c r="B1747" s="434" t="s">
        <v>589</v>
      </c>
      <c r="C1747" s="410"/>
      <c r="D1747" s="410">
        <v>1</v>
      </c>
      <c r="E1747" s="410"/>
      <c r="F1747" s="410" t="s">
        <v>636</v>
      </c>
      <c r="G1747" s="410"/>
      <c r="H1747" s="410"/>
      <c r="I1747" s="410" t="s">
        <v>636</v>
      </c>
      <c r="J1747" s="410"/>
      <c r="K1747" s="410"/>
      <c r="L1747" s="410">
        <v>7</v>
      </c>
      <c r="M1747" s="410"/>
      <c r="N1747" s="410"/>
      <c r="O1747" s="409" t="s">
        <v>673</v>
      </c>
      <c r="P1747" s="410"/>
      <c r="Q1747" s="410"/>
      <c r="R1747" s="410">
        <v>16</v>
      </c>
      <c r="S1747" s="410"/>
      <c r="T1747" s="410"/>
      <c r="U1747" s="226" t="str">
        <f>IF(($W$1726&gt;0)*($W$1726&lt;=5),"◄","")</f>
        <v/>
      </c>
    </row>
    <row r="1748" spans="2:21" x14ac:dyDescent="0.2">
      <c r="B1748" s="357" t="s">
        <v>590</v>
      </c>
      <c r="C1748" s="356"/>
      <c r="D1748" s="356">
        <v>1</v>
      </c>
      <c r="E1748" s="356"/>
      <c r="F1748" s="356" t="s">
        <v>638</v>
      </c>
      <c r="G1748" s="356"/>
      <c r="H1748" s="356"/>
      <c r="I1748" s="356" t="s">
        <v>636</v>
      </c>
      <c r="J1748" s="356"/>
      <c r="K1748" s="356"/>
      <c r="L1748" s="356">
        <v>7</v>
      </c>
      <c r="M1748" s="356"/>
      <c r="N1748" s="356"/>
      <c r="O1748" s="413" t="s">
        <v>674</v>
      </c>
      <c r="P1748" s="356"/>
      <c r="Q1748" s="356"/>
      <c r="R1748" s="356">
        <v>32</v>
      </c>
      <c r="S1748" s="356"/>
      <c r="T1748" s="356"/>
      <c r="U1748" s="223" t="str">
        <f>IF(($W$1726&gt;5)*($W$1726&lt;=10),"◄","")</f>
        <v/>
      </c>
    </row>
    <row r="1749" spans="2:21" x14ac:dyDescent="0.2">
      <c r="B1749" s="357" t="s">
        <v>591</v>
      </c>
      <c r="C1749" s="356"/>
      <c r="D1749" s="356">
        <v>1</v>
      </c>
      <c r="E1749" s="356"/>
      <c r="F1749" s="356" t="s">
        <v>638</v>
      </c>
      <c r="G1749" s="356"/>
      <c r="H1749" s="356"/>
      <c r="I1749" s="435" t="s">
        <v>671</v>
      </c>
      <c r="J1749" s="435"/>
      <c r="K1749" s="435"/>
      <c r="L1749" s="356">
        <v>11</v>
      </c>
      <c r="M1749" s="356"/>
      <c r="N1749" s="356"/>
      <c r="O1749" s="413" t="s">
        <v>675</v>
      </c>
      <c r="P1749" s="356"/>
      <c r="Q1749" s="356"/>
      <c r="R1749" s="356">
        <v>48</v>
      </c>
      <c r="S1749" s="356"/>
      <c r="T1749" s="356"/>
      <c r="U1749" s="223" t="str">
        <f>IF(($W$1726&gt;10)*($W$1726&lt;=15),"◄","")</f>
        <v>◄</v>
      </c>
    </row>
    <row r="1750" spans="2:21" ht="12.75" customHeight="1" x14ac:dyDescent="0.2">
      <c r="B1750" s="357" t="s">
        <v>592</v>
      </c>
      <c r="C1750" s="356"/>
      <c r="D1750" s="356">
        <v>2</v>
      </c>
      <c r="E1750" s="356"/>
      <c r="F1750" s="356" t="s">
        <v>638</v>
      </c>
      <c r="G1750" s="356"/>
      <c r="H1750" s="356"/>
      <c r="I1750" s="356" t="s">
        <v>636</v>
      </c>
      <c r="J1750" s="356"/>
      <c r="K1750" s="356"/>
      <c r="L1750" s="356">
        <v>7</v>
      </c>
      <c r="M1750" s="356"/>
      <c r="N1750" s="356"/>
      <c r="O1750" s="413" t="s">
        <v>673</v>
      </c>
      <c r="P1750" s="356"/>
      <c r="Q1750" s="356"/>
      <c r="R1750" s="356">
        <v>64</v>
      </c>
      <c r="S1750" s="356"/>
      <c r="T1750" s="356"/>
      <c r="U1750" s="223" t="str">
        <f>IF(($W$1726&gt;15)*($W$1726&lt;=20),"◄","")</f>
        <v/>
      </c>
    </row>
    <row r="1751" spans="2:21" ht="12.75" customHeight="1" x14ac:dyDescent="0.2">
      <c r="B1751" s="357" t="s">
        <v>593</v>
      </c>
      <c r="C1751" s="356"/>
      <c r="D1751" s="356">
        <v>2</v>
      </c>
      <c r="E1751" s="356"/>
      <c r="F1751" s="356" t="s">
        <v>638</v>
      </c>
      <c r="G1751" s="356"/>
      <c r="H1751" s="356"/>
      <c r="I1751" s="356" t="s">
        <v>637</v>
      </c>
      <c r="J1751" s="356"/>
      <c r="K1751" s="356"/>
      <c r="L1751" s="356">
        <v>9</v>
      </c>
      <c r="M1751" s="356"/>
      <c r="N1751" s="356"/>
      <c r="O1751" s="413" t="s">
        <v>674</v>
      </c>
      <c r="P1751" s="356"/>
      <c r="Q1751" s="356"/>
      <c r="R1751" s="356">
        <v>80</v>
      </c>
      <c r="S1751" s="356"/>
      <c r="T1751" s="356"/>
      <c r="U1751" s="223" t="str">
        <f>IF(($W$1726&gt;20)*($W$1726&lt;=25),"◄","")</f>
        <v/>
      </c>
    </row>
    <row r="1752" spans="2:21" ht="13.5" thickBot="1" x14ac:dyDescent="0.25">
      <c r="B1752" s="376" t="s">
        <v>594</v>
      </c>
      <c r="C1752" s="377"/>
      <c r="D1752" s="377">
        <v>2</v>
      </c>
      <c r="E1752" s="377"/>
      <c r="F1752" s="377" t="s">
        <v>638</v>
      </c>
      <c r="G1752" s="377"/>
      <c r="H1752" s="377"/>
      <c r="I1752" s="377" t="s">
        <v>671</v>
      </c>
      <c r="J1752" s="377"/>
      <c r="K1752" s="377"/>
      <c r="L1752" s="377">
        <v>11</v>
      </c>
      <c r="M1752" s="377"/>
      <c r="N1752" s="377"/>
      <c r="O1752" s="414" t="s">
        <v>675</v>
      </c>
      <c r="P1752" s="377"/>
      <c r="Q1752" s="377"/>
      <c r="R1752" s="377">
        <v>96</v>
      </c>
      <c r="S1752" s="377"/>
      <c r="T1752" s="377"/>
      <c r="U1752" s="224" t="str">
        <f>IF(($W$1726&gt;25)*($W$1726&lt;=30),"◄","")</f>
        <v/>
      </c>
    </row>
    <row r="1753" spans="2:21" x14ac:dyDescent="0.2">
      <c r="B1753" s="225"/>
      <c r="C1753" s="63"/>
      <c r="D1753" s="63"/>
      <c r="E1753" s="63"/>
      <c r="F1753" s="63"/>
      <c r="G1753" s="63"/>
      <c r="H1753" s="63"/>
      <c r="I1753" s="63"/>
      <c r="J1753" s="63"/>
      <c r="K1753" s="63"/>
      <c r="L1753" s="63"/>
      <c r="M1753" s="63"/>
      <c r="N1753" s="63"/>
      <c r="O1753" s="51"/>
    </row>
    <row r="1754" spans="2:21" x14ac:dyDescent="0.2">
      <c r="B1754" s="250" t="s">
        <v>676</v>
      </c>
      <c r="C1754" s="63"/>
      <c r="D1754" s="63"/>
      <c r="E1754" s="63"/>
      <c r="F1754" s="63"/>
      <c r="G1754" s="63"/>
      <c r="H1754" s="63"/>
      <c r="I1754" s="63"/>
      <c r="J1754" s="63"/>
      <c r="K1754" s="63"/>
      <c r="L1754" s="63"/>
      <c r="M1754" s="63"/>
      <c r="N1754" s="63"/>
      <c r="O1754" s="51"/>
    </row>
    <row r="1755" spans="2:21" x14ac:dyDescent="0.2">
      <c r="B1755" s="225"/>
      <c r="C1755" s="63"/>
      <c r="D1755" s="63"/>
      <c r="E1755" s="63"/>
      <c r="F1755" s="63"/>
      <c r="G1755" s="63"/>
      <c r="H1755" s="63"/>
      <c r="I1755" s="63"/>
      <c r="J1755" s="63"/>
      <c r="K1755" s="63"/>
      <c r="L1755" s="63"/>
      <c r="M1755" s="63"/>
      <c r="N1755" s="63"/>
      <c r="O1755" s="51"/>
    </row>
    <row r="1756" spans="2:21" x14ac:dyDescent="0.2">
      <c r="B1756" s="225"/>
      <c r="C1756" s="63"/>
      <c r="D1756" s="63"/>
      <c r="E1756" s="63"/>
      <c r="F1756" s="63"/>
      <c r="G1756" s="63"/>
      <c r="H1756" s="63"/>
      <c r="I1756" s="63"/>
      <c r="J1756" s="63"/>
      <c r="K1756" s="63"/>
      <c r="L1756" s="63"/>
      <c r="M1756" s="63"/>
      <c r="N1756" s="63"/>
      <c r="O1756" s="51"/>
    </row>
    <row r="1757" spans="2:21" x14ac:dyDescent="0.2">
      <c r="B1757" s="225"/>
      <c r="C1757" s="63"/>
      <c r="D1757" s="63"/>
      <c r="E1757" s="63"/>
      <c r="F1757" s="63"/>
      <c r="G1757" s="63"/>
      <c r="H1757" s="63"/>
      <c r="I1757" s="63"/>
      <c r="J1757" s="63"/>
      <c r="K1757" s="63"/>
      <c r="L1757" s="63"/>
      <c r="M1757" s="63"/>
      <c r="N1757" s="63"/>
      <c r="O1757" s="51"/>
    </row>
    <row r="1758" spans="2:21" x14ac:dyDescent="0.2">
      <c r="B1758" s="225"/>
      <c r="C1758" s="63"/>
      <c r="D1758" s="63"/>
      <c r="E1758" s="63"/>
      <c r="F1758" s="63"/>
      <c r="G1758" s="63"/>
      <c r="H1758" s="63"/>
      <c r="I1758" s="63"/>
      <c r="J1758" s="63"/>
      <c r="K1758" s="63"/>
      <c r="L1758" s="63"/>
      <c r="M1758" s="63"/>
      <c r="N1758" s="63"/>
      <c r="O1758" s="51"/>
    </row>
    <row r="1759" spans="2:21" x14ac:dyDescent="0.2">
      <c r="B1759" s="225"/>
      <c r="C1759" s="63"/>
      <c r="D1759" s="63"/>
      <c r="E1759" s="63"/>
      <c r="F1759" s="63"/>
      <c r="G1759" s="63"/>
      <c r="H1759" s="63"/>
      <c r="I1759" s="63"/>
      <c r="J1759" s="63"/>
      <c r="K1759" s="63"/>
      <c r="L1759" s="63"/>
      <c r="M1759" s="63"/>
      <c r="N1759" s="63"/>
      <c r="O1759" s="51"/>
    </row>
    <row r="1760" spans="2:21" x14ac:dyDescent="0.2">
      <c r="B1760" s="225"/>
      <c r="C1760" s="63"/>
      <c r="D1760" s="63"/>
      <c r="E1760" s="63"/>
      <c r="F1760" s="63"/>
      <c r="G1760" s="63"/>
      <c r="H1760" s="63"/>
      <c r="I1760" s="63"/>
      <c r="J1760" s="63"/>
      <c r="K1760" s="63"/>
      <c r="L1760" s="63"/>
      <c r="M1760" s="63"/>
      <c r="N1760" s="63"/>
      <c r="O1760" s="51"/>
    </row>
    <row r="1761" spans="1:35" x14ac:dyDescent="0.2">
      <c r="B1761" s="225"/>
      <c r="C1761" s="63"/>
      <c r="D1761" s="63"/>
      <c r="E1761" s="63"/>
      <c r="F1761" s="63"/>
      <c r="G1761" s="63"/>
      <c r="H1761" s="63"/>
      <c r="I1761" s="63"/>
      <c r="J1761" s="63"/>
      <c r="K1761" s="63"/>
      <c r="L1761" s="63"/>
      <c r="M1761" s="63"/>
      <c r="N1761" s="63"/>
      <c r="O1761" s="51"/>
    </row>
    <row r="1762" spans="1:35" x14ac:dyDescent="0.2">
      <c r="B1762" s="225"/>
      <c r="C1762" s="63"/>
      <c r="D1762" s="63"/>
      <c r="E1762" s="63"/>
      <c r="F1762" s="63"/>
      <c r="G1762" s="63"/>
      <c r="H1762" s="63"/>
      <c r="I1762" s="63"/>
      <c r="J1762" s="63"/>
      <c r="K1762" s="63"/>
      <c r="L1762" s="63"/>
      <c r="M1762" s="63"/>
      <c r="N1762" s="63"/>
      <c r="O1762" s="51"/>
    </row>
    <row r="1763" spans="1:35" ht="12.75" customHeight="1" x14ac:dyDescent="0.2">
      <c r="A1763" s="423" t="s">
        <v>0</v>
      </c>
      <c r="B1763" s="378"/>
      <c r="C1763" s="378"/>
      <c r="D1763" s="378"/>
      <c r="E1763" s="378"/>
      <c r="F1763" s="378"/>
      <c r="G1763" s="374" t="s">
        <v>1</v>
      </c>
      <c r="H1763" s="374"/>
      <c r="I1763" s="374"/>
      <c r="J1763" s="374"/>
      <c r="K1763" s="374"/>
      <c r="L1763" s="374"/>
      <c r="M1763" s="374"/>
      <c r="N1763" s="374"/>
      <c r="O1763" s="374"/>
      <c r="P1763" s="374"/>
      <c r="Q1763" s="374"/>
      <c r="R1763" s="374"/>
      <c r="S1763" s="374"/>
      <c r="T1763" s="374"/>
      <c r="U1763" s="8"/>
      <c r="V1763" s="8"/>
      <c r="W1763" s="9"/>
      <c r="X1763" s="9"/>
      <c r="Y1763" s="378" t="s">
        <v>2</v>
      </c>
      <c r="Z1763" s="378"/>
      <c r="AA1763" s="378"/>
      <c r="AB1763" s="1"/>
    </row>
    <row r="1764" spans="1:35" ht="12.75" customHeight="1" x14ac:dyDescent="0.2">
      <c r="A1764" s="382"/>
      <c r="B1764" s="379"/>
      <c r="C1764" s="379"/>
      <c r="D1764" s="379"/>
      <c r="E1764" s="379"/>
      <c r="F1764" s="379"/>
      <c r="G1764" s="375"/>
      <c r="H1764" s="375"/>
      <c r="I1764" s="375"/>
      <c r="J1764" s="375"/>
      <c r="K1764" s="375"/>
      <c r="L1764" s="375"/>
      <c r="M1764" s="375"/>
      <c r="N1764" s="375"/>
      <c r="O1764" s="375"/>
      <c r="P1764" s="375"/>
      <c r="Q1764" s="375"/>
      <c r="R1764" s="375"/>
      <c r="S1764" s="375"/>
      <c r="T1764" s="375"/>
      <c r="U1764" s="6"/>
      <c r="V1764" s="6"/>
      <c r="W1764" s="10"/>
      <c r="X1764" s="14">
        <f>X1706+1</f>
        <v>32</v>
      </c>
      <c r="Y1764" s="379"/>
      <c r="Z1764" s="379"/>
      <c r="AA1764" s="379"/>
      <c r="AB1764" s="4"/>
    </row>
    <row r="1765" spans="1:35" x14ac:dyDescent="0.2">
      <c r="A1765" s="380" t="s">
        <v>3</v>
      </c>
      <c r="B1765" s="381"/>
      <c r="C1765" s="381"/>
      <c r="D1765" s="381"/>
      <c r="E1765" s="381"/>
      <c r="F1765" s="381"/>
      <c r="G1765" s="383" t="s">
        <v>5</v>
      </c>
      <c r="H1765" s="383"/>
      <c r="I1765" s="383"/>
      <c r="J1765" s="383"/>
      <c r="K1765" s="383"/>
      <c r="L1765" s="383"/>
      <c r="M1765" s="383"/>
      <c r="N1765" s="383"/>
      <c r="O1765" s="383"/>
      <c r="P1765" s="383"/>
      <c r="Q1765" s="383"/>
      <c r="R1765" s="383"/>
      <c r="S1765" s="383"/>
      <c r="T1765" s="383"/>
      <c r="U1765" s="5"/>
      <c r="V1765" s="5"/>
      <c r="W1765" s="2"/>
      <c r="X1765" s="384" t="s">
        <v>4</v>
      </c>
      <c r="Y1765" s="384"/>
      <c r="Z1765" s="384"/>
      <c r="AA1765" s="384"/>
      <c r="AB1765" s="385"/>
    </row>
    <row r="1766" spans="1:35" x14ac:dyDescent="0.2">
      <c r="A1766" s="382"/>
      <c r="B1766" s="379"/>
      <c r="C1766" s="379"/>
      <c r="D1766" s="379"/>
      <c r="E1766" s="379"/>
      <c r="F1766" s="379"/>
      <c r="G1766" s="388" t="s">
        <v>579</v>
      </c>
      <c r="H1766" s="388"/>
      <c r="I1766" s="388"/>
      <c r="J1766" s="388"/>
      <c r="K1766" s="388"/>
      <c r="L1766" s="388"/>
      <c r="M1766" s="388"/>
      <c r="N1766" s="388"/>
      <c r="O1766" s="388"/>
      <c r="P1766" s="388"/>
      <c r="Q1766" s="388"/>
      <c r="R1766" s="388"/>
      <c r="S1766" s="388"/>
      <c r="T1766" s="388"/>
      <c r="U1766" s="7"/>
      <c r="V1766" s="7"/>
      <c r="W1766" s="3"/>
      <c r="X1766" s="386"/>
      <c r="Y1766" s="386"/>
      <c r="Z1766" s="386"/>
      <c r="AA1766" s="386"/>
      <c r="AB1766" s="387"/>
      <c r="AE1766" s="294" t="s">
        <v>690</v>
      </c>
      <c r="AF1766" s="294"/>
      <c r="AG1766" s="294"/>
      <c r="AH1766" s="294"/>
      <c r="AI1766" s="294"/>
    </row>
    <row r="1767" spans="1:35" x14ac:dyDescent="0.2">
      <c r="B1767" s="398" t="s">
        <v>550</v>
      </c>
      <c r="C1767" s="398"/>
      <c r="D1767" s="398"/>
      <c r="E1767" s="398"/>
      <c r="F1767" s="398"/>
      <c r="G1767" s="398"/>
      <c r="H1767" s="398"/>
      <c r="I1767" s="398"/>
      <c r="J1767" s="398"/>
      <c r="K1767" s="398"/>
      <c r="L1767" s="398"/>
      <c r="M1767" s="398"/>
      <c r="N1767" s="398"/>
      <c r="O1767" s="398"/>
      <c r="P1767" s="398"/>
      <c r="Q1767" s="398"/>
    </row>
    <row r="1768" spans="1:35" x14ac:dyDescent="0.2">
      <c r="B1768" s="399"/>
      <c r="C1768" s="399"/>
      <c r="D1768" s="399"/>
      <c r="E1768" s="399"/>
      <c r="F1768" s="399"/>
      <c r="G1768" s="399"/>
      <c r="H1768" s="399"/>
      <c r="I1768" s="399"/>
      <c r="J1768" s="399"/>
      <c r="K1768" s="399"/>
      <c r="L1768" s="399"/>
      <c r="M1768" s="399"/>
      <c r="N1768" s="399"/>
      <c r="O1768" s="399"/>
      <c r="P1768" s="399"/>
      <c r="Q1768" s="399"/>
    </row>
    <row r="1770" spans="1:35" x14ac:dyDescent="0.2">
      <c r="Q1770" s="720" t="s">
        <v>387</v>
      </c>
      <c r="R1770" s="543"/>
      <c r="S1770" s="719" t="s">
        <v>685</v>
      </c>
      <c r="T1770" s="543"/>
      <c r="U1770" s="725" t="s">
        <v>683</v>
      </c>
      <c r="V1770" s="725"/>
      <c r="W1770" s="725"/>
      <c r="X1770" s="725" t="s">
        <v>684</v>
      </c>
      <c r="Y1770" s="725"/>
      <c r="Z1770" s="725"/>
      <c r="AA1770" s="725" t="s">
        <v>686</v>
      </c>
      <c r="AB1770" s="725"/>
      <c r="AC1770" s="725"/>
    </row>
    <row r="1771" spans="1:35" ht="15.75" x14ac:dyDescent="0.25">
      <c r="B1771" s="214" t="s">
        <v>552</v>
      </c>
      <c r="C1771" s="85"/>
      <c r="D1771" s="85"/>
      <c r="E1771" s="85"/>
      <c r="F1771" s="85"/>
      <c r="G1771" s="85"/>
      <c r="H1771" s="689" t="s">
        <v>554</v>
      </c>
      <c r="I1771" s="689"/>
      <c r="J1771" s="689"/>
      <c r="K1771" s="691" t="s">
        <v>553</v>
      </c>
      <c r="L1771" s="689"/>
      <c r="M1771" s="689"/>
      <c r="N1771" s="691" t="s">
        <v>558</v>
      </c>
      <c r="O1771" s="689"/>
      <c r="P1771" s="701"/>
      <c r="Q1771" s="720"/>
      <c r="R1771" s="543"/>
      <c r="S1771" s="720"/>
      <c r="T1771" s="543"/>
      <c r="U1771" s="728">
        <v>1.4E-2</v>
      </c>
      <c r="V1771" s="728"/>
      <c r="W1771" s="728"/>
      <c r="X1771" s="720">
        <v>1.3</v>
      </c>
      <c r="Y1771" s="543"/>
      <c r="Z1771" s="611"/>
      <c r="AA1771" s="719"/>
      <c r="AB1771" s="543"/>
      <c r="AC1771" s="611"/>
      <c r="AE1771" s="33" t="s">
        <v>555</v>
      </c>
    </row>
    <row r="1772" spans="1:35" ht="15.75" x14ac:dyDescent="0.25">
      <c r="B1772" s="686" t="s">
        <v>551</v>
      </c>
      <c r="C1772" s="687"/>
      <c r="D1772" s="687"/>
      <c r="E1772" s="687"/>
      <c r="F1772" s="687"/>
      <c r="G1772" s="687"/>
      <c r="H1772" s="690">
        <v>510</v>
      </c>
      <c r="I1772" s="690"/>
      <c r="J1772" s="690"/>
      <c r="K1772" s="690">
        <v>1</v>
      </c>
      <c r="L1772" s="690"/>
      <c r="M1772" s="690"/>
      <c r="N1772" s="702">
        <f>IF(H1772,H1772*K1772,"")</f>
        <v>510</v>
      </c>
      <c r="O1772" s="702"/>
      <c r="P1772" s="703"/>
      <c r="Q1772" s="482">
        <v>1</v>
      </c>
      <c r="R1772" s="307"/>
      <c r="S1772" s="482">
        <f>N1772/Q1772</f>
        <v>510</v>
      </c>
      <c r="T1772" s="307"/>
      <c r="U1772" s="482">
        <f>S1772*$U$1771</f>
        <v>7.1400000000000006</v>
      </c>
      <c r="V1772" s="307"/>
      <c r="W1772" s="483"/>
      <c r="X1772" s="726">
        <f>U1772*$X$1771</f>
        <v>9.2820000000000018</v>
      </c>
      <c r="Y1772" s="467"/>
      <c r="Z1772" s="727"/>
      <c r="AA1772" s="719" t="s">
        <v>687</v>
      </c>
      <c r="AB1772" s="543"/>
      <c r="AC1772" s="611"/>
      <c r="AE1772" t="s">
        <v>556</v>
      </c>
    </row>
    <row r="1773" spans="1:35" ht="15.75" x14ac:dyDescent="0.25">
      <c r="B1773" s="692" t="s">
        <v>677</v>
      </c>
      <c r="C1773" s="693"/>
      <c r="D1773" s="693"/>
      <c r="E1773" s="693"/>
      <c r="F1773" s="693"/>
      <c r="G1773" s="693"/>
      <c r="H1773" s="415">
        <v>300</v>
      </c>
      <c r="I1773" s="415"/>
      <c r="J1773" s="415"/>
      <c r="K1773" s="415">
        <v>0.8</v>
      </c>
      <c r="L1773" s="415"/>
      <c r="M1773" s="415"/>
      <c r="N1773" s="699">
        <f>IF(H1773,H1773*K1773,"")</f>
        <v>240</v>
      </c>
      <c r="O1773" s="699"/>
      <c r="P1773" s="700"/>
      <c r="Q1773" s="482">
        <v>1</v>
      </c>
      <c r="R1773" s="307"/>
      <c r="S1773" s="482">
        <f>N1773/Q1773</f>
        <v>240</v>
      </c>
      <c r="T1773" s="307"/>
      <c r="U1773" s="482">
        <f>S1773*$U$1771</f>
        <v>3.36</v>
      </c>
      <c r="V1773" s="307"/>
      <c r="W1773" s="483"/>
      <c r="X1773" s="482">
        <f>U1773*$X$1771</f>
        <v>4.3680000000000003</v>
      </c>
      <c r="Y1773" s="307"/>
      <c r="Z1773" s="483"/>
      <c r="AA1773" s="482"/>
      <c r="AB1773" s="307"/>
      <c r="AC1773" s="483"/>
    </row>
    <row r="1774" spans="1:35" ht="15.75" x14ac:dyDescent="0.25">
      <c r="B1774" s="692" t="s">
        <v>678</v>
      </c>
      <c r="C1774" s="693"/>
      <c r="D1774" s="693"/>
      <c r="E1774" s="693"/>
      <c r="F1774" s="693"/>
      <c r="G1774" s="693"/>
      <c r="H1774" s="415">
        <v>100</v>
      </c>
      <c r="I1774" s="415"/>
      <c r="J1774" s="415"/>
      <c r="K1774" s="415">
        <v>0.6</v>
      </c>
      <c r="L1774" s="415"/>
      <c r="M1774" s="415"/>
      <c r="N1774" s="699">
        <f>IF(H1774,H1774*K1774,"")</f>
        <v>60</v>
      </c>
      <c r="O1774" s="699"/>
      <c r="P1774" s="700"/>
      <c r="Q1774" s="482">
        <v>1</v>
      </c>
      <c r="R1774" s="307"/>
      <c r="S1774" s="482">
        <f>N1774/Q1774</f>
        <v>60</v>
      </c>
      <c r="T1774" s="307"/>
      <c r="U1774" s="482">
        <f>S1774*$U$1771</f>
        <v>0.84</v>
      </c>
      <c r="V1774" s="307"/>
      <c r="W1774" s="483"/>
      <c r="X1774" s="482">
        <f>U1774*$X$1771</f>
        <v>1.0920000000000001</v>
      </c>
      <c r="Y1774" s="307"/>
      <c r="Z1774" s="483"/>
      <c r="AA1774" s="482"/>
      <c r="AB1774" s="307"/>
      <c r="AC1774" s="483"/>
    </row>
    <row r="1775" spans="1:35" ht="15.75" x14ac:dyDescent="0.25">
      <c r="B1775" s="692" t="s">
        <v>679</v>
      </c>
      <c r="C1775" s="693"/>
      <c r="D1775" s="693"/>
      <c r="E1775" s="693"/>
      <c r="F1775" s="693"/>
      <c r="G1775" s="693"/>
      <c r="H1775" s="415">
        <v>100</v>
      </c>
      <c r="I1775" s="415"/>
      <c r="J1775" s="415"/>
      <c r="K1775" s="415">
        <v>0.1</v>
      </c>
      <c r="L1775" s="415"/>
      <c r="M1775" s="415"/>
      <c r="N1775" s="699">
        <f t="shared" ref="N1775:N1781" si="11">IF(H1775,H1775*K1775,"")</f>
        <v>10</v>
      </c>
      <c r="O1775" s="699"/>
      <c r="P1775" s="700"/>
      <c r="Q1775" s="482">
        <v>1</v>
      </c>
      <c r="R1775" s="307"/>
      <c r="S1775" s="482">
        <f>N1775/Q1775</f>
        <v>10</v>
      </c>
      <c r="T1775" s="307"/>
      <c r="U1775" s="482">
        <f>S1775*$U$1771</f>
        <v>0.14000000000000001</v>
      </c>
      <c r="V1775" s="307"/>
      <c r="W1775" s="483"/>
      <c r="X1775" s="482">
        <f>U1775*$X$1771</f>
        <v>0.18200000000000002</v>
      </c>
      <c r="Y1775" s="307"/>
      <c r="Z1775" s="483"/>
      <c r="AA1775" s="482"/>
      <c r="AB1775" s="307"/>
      <c r="AC1775" s="483"/>
    </row>
    <row r="1776" spans="1:35" ht="15.75" x14ac:dyDescent="0.25">
      <c r="B1776" s="692"/>
      <c r="C1776" s="693"/>
      <c r="D1776" s="693"/>
      <c r="E1776" s="693"/>
      <c r="F1776" s="693"/>
      <c r="G1776" s="693"/>
      <c r="H1776" s="415"/>
      <c r="I1776" s="415"/>
      <c r="J1776" s="415"/>
      <c r="K1776" s="415"/>
      <c r="L1776" s="415"/>
      <c r="M1776" s="415"/>
      <c r="N1776" s="699" t="str">
        <f t="shared" si="11"/>
        <v/>
      </c>
      <c r="O1776" s="699"/>
      <c r="P1776" s="700"/>
      <c r="Q1776" s="482"/>
      <c r="R1776" s="307"/>
      <c r="S1776" s="482"/>
      <c r="T1776" s="307"/>
      <c r="U1776" s="482" t="s">
        <v>533</v>
      </c>
      <c r="V1776" s="307"/>
      <c r="W1776" s="483"/>
      <c r="X1776" s="482" t="s">
        <v>533</v>
      </c>
      <c r="Y1776" s="307"/>
      <c r="Z1776" s="483"/>
      <c r="AA1776" s="482" t="s">
        <v>533</v>
      </c>
      <c r="AB1776" s="307"/>
      <c r="AC1776" s="483"/>
    </row>
    <row r="1777" spans="2:39" ht="15.75" x14ac:dyDescent="0.25">
      <c r="B1777" s="692"/>
      <c r="C1777" s="693"/>
      <c r="D1777" s="693"/>
      <c r="E1777" s="693"/>
      <c r="F1777" s="693"/>
      <c r="G1777" s="693"/>
      <c r="H1777" s="415"/>
      <c r="I1777" s="415"/>
      <c r="J1777" s="415"/>
      <c r="K1777" s="415"/>
      <c r="L1777" s="415"/>
      <c r="M1777" s="415"/>
      <c r="N1777" s="699" t="str">
        <f t="shared" si="11"/>
        <v/>
      </c>
      <c r="O1777" s="699"/>
      <c r="P1777" s="700"/>
      <c r="Q1777" s="482"/>
      <c r="R1777" s="307"/>
      <c r="S1777" s="482"/>
      <c r="T1777" s="307"/>
      <c r="U1777" s="482" t="s">
        <v>533</v>
      </c>
      <c r="V1777" s="307"/>
      <c r="W1777" s="483"/>
      <c r="X1777" s="482" t="s">
        <v>533</v>
      </c>
      <c r="Y1777" s="307"/>
      <c r="Z1777" s="483"/>
      <c r="AA1777" s="482" t="s">
        <v>533</v>
      </c>
      <c r="AB1777" s="307"/>
      <c r="AC1777" s="483"/>
    </row>
    <row r="1778" spans="2:39" ht="15.75" x14ac:dyDescent="0.25">
      <c r="B1778" s="692"/>
      <c r="C1778" s="693"/>
      <c r="D1778" s="693"/>
      <c r="E1778" s="693"/>
      <c r="F1778" s="693"/>
      <c r="G1778" s="693"/>
      <c r="H1778" s="415"/>
      <c r="I1778" s="415"/>
      <c r="J1778" s="415"/>
      <c r="K1778" s="415"/>
      <c r="L1778" s="415"/>
      <c r="M1778" s="415"/>
      <c r="N1778" s="699" t="str">
        <f t="shared" si="11"/>
        <v/>
      </c>
      <c r="O1778" s="699"/>
      <c r="P1778" s="700"/>
      <c r="Q1778" s="482"/>
      <c r="R1778" s="307"/>
      <c r="S1778" s="482"/>
      <c r="T1778" s="307"/>
      <c r="U1778" s="482" t="s">
        <v>533</v>
      </c>
      <c r="V1778" s="307"/>
      <c r="W1778" s="483"/>
      <c r="X1778" s="482" t="s">
        <v>533</v>
      </c>
      <c r="Y1778" s="307"/>
      <c r="Z1778" s="483"/>
      <c r="AA1778" s="482" t="s">
        <v>533</v>
      </c>
      <c r="AB1778" s="307"/>
      <c r="AC1778" s="483"/>
    </row>
    <row r="1779" spans="2:39" ht="15.75" x14ac:dyDescent="0.25">
      <c r="B1779" s="692"/>
      <c r="C1779" s="693"/>
      <c r="D1779" s="693"/>
      <c r="E1779" s="693"/>
      <c r="F1779" s="693"/>
      <c r="G1779" s="693"/>
      <c r="H1779" s="415"/>
      <c r="I1779" s="415"/>
      <c r="J1779" s="415"/>
      <c r="K1779" s="415"/>
      <c r="L1779" s="415"/>
      <c r="M1779" s="415"/>
      <c r="N1779" s="699" t="str">
        <f t="shared" si="11"/>
        <v/>
      </c>
      <c r="O1779" s="699"/>
      <c r="P1779" s="700"/>
      <c r="Q1779" s="482"/>
      <c r="R1779" s="307"/>
      <c r="S1779" s="482"/>
      <c r="T1779" s="307"/>
      <c r="U1779" s="482" t="s">
        <v>533</v>
      </c>
      <c r="V1779" s="307"/>
      <c r="W1779" s="483"/>
      <c r="X1779" s="482" t="s">
        <v>533</v>
      </c>
      <c r="Y1779" s="307"/>
      <c r="Z1779" s="483"/>
      <c r="AA1779" s="482" t="s">
        <v>533</v>
      </c>
      <c r="AB1779" s="307"/>
      <c r="AC1779" s="483"/>
    </row>
    <row r="1780" spans="2:39" ht="15.75" x14ac:dyDescent="0.25">
      <c r="B1780" s="692"/>
      <c r="C1780" s="693"/>
      <c r="D1780" s="693"/>
      <c r="E1780" s="693"/>
      <c r="F1780" s="693"/>
      <c r="G1780" s="693"/>
      <c r="H1780" s="415"/>
      <c r="I1780" s="415"/>
      <c r="J1780" s="415"/>
      <c r="K1780" s="415"/>
      <c r="L1780" s="415"/>
      <c r="M1780" s="415"/>
      <c r="N1780" s="699" t="str">
        <f t="shared" si="11"/>
        <v/>
      </c>
      <c r="O1780" s="699"/>
      <c r="P1780" s="700"/>
      <c r="Q1780" s="482"/>
      <c r="R1780" s="307"/>
      <c r="S1780" s="482"/>
      <c r="T1780" s="307"/>
      <c r="U1780" s="482" t="s">
        <v>533</v>
      </c>
      <c r="V1780" s="307"/>
      <c r="W1780" s="483"/>
      <c r="X1780" s="482" t="s">
        <v>533</v>
      </c>
      <c r="Y1780" s="307"/>
      <c r="Z1780" s="483"/>
      <c r="AA1780" s="482" t="s">
        <v>533</v>
      </c>
      <c r="AB1780" s="307"/>
      <c r="AC1780" s="483"/>
      <c r="AM1780" s="229"/>
    </row>
    <row r="1781" spans="2:39" ht="15.75" x14ac:dyDescent="0.25">
      <c r="B1781" s="694"/>
      <c r="C1781" s="695"/>
      <c r="D1781" s="695"/>
      <c r="E1781" s="695"/>
      <c r="F1781" s="695"/>
      <c r="G1781" s="695"/>
      <c r="H1781" s="688"/>
      <c r="I1781" s="688"/>
      <c r="J1781" s="688"/>
      <c r="K1781" s="688"/>
      <c r="L1781" s="688"/>
      <c r="M1781" s="688"/>
      <c r="N1781" s="699" t="str">
        <f t="shared" si="11"/>
        <v/>
      </c>
      <c r="O1781" s="699"/>
      <c r="P1781" s="700"/>
      <c r="Q1781" s="482"/>
      <c r="R1781" s="307"/>
      <c r="S1781" s="482"/>
      <c r="T1781" s="307"/>
      <c r="U1781" s="482" t="s">
        <v>533</v>
      </c>
      <c r="V1781" s="307"/>
      <c r="W1781" s="483"/>
      <c r="X1781" s="482" t="s">
        <v>533</v>
      </c>
      <c r="Y1781" s="307"/>
      <c r="Z1781" s="483"/>
      <c r="AA1781" s="482" t="s">
        <v>533</v>
      </c>
      <c r="AB1781" s="307"/>
      <c r="AC1781" s="483"/>
      <c r="AM1781" s="229"/>
    </row>
    <row r="1782" spans="2:39" ht="15" x14ac:dyDescent="0.2">
      <c r="B1782" s="696" t="s">
        <v>60</v>
      </c>
      <c r="C1782" s="697"/>
      <c r="D1782" s="697"/>
      <c r="E1782" s="697"/>
      <c r="F1782" s="697"/>
      <c r="G1782" s="698"/>
      <c r="H1782" s="707">
        <f>SUM(H1772:J1781)</f>
        <v>1010</v>
      </c>
      <c r="I1782" s="708"/>
      <c r="J1782" s="709"/>
      <c r="K1782" s="707"/>
      <c r="L1782" s="708"/>
      <c r="M1782" s="709"/>
      <c r="N1782" s="707">
        <f>SUM(N1772:P1781)</f>
        <v>820</v>
      </c>
      <c r="O1782" s="708"/>
      <c r="P1782" s="709"/>
      <c r="Q1782" s="721"/>
      <c r="R1782" s="418"/>
      <c r="S1782" s="721"/>
      <c r="T1782" s="418"/>
      <c r="U1782" s="721" t="s">
        <v>533</v>
      </c>
      <c r="V1782" s="418"/>
      <c r="W1782" s="722"/>
      <c r="X1782" s="721" t="s">
        <v>533</v>
      </c>
      <c r="Y1782" s="418"/>
      <c r="Z1782" s="722"/>
      <c r="AA1782" s="721" t="s">
        <v>533</v>
      </c>
      <c r="AB1782" s="418"/>
      <c r="AC1782" s="722"/>
      <c r="AM1782" s="229"/>
    </row>
    <row r="1783" spans="2:39" x14ac:dyDescent="0.2">
      <c r="V1783" s="467">
        <f>SUM(X1772:Z1782)</f>
        <v>14.924000000000003</v>
      </c>
      <c r="W1783" s="467"/>
      <c r="X1783" s="467"/>
      <c r="AK1783" s="229"/>
    </row>
    <row r="1784" spans="2:39" x14ac:dyDescent="0.2">
      <c r="AJ1784" s="229"/>
    </row>
    <row r="1785" spans="2:39" x14ac:dyDescent="0.2">
      <c r="B1785" s="724" t="s">
        <v>557</v>
      </c>
      <c r="C1785" s="724"/>
      <c r="D1785" s="724"/>
      <c r="E1785" s="724"/>
      <c r="F1785" s="724"/>
      <c r="G1785" s="724"/>
      <c r="H1785" s="724"/>
      <c r="I1785" s="724"/>
      <c r="J1785" s="724"/>
      <c r="K1785" s="724"/>
      <c r="L1785" s="724"/>
      <c r="M1785" s="724"/>
      <c r="N1785" s="418">
        <f>N1782</f>
        <v>820</v>
      </c>
      <c r="O1785" s="418"/>
      <c r="P1785" s="418"/>
      <c r="Q1785" s="421" t="s">
        <v>42</v>
      </c>
      <c r="R1785" s="723">
        <f>IF(N1786,N1785/N1786,"")</f>
        <v>0.81188118811881194</v>
      </c>
      <c r="S1785" s="723"/>
      <c r="T1785" s="723"/>
      <c r="AJ1785" s="229"/>
    </row>
    <row r="1786" spans="2:39" x14ac:dyDescent="0.2">
      <c r="B1786" s="724"/>
      <c r="C1786" s="724"/>
      <c r="D1786" s="724"/>
      <c r="E1786" s="724"/>
      <c r="F1786" s="724"/>
      <c r="G1786" s="724"/>
      <c r="H1786" s="724"/>
      <c r="I1786" s="724"/>
      <c r="J1786" s="724"/>
      <c r="K1786" s="724"/>
      <c r="L1786" s="724"/>
      <c r="M1786" s="724"/>
      <c r="N1786" s="521">
        <f>H1782</f>
        <v>1010</v>
      </c>
      <c r="O1786" s="521"/>
      <c r="P1786" s="521"/>
      <c r="Q1786" s="421"/>
      <c r="R1786" s="723"/>
      <c r="S1786" s="723"/>
      <c r="T1786" s="723"/>
    </row>
    <row r="1789" spans="2:39" x14ac:dyDescent="0.2">
      <c r="B1789" s="399" t="s">
        <v>549</v>
      </c>
      <c r="C1789" s="399"/>
      <c r="D1789" s="399"/>
      <c r="E1789" s="399"/>
      <c r="F1789" s="399"/>
      <c r="G1789" s="399"/>
      <c r="H1789" s="399"/>
      <c r="I1789" s="399"/>
      <c r="J1789" s="399"/>
      <c r="K1789" s="399"/>
      <c r="L1789" s="399"/>
      <c r="M1789" s="399"/>
      <c r="N1789" s="399"/>
      <c r="O1789" s="399"/>
      <c r="P1789" s="399"/>
      <c r="Q1789" s="399"/>
    </row>
    <row r="1790" spans="2:39" x14ac:dyDescent="0.2">
      <c r="B1790" s="399"/>
      <c r="C1790" s="399"/>
      <c r="D1790" s="399"/>
      <c r="E1790" s="399"/>
      <c r="F1790" s="399"/>
      <c r="G1790" s="399"/>
      <c r="H1790" s="399"/>
      <c r="I1790" s="399"/>
      <c r="J1790" s="399"/>
      <c r="K1790" s="399"/>
      <c r="L1790" s="399"/>
      <c r="M1790" s="399"/>
      <c r="N1790" s="399"/>
      <c r="O1790" s="399"/>
      <c r="P1790" s="399"/>
      <c r="Q1790" s="399"/>
    </row>
    <row r="1792" spans="2:39" ht="18" x14ac:dyDescent="0.25">
      <c r="B1792" s="44" t="s">
        <v>10</v>
      </c>
      <c r="D1792" s="704">
        <v>120</v>
      </c>
      <c r="E1792" s="704"/>
      <c r="F1792" s="704"/>
      <c r="G1792" s="44" t="s">
        <v>559</v>
      </c>
      <c r="AE1792" s="294" t="s">
        <v>690</v>
      </c>
      <c r="AF1792" s="294"/>
      <c r="AG1792" s="294"/>
      <c r="AH1792" s="294"/>
      <c r="AI1792" s="294"/>
    </row>
    <row r="1793" spans="2:12" ht="18" x14ac:dyDescent="0.25">
      <c r="B1793" s="44" t="s">
        <v>553</v>
      </c>
      <c r="D1793" s="704">
        <v>0.8</v>
      </c>
      <c r="E1793" s="704"/>
      <c r="F1793" s="704"/>
      <c r="G1793" s="44" t="s">
        <v>560</v>
      </c>
    </row>
    <row r="1794" spans="2:12" ht="18" x14ac:dyDescent="0.25">
      <c r="B1794" s="44" t="s">
        <v>561</v>
      </c>
      <c r="D1794" s="704">
        <v>25</v>
      </c>
      <c r="E1794" s="704"/>
      <c r="F1794" s="704"/>
      <c r="G1794" s="44" t="s">
        <v>562</v>
      </c>
    </row>
    <row r="1795" spans="2:12" ht="21" x14ac:dyDescent="0.25">
      <c r="B1795" s="44" t="s">
        <v>680</v>
      </c>
      <c r="D1795" s="704">
        <v>1.4E-2</v>
      </c>
      <c r="E1795" s="704"/>
      <c r="F1795" s="704"/>
      <c r="G1795" s="44" t="s">
        <v>681</v>
      </c>
    </row>
    <row r="1796" spans="2:12" ht="18" x14ac:dyDescent="0.25">
      <c r="B1796" s="44" t="s">
        <v>688</v>
      </c>
      <c r="D1796" s="704">
        <v>1</v>
      </c>
      <c r="E1796" s="704"/>
      <c r="F1796" s="704"/>
      <c r="G1796" s="44" t="s">
        <v>684</v>
      </c>
    </row>
    <row r="1797" spans="2:12" ht="9.9499999999999993" customHeight="1" x14ac:dyDescent="0.25">
      <c r="B1797" s="44"/>
      <c r="D1797" s="251"/>
      <c r="E1797" s="251"/>
      <c r="F1797" s="251"/>
      <c r="G1797" s="44"/>
    </row>
    <row r="1798" spans="2:12" ht="18" x14ac:dyDescent="0.25">
      <c r="B1798" s="44" t="s">
        <v>14</v>
      </c>
      <c r="D1798" s="704">
        <v>0.5</v>
      </c>
      <c r="E1798" s="704"/>
      <c r="F1798" s="704"/>
      <c r="G1798" s="44" t="s">
        <v>565</v>
      </c>
    </row>
    <row r="1799" spans="2:12" ht="18" x14ac:dyDescent="0.25">
      <c r="B1799" s="44" t="s">
        <v>11</v>
      </c>
      <c r="D1799" s="704">
        <v>0.5</v>
      </c>
      <c r="E1799" s="704"/>
      <c r="F1799" s="704"/>
      <c r="G1799" s="44" t="s">
        <v>566</v>
      </c>
    </row>
    <row r="1800" spans="2:12" ht="18" x14ac:dyDescent="0.25">
      <c r="B1800" s="44" t="s">
        <v>79</v>
      </c>
      <c r="D1800" s="704">
        <v>1</v>
      </c>
      <c r="E1800" s="704"/>
      <c r="F1800" s="704"/>
      <c r="G1800" s="44" t="s">
        <v>567</v>
      </c>
    </row>
    <row r="1801" spans="2:12" ht="18" x14ac:dyDescent="0.25">
      <c r="B1801" s="44"/>
      <c r="D1801" s="251"/>
      <c r="E1801" s="251"/>
      <c r="F1801" s="251"/>
      <c r="G1801" s="44"/>
    </row>
    <row r="1803" spans="2:12" ht="15" x14ac:dyDescent="0.2">
      <c r="B1803" s="217" t="s">
        <v>568</v>
      </c>
    </row>
    <row r="1804" spans="2:12" ht="19.5" x14ac:dyDescent="0.35">
      <c r="B1804" s="217" t="s">
        <v>564</v>
      </c>
      <c r="D1804" t="str">
        <f>D1792&amp;"∙"&amp;D1793&amp;"∙ "&amp;D1795&amp;" = "&amp;ROUND(D1792*D1793*D1795,2)&amp;" l/s"</f>
        <v>120∙0,8∙ 0,014 = 1,34 l/s</v>
      </c>
    </row>
    <row r="1805" spans="2:12" ht="6" customHeight="1" x14ac:dyDescent="0.2"/>
    <row r="1806" spans="2:12" ht="15" x14ac:dyDescent="0.2">
      <c r="B1806" s="217" t="s">
        <v>563</v>
      </c>
    </row>
    <row r="1807" spans="2:12" ht="12.75" customHeight="1" x14ac:dyDescent="0.2">
      <c r="B1807" s="421" t="s">
        <v>569</v>
      </c>
      <c r="C1807" s="421"/>
      <c r="D1807" s="418">
        <v>100</v>
      </c>
      <c r="E1807" s="418"/>
      <c r="F1807" s="476" t="str">
        <f>"0.6∙"&amp;ROUND(D1792*D1793*D1795,2)&amp;" = "&amp;ROUND((D1792*D1793*D1795)*D1796*0.6*100/D1794,3)&amp;" m³ "</f>
        <v xml:space="preserve">0.6∙1,34 = 3,226 m³ </v>
      </c>
      <c r="G1807" s="476"/>
      <c r="H1807" s="476"/>
      <c r="I1807" s="476"/>
      <c r="J1807" s="476"/>
      <c r="K1807" s="476"/>
      <c r="L1807" s="476"/>
    </row>
    <row r="1808" spans="2:12" x14ac:dyDescent="0.2">
      <c r="B1808" s="421"/>
      <c r="C1808" s="421"/>
      <c r="D1808" s="521">
        <f>D1794</f>
        <v>25</v>
      </c>
      <c r="E1808" s="521"/>
      <c r="F1808" s="476"/>
      <c r="G1808" s="476"/>
      <c r="H1808" s="476"/>
      <c r="I1808" s="476"/>
      <c r="J1808" s="476"/>
      <c r="K1808" s="476"/>
      <c r="L1808" s="476"/>
    </row>
    <row r="1809" spans="1:35" ht="6" customHeight="1" x14ac:dyDescent="0.2"/>
    <row r="1810" spans="1:35" ht="15" x14ac:dyDescent="0.2">
      <c r="B1810" s="217" t="s">
        <v>570</v>
      </c>
    </row>
    <row r="1811" spans="1:35" x14ac:dyDescent="0.2">
      <c r="B1811" t="str">
        <f>"A = ½("&amp;D1798&amp;"+"&amp;D1799&amp;")"&amp;D1800&amp;" = "&amp;ROUND(0.5*(D1798+D1799)*D1800,3)&amp;" m² "</f>
        <v xml:space="preserve">A = ½(0,5+0,5)1 = 0,5 m² </v>
      </c>
    </row>
    <row r="1812" spans="1:35" ht="6" customHeight="1" x14ac:dyDescent="0.2"/>
    <row r="1813" spans="1:35" ht="15" x14ac:dyDescent="0.2">
      <c r="B1813" s="217" t="s">
        <v>571</v>
      </c>
    </row>
    <row r="1814" spans="1:35" x14ac:dyDescent="0.2">
      <c r="B1814" s="421" t="s">
        <v>572</v>
      </c>
      <c r="C1814" s="421"/>
      <c r="D1814" s="705">
        <f>((D1792*D1793*D1795)*D1796*0.6*100/D1794)</f>
        <v>3.2256</v>
      </c>
      <c r="E1814" s="705"/>
      <c r="F1814" s="705"/>
      <c r="G1814" s="476" t="str">
        <f>IF(D1815," = "&amp;ROUND(D1814/D1815,2)&amp;" m","")</f>
        <v xml:space="preserve"> = 6,45 m</v>
      </c>
      <c r="H1814" s="476"/>
      <c r="I1814" s="476"/>
      <c r="J1814" s="476"/>
      <c r="K1814" s="476"/>
      <c r="L1814" s="476"/>
      <c r="M1814" s="476"/>
      <c r="P1814" s="19" t="s">
        <v>573</v>
      </c>
    </row>
    <row r="1815" spans="1:35" x14ac:dyDescent="0.2">
      <c r="B1815" s="421"/>
      <c r="C1815" s="421"/>
      <c r="D1815" s="706">
        <f>0.5*(D1798+D1799)*D1800</f>
        <v>0.5</v>
      </c>
      <c r="E1815" s="706"/>
      <c r="F1815" s="706"/>
      <c r="G1815" s="476"/>
      <c r="H1815" s="476"/>
      <c r="I1815" s="476"/>
      <c r="J1815" s="476"/>
      <c r="K1815" s="476"/>
      <c r="L1815" s="476"/>
      <c r="M1815" s="476"/>
      <c r="P1815" t="s">
        <v>448</v>
      </c>
      <c r="Q1815" t="s">
        <v>574</v>
      </c>
    </row>
    <row r="1816" spans="1:35" x14ac:dyDescent="0.2">
      <c r="Q1816" t="s">
        <v>575</v>
      </c>
    </row>
    <row r="1817" spans="1:35" x14ac:dyDescent="0.2">
      <c r="P1817" t="s">
        <v>448</v>
      </c>
      <c r="Q1817" t="s">
        <v>576</v>
      </c>
    </row>
    <row r="1818" spans="1:35" x14ac:dyDescent="0.2">
      <c r="Q1818" t="s">
        <v>577</v>
      </c>
    </row>
    <row r="1820" spans="1:35" x14ac:dyDescent="0.2">
      <c r="A1820" s="423" t="s">
        <v>0</v>
      </c>
      <c r="B1820" s="378"/>
      <c r="C1820" s="378"/>
      <c r="D1820" s="378"/>
      <c r="E1820" s="378"/>
      <c r="F1820" s="378"/>
      <c r="G1820" s="374" t="s">
        <v>1</v>
      </c>
      <c r="H1820" s="374"/>
      <c r="I1820" s="374"/>
      <c r="J1820" s="374"/>
      <c r="K1820" s="374"/>
      <c r="L1820" s="374"/>
      <c r="M1820" s="374"/>
      <c r="N1820" s="374"/>
      <c r="O1820" s="374"/>
      <c r="P1820" s="374"/>
      <c r="Q1820" s="374"/>
      <c r="R1820" s="374"/>
      <c r="S1820" s="374"/>
      <c r="T1820" s="374"/>
      <c r="U1820" s="8"/>
      <c r="V1820" s="8"/>
      <c r="W1820" s="9"/>
      <c r="X1820" s="9"/>
      <c r="Y1820" s="378" t="s">
        <v>2</v>
      </c>
      <c r="Z1820" s="378"/>
      <c r="AA1820" s="378"/>
      <c r="AB1820" s="1"/>
    </row>
    <row r="1821" spans="1:35" x14ac:dyDescent="0.2">
      <c r="A1821" s="382"/>
      <c r="B1821" s="379"/>
      <c r="C1821" s="379"/>
      <c r="D1821" s="379"/>
      <c r="E1821" s="379"/>
      <c r="F1821" s="379"/>
      <c r="G1821" s="375"/>
      <c r="H1821" s="375"/>
      <c r="I1821" s="375"/>
      <c r="J1821" s="375"/>
      <c r="K1821" s="375"/>
      <c r="L1821" s="375"/>
      <c r="M1821" s="375"/>
      <c r="N1821" s="375"/>
      <c r="O1821" s="375"/>
      <c r="P1821" s="375"/>
      <c r="Q1821" s="375"/>
      <c r="R1821" s="375"/>
      <c r="S1821" s="375"/>
      <c r="T1821" s="375"/>
      <c r="U1821" s="6"/>
      <c r="V1821" s="6"/>
      <c r="W1821" s="10"/>
      <c r="X1821" s="14">
        <f>X1764+1</f>
        <v>33</v>
      </c>
      <c r="Y1821" s="379"/>
      <c r="Z1821" s="379"/>
      <c r="AA1821" s="379"/>
      <c r="AB1821" s="4"/>
    </row>
    <row r="1822" spans="1:35" x14ac:dyDescent="0.2">
      <c r="A1822" s="380" t="s">
        <v>3</v>
      </c>
      <c r="B1822" s="381"/>
      <c r="C1822" s="381"/>
      <c r="D1822" s="381"/>
      <c r="E1822" s="381"/>
      <c r="F1822" s="381"/>
      <c r="G1822" s="383" t="s">
        <v>5</v>
      </c>
      <c r="H1822" s="383"/>
      <c r="I1822" s="383"/>
      <c r="J1822" s="383"/>
      <c r="K1822" s="383"/>
      <c r="L1822" s="383"/>
      <c r="M1822" s="383"/>
      <c r="N1822" s="383"/>
      <c r="O1822" s="383"/>
      <c r="P1822" s="383"/>
      <c r="Q1822" s="383"/>
      <c r="R1822" s="383"/>
      <c r="S1822" s="383"/>
      <c r="T1822" s="383"/>
      <c r="U1822" s="5"/>
      <c r="V1822" s="5"/>
      <c r="W1822" s="2"/>
      <c r="X1822" s="384" t="s">
        <v>4</v>
      </c>
      <c r="Y1822" s="384"/>
      <c r="Z1822" s="384"/>
      <c r="AA1822" s="384"/>
      <c r="AB1822" s="385"/>
      <c r="AE1822" s="294" t="s">
        <v>690</v>
      </c>
      <c r="AF1822" s="294"/>
      <c r="AG1822" s="294"/>
      <c r="AH1822" s="294"/>
      <c r="AI1822" s="294"/>
    </row>
    <row r="1823" spans="1:35" x14ac:dyDescent="0.2">
      <c r="A1823" s="382"/>
      <c r="B1823" s="379"/>
      <c r="C1823" s="379"/>
      <c r="D1823" s="379"/>
      <c r="E1823" s="379"/>
      <c r="F1823" s="379"/>
      <c r="G1823" s="388" t="s">
        <v>436</v>
      </c>
      <c r="H1823" s="388"/>
      <c r="I1823" s="388"/>
      <c r="J1823" s="388"/>
      <c r="K1823" s="388"/>
      <c r="L1823" s="388"/>
      <c r="M1823" s="388"/>
      <c r="N1823" s="388"/>
      <c r="O1823" s="388"/>
      <c r="P1823" s="388"/>
      <c r="Q1823" s="388"/>
      <c r="R1823" s="388"/>
      <c r="S1823" s="388"/>
      <c r="T1823" s="388"/>
      <c r="U1823" s="7"/>
      <c r="V1823" s="7"/>
      <c r="W1823" s="3"/>
      <c r="X1823" s="386"/>
      <c r="Y1823" s="386"/>
      <c r="Z1823" s="386"/>
      <c r="AA1823" s="386"/>
      <c r="AB1823" s="387"/>
    </row>
    <row r="1824" spans="1:35" x14ac:dyDescent="0.2">
      <c r="B1824" s="399" t="s">
        <v>580</v>
      </c>
      <c r="C1824" s="399"/>
      <c r="D1824" s="399"/>
      <c r="E1824" s="399"/>
      <c r="F1824" s="399"/>
      <c r="G1824" s="399"/>
      <c r="H1824" s="399"/>
      <c r="I1824" s="399"/>
      <c r="J1824" s="399"/>
      <c r="K1824" s="399"/>
      <c r="L1824" s="399"/>
      <c r="M1824" s="399"/>
      <c r="N1824" s="399"/>
      <c r="O1824" s="399"/>
      <c r="P1824" s="399"/>
      <c r="Q1824" s="399"/>
    </row>
    <row r="1825" spans="2:17" x14ac:dyDescent="0.2">
      <c r="B1825" s="399"/>
      <c r="C1825" s="399"/>
      <c r="D1825" s="399"/>
      <c r="E1825" s="399"/>
      <c r="F1825" s="399"/>
      <c r="G1825" s="399"/>
      <c r="H1825" s="399"/>
      <c r="I1825" s="399"/>
      <c r="J1825" s="399"/>
      <c r="K1825" s="399"/>
      <c r="L1825" s="399"/>
      <c r="M1825" s="399"/>
      <c r="N1825" s="399"/>
      <c r="O1825" s="399"/>
      <c r="P1825" s="399"/>
      <c r="Q1825" s="399"/>
    </row>
    <row r="1826" spans="2:17" ht="6" customHeight="1" x14ac:dyDescent="0.2"/>
    <row r="1827" spans="2:17" ht="18" x14ac:dyDescent="0.25">
      <c r="B1827" s="44" t="s">
        <v>10</v>
      </c>
      <c r="D1827" s="704">
        <v>120</v>
      </c>
      <c r="E1827" s="704"/>
      <c r="F1827" s="704"/>
      <c r="G1827" s="44" t="s">
        <v>559</v>
      </c>
    </row>
    <row r="1828" spans="2:17" ht="18" x14ac:dyDescent="0.25">
      <c r="B1828" s="44" t="s">
        <v>553</v>
      </c>
      <c r="D1828" s="704">
        <v>1</v>
      </c>
      <c r="E1828" s="704"/>
      <c r="F1828" s="704"/>
      <c r="G1828" s="44" t="s">
        <v>560</v>
      </c>
    </row>
    <row r="1829" spans="2:17" ht="18" x14ac:dyDescent="0.25">
      <c r="B1829" s="44" t="s">
        <v>561</v>
      </c>
      <c r="D1829" s="704">
        <v>95</v>
      </c>
      <c r="E1829" s="704"/>
      <c r="F1829" s="704"/>
      <c r="G1829" s="44" t="s">
        <v>587</v>
      </c>
    </row>
    <row r="1830" spans="2:17" ht="21" x14ac:dyDescent="0.25">
      <c r="B1830" s="44" t="s">
        <v>680</v>
      </c>
      <c r="D1830" s="704">
        <v>1.7000000000000001E-2</v>
      </c>
      <c r="E1830" s="704"/>
      <c r="F1830" s="704"/>
      <c r="G1830" s="44" t="s">
        <v>681</v>
      </c>
    </row>
    <row r="1831" spans="2:17" ht="18" x14ac:dyDescent="0.25">
      <c r="B1831" s="44" t="s">
        <v>688</v>
      </c>
      <c r="D1831" s="704">
        <v>1</v>
      </c>
      <c r="E1831" s="704"/>
      <c r="F1831" s="704"/>
      <c r="G1831" s="44" t="s">
        <v>684</v>
      </c>
    </row>
    <row r="1832" spans="2:17" ht="6" customHeight="1" x14ac:dyDescent="0.2"/>
    <row r="1833" spans="2:17" ht="18" x14ac:dyDescent="0.25">
      <c r="B1833" s="44" t="s">
        <v>588</v>
      </c>
    </row>
    <row r="1834" spans="2:17" ht="18" x14ac:dyDescent="0.25">
      <c r="B1834" s="44" t="s">
        <v>30</v>
      </c>
      <c r="D1834" s="704">
        <v>0.54</v>
      </c>
      <c r="E1834" s="704"/>
      <c r="F1834" s="704"/>
      <c r="G1834" s="44" t="s">
        <v>581</v>
      </c>
    </row>
    <row r="1835" spans="2:17" ht="18" x14ac:dyDescent="0.25">
      <c r="B1835" s="44" t="s">
        <v>14</v>
      </c>
      <c r="D1835" s="704">
        <v>0.54</v>
      </c>
      <c r="E1835" s="704"/>
      <c r="F1835" s="704"/>
      <c r="G1835" s="44" t="s">
        <v>582</v>
      </c>
    </row>
    <row r="1836" spans="2:17" ht="18" x14ac:dyDescent="0.25">
      <c r="B1836" s="44" t="s">
        <v>9</v>
      </c>
      <c r="D1836" s="704">
        <v>0.55000000000000004</v>
      </c>
      <c r="E1836" s="704"/>
      <c r="F1836" s="704"/>
      <c r="G1836" s="44" t="s">
        <v>583</v>
      </c>
    </row>
    <row r="1837" spans="2:17" ht="6" customHeight="1" x14ac:dyDescent="0.2"/>
    <row r="1838" spans="2:17" ht="15" x14ac:dyDescent="0.2">
      <c r="B1838" s="217" t="s">
        <v>568</v>
      </c>
    </row>
    <row r="1839" spans="2:17" ht="19.5" x14ac:dyDescent="0.35">
      <c r="B1839" s="217" t="s">
        <v>564</v>
      </c>
      <c r="D1839" t="str">
        <f>D1827&amp;"∙"&amp;D1828&amp;"∙ "&amp;D1830&amp;" = "&amp;ROUND(D1827*D1828*D1830,2)&amp;" l/s"</f>
        <v>120∙1∙ 0,017 = 2,04 l/s</v>
      </c>
    </row>
    <row r="1840" spans="2:17" ht="6" customHeight="1" x14ac:dyDescent="0.2"/>
    <row r="1841" spans="2:17" ht="15" x14ac:dyDescent="0.2">
      <c r="B1841" s="217" t="s">
        <v>563</v>
      </c>
    </row>
    <row r="1842" spans="2:17" x14ac:dyDescent="0.2">
      <c r="B1842" s="421" t="s">
        <v>569</v>
      </c>
      <c r="C1842" s="421"/>
      <c r="D1842" s="418">
        <v>100</v>
      </c>
      <c r="E1842" s="418"/>
      <c r="F1842" s="476" t="str">
        <f>"0.6∙"&amp;ROUND(D1827*D1828*D1830,2)&amp;" = "&amp;ROUND((D1827*D1828*D1830)*D1831*0.6*100/D1829,3)&amp;" m³ "</f>
        <v xml:space="preserve">0.6∙2,04 = 1,288 m³ </v>
      </c>
      <c r="G1842" s="476"/>
      <c r="H1842" s="476"/>
      <c r="I1842" s="476"/>
      <c r="J1842" s="476"/>
      <c r="K1842" s="476"/>
      <c r="L1842" s="476"/>
    </row>
    <row r="1843" spans="2:17" x14ac:dyDescent="0.2">
      <c r="B1843" s="421"/>
      <c r="C1843" s="421"/>
      <c r="D1843" s="521">
        <f>D1829</f>
        <v>95</v>
      </c>
      <c r="E1843" s="521"/>
      <c r="F1843" s="476"/>
      <c r="G1843" s="476"/>
      <c r="H1843" s="476"/>
      <c r="I1843" s="476"/>
      <c r="J1843" s="476"/>
      <c r="K1843" s="476"/>
      <c r="L1843" s="476"/>
    </row>
    <row r="1845" spans="2:17" ht="15" x14ac:dyDescent="0.2">
      <c r="B1845" s="217" t="s">
        <v>585</v>
      </c>
    </row>
    <row r="1846" spans="2:17" x14ac:dyDescent="0.2">
      <c r="B1846" t="str">
        <f>"V = "&amp;D1834&amp;"∙"&amp;D1835&amp;"∙"&amp;D1836&amp;" = "&amp;ROUND(D1834*D1835*D1836,3)&amp;" m³ "</f>
        <v xml:space="preserve">V = 0,54∙0,54∙0,55 = 0,16 m³ </v>
      </c>
    </row>
    <row r="1848" spans="2:17" ht="15" x14ac:dyDescent="0.2">
      <c r="B1848" s="217" t="s">
        <v>586</v>
      </c>
    </row>
    <row r="1849" spans="2:17" x14ac:dyDescent="0.2">
      <c r="B1849" s="421" t="s">
        <v>372</v>
      </c>
      <c r="C1849" s="421"/>
      <c r="D1849" s="705">
        <f>((D1827*D1828*D1830)*D1831*0.6*100/D1829)</f>
        <v>1.2884210526315789</v>
      </c>
      <c r="E1849" s="705"/>
      <c r="F1849" s="705"/>
      <c r="G1849" s="476" t="str">
        <f>IF(D1850," = "&amp;ROUND(D1849/D1850,2)&amp;" stk","")</f>
        <v xml:space="preserve"> = 8,03 stk</v>
      </c>
      <c r="H1849" s="476"/>
      <c r="I1849" s="476"/>
      <c r="J1849" s="476"/>
      <c r="K1849" s="476"/>
      <c r="L1849" s="476"/>
      <c r="M1849" s="476"/>
      <c r="P1849" s="19" t="s">
        <v>584</v>
      </c>
    </row>
    <row r="1850" spans="2:17" x14ac:dyDescent="0.2">
      <c r="B1850" s="421"/>
      <c r="C1850" s="421"/>
      <c r="D1850" s="706">
        <f>D1834*D1835*D1836</f>
        <v>0.16038000000000002</v>
      </c>
      <c r="E1850" s="706"/>
      <c r="F1850" s="706"/>
      <c r="G1850" s="476"/>
      <c r="H1850" s="476"/>
      <c r="I1850" s="476"/>
      <c r="J1850" s="476"/>
      <c r="K1850" s="476"/>
      <c r="L1850" s="476"/>
      <c r="M1850" s="476"/>
      <c r="P1850" t="s">
        <v>448</v>
      </c>
      <c r="Q1850" t="s">
        <v>574</v>
      </c>
    </row>
    <row r="1851" spans="2:17" x14ac:dyDescent="0.2">
      <c r="Q1851" t="s">
        <v>575</v>
      </c>
    </row>
    <row r="1852" spans="2:17" x14ac:dyDescent="0.2">
      <c r="P1852" t="s">
        <v>448</v>
      </c>
      <c r="Q1852" t="s">
        <v>576</v>
      </c>
    </row>
    <row r="1853" spans="2:17" x14ac:dyDescent="0.2">
      <c r="Q1853" t="s">
        <v>577</v>
      </c>
    </row>
  </sheetData>
  <mergeCells count="2144">
    <mergeCell ref="DW405:EA405"/>
    <mergeCell ref="R406:W406"/>
    <mergeCell ref="R405:W405"/>
    <mergeCell ref="X405:AI406"/>
    <mergeCell ref="DJ405:DN405"/>
    <mergeCell ref="R396:T396"/>
    <mergeCell ref="R391:U391"/>
    <mergeCell ref="Q396:Q397"/>
    <mergeCell ref="N394:Q394"/>
    <mergeCell ref="R394:T394"/>
    <mergeCell ref="Y396:Z397"/>
    <mergeCell ref="AA396:AA397"/>
    <mergeCell ref="AB397:AD397"/>
    <mergeCell ref="AB396:AD396"/>
    <mergeCell ref="AE396:AI397"/>
    <mergeCell ref="U396:X397"/>
    <mergeCell ref="Y398:Z399"/>
    <mergeCell ref="Q398:X399"/>
    <mergeCell ref="I400:I401"/>
    <mergeCell ref="I402:I403"/>
    <mergeCell ref="I405:I406"/>
    <mergeCell ref="I407:I408"/>
    <mergeCell ref="J407:K408"/>
    <mergeCell ref="L396:M397"/>
    <mergeCell ref="L398:M399"/>
    <mergeCell ref="N396:N397"/>
    <mergeCell ref="N398:N399"/>
    <mergeCell ref="R397:T397"/>
    <mergeCell ref="Q402:AI403"/>
    <mergeCell ref="Q400:AI401"/>
    <mergeCell ref="R404:T404"/>
    <mergeCell ref="K404:Q404"/>
    <mergeCell ref="Q405:Q406"/>
    <mergeCell ref="Q407:AI408"/>
    <mergeCell ref="J398:K399"/>
    <mergeCell ref="J400:K401"/>
    <mergeCell ref="J402:K403"/>
    <mergeCell ref="B53:K53"/>
    <mergeCell ref="P15:Y15"/>
    <mergeCell ref="P22:Y22"/>
    <mergeCell ref="P21:Y21"/>
    <mergeCell ref="P20:Y20"/>
    <mergeCell ref="P19:Y19"/>
    <mergeCell ref="P18:Y18"/>
    <mergeCell ref="P12:Y12"/>
    <mergeCell ref="P11:Y11"/>
    <mergeCell ref="P10:Y10"/>
    <mergeCell ref="P27:Y27"/>
    <mergeCell ref="P25:Y25"/>
    <mergeCell ref="P26:Y26"/>
    <mergeCell ref="F405:H406"/>
    <mergeCell ref="C405:E406"/>
    <mergeCell ref="B32:K32"/>
    <mergeCell ref="B31:K31"/>
    <mergeCell ref="B30:K30"/>
    <mergeCell ref="B29:K29"/>
    <mergeCell ref="B28:K28"/>
    <mergeCell ref="B27:K27"/>
    <mergeCell ref="B26:K26"/>
    <mergeCell ref="B25:K25"/>
    <mergeCell ref="B24:K24"/>
    <mergeCell ref="B23:K23"/>
    <mergeCell ref="B42:K42"/>
    <mergeCell ref="B41:K41"/>
    <mergeCell ref="B40:K40"/>
    <mergeCell ref="B39:K39"/>
    <mergeCell ref="B38:K38"/>
    <mergeCell ref="B37:K37"/>
    <mergeCell ref="B48:K48"/>
    <mergeCell ref="B47:K47"/>
    <mergeCell ref="B46:K46"/>
    <mergeCell ref="B45:K45"/>
    <mergeCell ref="S1779:T1779"/>
    <mergeCell ref="S1780:T1780"/>
    <mergeCell ref="S1781:T1781"/>
    <mergeCell ref="S1782:T1782"/>
    <mergeCell ref="R1785:T1786"/>
    <mergeCell ref="N1782:P1782"/>
    <mergeCell ref="B1785:M1786"/>
    <mergeCell ref="N1785:P1785"/>
    <mergeCell ref="AA1779:AC1779"/>
    <mergeCell ref="AA1780:AC1780"/>
    <mergeCell ref="AA1781:AC1781"/>
    <mergeCell ref="U1779:W1779"/>
    <mergeCell ref="U1780:W1780"/>
    <mergeCell ref="U1781:W1781"/>
    <mergeCell ref="X1780:Z1780"/>
    <mergeCell ref="X1781:Z1781"/>
    <mergeCell ref="U1773:W1773"/>
    <mergeCell ref="X1770:Z1770"/>
    <mergeCell ref="X1771:Z1771"/>
    <mergeCell ref="X1772:Z1772"/>
    <mergeCell ref="X1773:Z1773"/>
    <mergeCell ref="Q1770:R1770"/>
    <mergeCell ref="U1770:W1770"/>
    <mergeCell ref="U1771:W1771"/>
    <mergeCell ref="U1772:W1772"/>
    <mergeCell ref="Q1771:R1771"/>
    <mergeCell ref="Q1772:R1772"/>
    <mergeCell ref="Q1773:R1773"/>
    <mergeCell ref="AA1770:AC1770"/>
    <mergeCell ref="D1831:F1831"/>
    <mergeCell ref="D1796:F1796"/>
    <mergeCell ref="X1782:Z1782"/>
    <mergeCell ref="V1783:X1783"/>
    <mergeCell ref="AA1782:AC1782"/>
    <mergeCell ref="U1782:W1782"/>
    <mergeCell ref="X1779:Z1779"/>
    <mergeCell ref="D1827:F1827"/>
    <mergeCell ref="K1780:M1780"/>
    <mergeCell ref="H1781:J1781"/>
    <mergeCell ref="X1774:Z1774"/>
    <mergeCell ref="X1775:Z1775"/>
    <mergeCell ref="X1776:Z1776"/>
    <mergeCell ref="X1777:Z1777"/>
    <mergeCell ref="X1778:Z1778"/>
    <mergeCell ref="S1777:T1777"/>
    <mergeCell ref="S1778:T1778"/>
    <mergeCell ref="U1774:W1774"/>
    <mergeCell ref="U1775:W1775"/>
    <mergeCell ref="U1776:W1776"/>
    <mergeCell ref="U1777:W1777"/>
    <mergeCell ref="U1778:W1778"/>
    <mergeCell ref="Q1777:R1777"/>
    <mergeCell ref="Q1776:R1776"/>
    <mergeCell ref="Q1778:R1778"/>
    <mergeCell ref="Q1779:R1779"/>
    <mergeCell ref="Q1780:R1780"/>
    <mergeCell ref="Q1781:R1781"/>
    <mergeCell ref="Q1782:R1782"/>
    <mergeCell ref="Q1774:R1774"/>
    <mergeCell ref="Q1775:R1775"/>
    <mergeCell ref="B1776:G1776"/>
    <mergeCell ref="AA1771:AC1771"/>
    <mergeCell ref="AA1772:AC1772"/>
    <mergeCell ref="AA1773:AC1773"/>
    <mergeCell ref="AA1774:AC1774"/>
    <mergeCell ref="AA1775:AC1775"/>
    <mergeCell ref="AA1776:AC1776"/>
    <mergeCell ref="AA1777:AC1777"/>
    <mergeCell ref="AA1778:AC1778"/>
    <mergeCell ref="S1770:T1770"/>
    <mergeCell ref="S1771:T1771"/>
    <mergeCell ref="S1772:T1772"/>
    <mergeCell ref="S1773:T1773"/>
    <mergeCell ref="S1774:T1774"/>
    <mergeCell ref="S1775:T1775"/>
    <mergeCell ref="S1776:T1776"/>
    <mergeCell ref="O1589:R1589"/>
    <mergeCell ref="O1590:R1590"/>
    <mergeCell ref="N1620:P1620"/>
    <mergeCell ref="T1620:U1620"/>
    <mergeCell ref="V1620:X1620"/>
    <mergeCell ref="M1638:U1638"/>
    <mergeCell ref="N1621:P1621"/>
    <mergeCell ref="T1621:U1621"/>
    <mergeCell ref="V1621:X1621"/>
    <mergeCell ref="L1622:M1622"/>
    <mergeCell ref="N1622:P1622"/>
    <mergeCell ref="T1622:U1622"/>
    <mergeCell ref="V1622:X1622"/>
    <mergeCell ref="K1635:L1636"/>
    <mergeCell ref="M1635:O1635"/>
    <mergeCell ref="L1623:M1623"/>
    <mergeCell ref="N1623:P1623"/>
    <mergeCell ref="O1585:R1585"/>
    <mergeCell ref="O1586:R1586"/>
    <mergeCell ref="O1587:R1587"/>
    <mergeCell ref="O1588:R1588"/>
    <mergeCell ref="L1584:N1584"/>
    <mergeCell ref="O1583:R1583"/>
    <mergeCell ref="O1584:R1584"/>
    <mergeCell ref="B1590:C1590"/>
    <mergeCell ref="D1590:H1590"/>
    <mergeCell ref="I1590:K1590"/>
    <mergeCell ref="L1590:N1590"/>
    <mergeCell ref="B1589:C1589"/>
    <mergeCell ref="D1589:H1589"/>
    <mergeCell ref="I1589:K1589"/>
    <mergeCell ref="L1589:N1589"/>
    <mergeCell ref="B1588:C1588"/>
    <mergeCell ref="D1588:H1588"/>
    <mergeCell ref="I1588:K1588"/>
    <mergeCell ref="L1588:N1588"/>
    <mergeCell ref="B1587:C1587"/>
    <mergeCell ref="D1587:H1587"/>
    <mergeCell ref="I1587:K1587"/>
    <mergeCell ref="L1587:N1587"/>
    <mergeCell ref="B1586:C1586"/>
    <mergeCell ref="D1586:H1586"/>
    <mergeCell ref="I1586:K1586"/>
    <mergeCell ref="L1586:N1586"/>
    <mergeCell ref="B1585:C1585"/>
    <mergeCell ref="D1585:H1585"/>
    <mergeCell ref="I1585:K1585"/>
    <mergeCell ref="L1585:N1585"/>
    <mergeCell ref="B1580:N1581"/>
    <mergeCell ref="B1583:C1583"/>
    <mergeCell ref="I1583:K1583"/>
    <mergeCell ref="L1583:N1583"/>
    <mergeCell ref="D1583:H1583"/>
    <mergeCell ref="B1578:C1578"/>
    <mergeCell ref="D1578:F1578"/>
    <mergeCell ref="J1578:K1578"/>
    <mergeCell ref="L1578:N1578"/>
    <mergeCell ref="B1577:C1577"/>
    <mergeCell ref="D1577:F1577"/>
    <mergeCell ref="J1577:K1577"/>
    <mergeCell ref="L1577:N1577"/>
    <mergeCell ref="B1576:C1576"/>
    <mergeCell ref="D1576:F1576"/>
    <mergeCell ref="J1576:K1576"/>
    <mergeCell ref="L1576:N1576"/>
    <mergeCell ref="B1584:C1584"/>
    <mergeCell ref="D1584:H1584"/>
    <mergeCell ref="I1584:K1584"/>
    <mergeCell ref="B1575:C1575"/>
    <mergeCell ref="D1575:F1575"/>
    <mergeCell ref="J1575:K1575"/>
    <mergeCell ref="L1575:N1575"/>
    <mergeCell ref="L1573:N1573"/>
    <mergeCell ref="B1574:C1574"/>
    <mergeCell ref="D1574:F1574"/>
    <mergeCell ref="J1574:K1574"/>
    <mergeCell ref="L1574:N1574"/>
    <mergeCell ref="B1572:C1572"/>
    <mergeCell ref="J1572:K1572"/>
    <mergeCell ref="B1573:C1573"/>
    <mergeCell ref="D1573:F1573"/>
    <mergeCell ref="J1573:K1573"/>
    <mergeCell ref="C1566:D1566"/>
    <mergeCell ref="F1566:H1566"/>
    <mergeCell ref="I1566:J1566"/>
    <mergeCell ref="B1568:N1569"/>
    <mergeCell ref="C1564:D1564"/>
    <mergeCell ref="F1564:H1564"/>
    <mergeCell ref="I1564:J1564"/>
    <mergeCell ref="C1565:D1565"/>
    <mergeCell ref="F1565:H1565"/>
    <mergeCell ref="I1565:J1565"/>
    <mergeCell ref="C1562:D1562"/>
    <mergeCell ref="F1562:H1562"/>
    <mergeCell ref="I1562:J1562"/>
    <mergeCell ref="C1563:D1563"/>
    <mergeCell ref="F1563:H1563"/>
    <mergeCell ref="I1563:J1563"/>
    <mergeCell ref="B1556:V1557"/>
    <mergeCell ref="W1556:Z1557"/>
    <mergeCell ref="I1560:J1560"/>
    <mergeCell ref="C1561:D1561"/>
    <mergeCell ref="F1561:H1561"/>
    <mergeCell ref="I1561:J1561"/>
    <mergeCell ref="B1554:G1554"/>
    <mergeCell ref="H1554:I1554"/>
    <mergeCell ref="J1554:W1554"/>
    <mergeCell ref="X1554:Y1554"/>
    <mergeCell ref="B1553:G1553"/>
    <mergeCell ref="H1553:I1553"/>
    <mergeCell ref="J1553:W1553"/>
    <mergeCell ref="X1553:Y1553"/>
    <mergeCell ref="B1552:G1552"/>
    <mergeCell ref="H1552:I1552"/>
    <mergeCell ref="J1552:W1552"/>
    <mergeCell ref="X1552:Y1552"/>
    <mergeCell ref="B1551:G1551"/>
    <mergeCell ref="H1551:I1551"/>
    <mergeCell ref="J1551:W1551"/>
    <mergeCell ref="X1551:Y1551"/>
    <mergeCell ref="B1550:G1550"/>
    <mergeCell ref="H1550:I1550"/>
    <mergeCell ref="J1550:W1550"/>
    <mergeCell ref="X1550:Y1550"/>
    <mergeCell ref="B1549:G1549"/>
    <mergeCell ref="H1549:I1549"/>
    <mergeCell ref="J1549:W1549"/>
    <mergeCell ref="X1549:Y1549"/>
    <mergeCell ref="B1548:G1548"/>
    <mergeCell ref="H1548:I1548"/>
    <mergeCell ref="J1548:W1548"/>
    <mergeCell ref="X1548:Y1548"/>
    <mergeCell ref="B1547:G1547"/>
    <mergeCell ref="H1547:I1547"/>
    <mergeCell ref="J1547:W1547"/>
    <mergeCell ref="X1547:Y1547"/>
    <mergeCell ref="B1546:G1546"/>
    <mergeCell ref="H1546:I1546"/>
    <mergeCell ref="J1546:W1546"/>
    <mergeCell ref="X1546:Y1546"/>
    <mergeCell ref="B1545:G1545"/>
    <mergeCell ref="H1545:I1545"/>
    <mergeCell ref="J1545:W1545"/>
    <mergeCell ref="X1545:Y1545"/>
    <mergeCell ref="X1543:Y1543"/>
    <mergeCell ref="B1544:G1544"/>
    <mergeCell ref="H1544:I1544"/>
    <mergeCell ref="J1544:W1544"/>
    <mergeCell ref="X1544:Y1544"/>
    <mergeCell ref="B1539:Q1540"/>
    <mergeCell ref="B1541:Q1542"/>
    <mergeCell ref="B1543:G1543"/>
    <mergeCell ref="H1543:I1543"/>
    <mergeCell ref="J1543:W1543"/>
    <mergeCell ref="Y1535:AA1536"/>
    <mergeCell ref="A1537:F1538"/>
    <mergeCell ref="G1537:T1537"/>
    <mergeCell ref="X1537:AB1538"/>
    <mergeCell ref="G1538:T1538"/>
    <mergeCell ref="A1535:F1536"/>
    <mergeCell ref="G1535:T1536"/>
    <mergeCell ref="I1527:K1527"/>
    <mergeCell ref="L1528:N1528"/>
    <mergeCell ref="B1483:Q1484"/>
    <mergeCell ref="D1528:H1528"/>
    <mergeCell ref="L1519:N1519"/>
    <mergeCell ref="B1521:C1521"/>
    <mergeCell ref="D1533:H1533"/>
    <mergeCell ref="L1533:N1533"/>
    <mergeCell ref="I1531:K1531"/>
    <mergeCell ref="I1532:K1532"/>
    <mergeCell ref="I1533:K1533"/>
    <mergeCell ref="L1531:N1531"/>
    <mergeCell ref="L1532:N1532"/>
    <mergeCell ref="D1531:H1531"/>
    <mergeCell ref="D1532:H1532"/>
    <mergeCell ref="B1533:C1533"/>
    <mergeCell ref="B1527:C1527"/>
    <mergeCell ref="B1528:C1528"/>
    <mergeCell ref="B1529:C1529"/>
    <mergeCell ref="B1530:C1530"/>
    <mergeCell ref="B1531:C1531"/>
    <mergeCell ref="B1532:C1532"/>
    <mergeCell ref="I1530:K1530"/>
    <mergeCell ref="L1517:N1517"/>
    <mergeCell ref="L1518:N1518"/>
    <mergeCell ref="L1522:N1522"/>
    <mergeCell ref="L1520:N1520"/>
    <mergeCell ref="J1517:K1517"/>
    <mergeCell ref="W1500:Z1501"/>
    <mergeCell ref="B1512:N1513"/>
    <mergeCell ref="I1504:J1504"/>
    <mergeCell ref="C1505:D1505"/>
    <mergeCell ref="F1505:H1505"/>
    <mergeCell ref="I1505:J1505"/>
    <mergeCell ref="C1506:D1506"/>
    <mergeCell ref="F1506:H1506"/>
    <mergeCell ref="I1506:J1506"/>
    <mergeCell ref="B1500:V1501"/>
    <mergeCell ref="L1530:N1530"/>
    <mergeCell ref="B1524:N1525"/>
    <mergeCell ref="D1530:H1530"/>
    <mergeCell ref="I1528:K1528"/>
    <mergeCell ref="D1529:H1529"/>
    <mergeCell ref="L1529:N1529"/>
    <mergeCell ref="J1521:K1521"/>
    <mergeCell ref="L1521:N1521"/>
    <mergeCell ref="I1529:K1529"/>
    <mergeCell ref="D1519:F1519"/>
    <mergeCell ref="J1519:K1519"/>
    <mergeCell ref="B1522:C1522"/>
    <mergeCell ref="D1522:F1522"/>
    <mergeCell ref="J1522:K1522"/>
    <mergeCell ref="B1520:C1520"/>
    <mergeCell ref="D1520:F1520"/>
    <mergeCell ref="J1520:K1520"/>
    <mergeCell ref="B1519:C1519"/>
    <mergeCell ref="D1521:F1521"/>
    <mergeCell ref="Q1528:S1528"/>
    <mergeCell ref="D1527:H1527"/>
    <mergeCell ref="L1527:N1527"/>
    <mergeCell ref="C1508:D1508"/>
    <mergeCell ref="F1508:H1508"/>
    <mergeCell ref="I1508:J1508"/>
    <mergeCell ref="C1509:D1509"/>
    <mergeCell ref="F1509:H1509"/>
    <mergeCell ref="I1509:J1509"/>
    <mergeCell ref="C1507:D1507"/>
    <mergeCell ref="F1507:H1507"/>
    <mergeCell ref="I1507:J1507"/>
    <mergeCell ref="B1518:C1518"/>
    <mergeCell ref="D1518:F1518"/>
    <mergeCell ref="J1518:K1518"/>
    <mergeCell ref="B1517:C1517"/>
    <mergeCell ref="B1516:C1516"/>
    <mergeCell ref="J1516:K1516"/>
    <mergeCell ref="D1517:F1517"/>
    <mergeCell ref="C1510:D1510"/>
    <mergeCell ref="F1510:H1510"/>
    <mergeCell ref="I1510:J1510"/>
    <mergeCell ref="X1491:Y1491"/>
    <mergeCell ref="B1490:G1490"/>
    <mergeCell ref="H1490:I1490"/>
    <mergeCell ref="J1490:W1490"/>
    <mergeCell ref="X1490:Y1490"/>
    <mergeCell ref="B1489:G1489"/>
    <mergeCell ref="H1489:I1489"/>
    <mergeCell ref="J1489:W1489"/>
    <mergeCell ref="X1489:Y1489"/>
    <mergeCell ref="B1496:G1496"/>
    <mergeCell ref="H1496:I1496"/>
    <mergeCell ref="J1496:W1496"/>
    <mergeCell ref="X1496:Y1496"/>
    <mergeCell ref="B1495:G1495"/>
    <mergeCell ref="H1495:I1495"/>
    <mergeCell ref="J1495:W1495"/>
    <mergeCell ref="X1495:Y1495"/>
    <mergeCell ref="B1494:G1494"/>
    <mergeCell ref="H1494:I1494"/>
    <mergeCell ref="J1494:W1494"/>
    <mergeCell ref="X1494:Y1494"/>
    <mergeCell ref="X1488:Y1488"/>
    <mergeCell ref="B1487:G1487"/>
    <mergeCell ref="H1487:I1487"/>
    <mergeCell ref="J1487:W1487"/>
    <mergeCell ref="B1498:G1498"/>
    <mergeCell ref="H1498:I1498"/>
    <mergeCell ref="J1498:W1498"/>
    <mergeCell ref="X1498:Y1498"/>
    <mergeCell ref="B1497:G1497"/>
    <mergeCell ref="H1497:I1497"/>
    <mergeCell ref="J1497:W1497"/>
    <mergeCell ref="X1497:Y1497"/>
    <mergeCell ref="X1481:AB1482"/>
    <mergeCell ref="G1482:T1482"/>
    <mergeCell ref="I1463:J1463"/>
    <mergeCell ref="I1464:J1464"/>
    <mergeCell ref="A1479:F1480"/>
    <mergeCell ref="G1479:T1480"/>
    <mergeCell ref="U1469:V1469"/>
    <mergeCell ref="G1469:H1469"/>
    <mergeCell ref="G1474:H1474"/>
    <mergeCell ref="B1493:G1493"/>
    <mergeCell ref="H1493:I1493"/>
    <mergeCell ref="J1493:W1493"/>
    <mergeCell ref="X1493:Y1493"/>
    <mergeCell ref="B1492:G1492"/>
    <mergeCell ref="H1492:I1492"/>
    <mergeCell ref="J1492:W1492"/>
    <mergeCell ref="X1492:Y1492"/>
    <mergeCell ref="B1491:G1491"/>
    <mergeCell ref="H1491:I1491"/>
    <mergeCell ref="J1491:W1491"/>
    <mergeCell ref="D1792:F1792"/>
    <mergeCell ref="D1793:F1793"/>
    <mergeCell ref="D1794:F1794"/>
    <mergeCell ref="D1798:F1798"/>
    <mergeCell ref="D1795:F1795"/>
    <mergeCell ref="Q1785:Q1786"/>
    <mergeCell ref="L1456:N1456"/>
    <mergeCell ref="J1457:K1457"/>
    <mergeCell ref="L1457:N1457"/>
    <mergeCell ref="H1780:J1780"/>
    <mergeCell ref="Y1479:AA1480"/>
    <mergeCell ref="A1481:F1482"/>
    <mergeCell ref="G1481:T1481"/>
    <mergeCell ref="B1849:C1850"/>
    <mergeCell ref="D1849:F1849"/>
    <mergeCell ref="G1849:M1850"/>
    <mergeCell ref="D1850:F1850"/>
    <mergeCell ref="D1836:F1836"/>
    <mergeCell ref="B1842:C1843"/>
    <mergeCell ref="D1842:E1842"/>
    <mergeCell ref="F1842:L1843"/>
    <mergeCell ref="D1843:E1843"/>
    <mergeCell ref="D1828:F1828"/>
    <mergeCell ref="D1829:F1829"/>
    <mergeCell ref="D1834:F1834"/>
    <mergeCell ref="D1835:F1835"/>
    <mergeCell ref="D1830:F1830"/>
    <mergeCell ref="H1782:J1782"/>
    <mergeCell ref="K1782:M1782"/>
    <mergeCell ref="X1487:Y1487"/>
    <mergeCell ref="B1488:G1488"/>
    <mergeCell ref="H1488:I1488"/>
    <mergeCell ref="A1820:F1821"/>
    <mergeCell ref="G1820:T1821"/>
    <mergeCell ref="D1799:F1799"/>
    <mergeCell ref="D1800:F1800"/>
    <mergeCell ref="B1807:C1808"/>
    <mergeCell ref="D1807:E1807"/>
    <mergeCell ref="Y1820:AA1821"/>
    <mergeCell ref="A1822:F1823"/>
    <mergeCell ref="G1822:T1822"/>
    <mergeCell ref="X1822:AB1823"/>
    <mergeCell ref="G1823:T1823"/>
    <mergeCell ref="B1814:C1815"/>
    <mergeCell ref="D1814:F1814"/>
    <mergeCell ref="D1815:F1815"/>
    <mergeCell ref="G1814:M1815"/>
    <mergeCell ref="D1808:E1808"/>
    <mergeCell ref="F1807:L1808"/>
    <mergeCell ref="B1779:G1779"/>
    <mergeCell ref="B1778:G1778"/>
    <mergeCell ref="N1775:P1775"/>
    <mergeCell ref="N1776:P1776"/>
    <mergeCell ref="N1777:P1777"/>
    <mergeCell ref="N1778:P1778"/>
    <mergeCell ref="Y17:Z17"/>
    <mergeCell ref="Y24:Z24"/>
    <mergeCell ref="B1824:Q1825"/>
    <mergeCell ref="J1458:K1458"/>
    <mergeCell ref="L1458:N1458"/>
    <mergeCell ref="D1456:F1456"/>
    <mergeCell ref="D1457:F1457"/>
    <mergeCell ref="D1458:F1458"/>
    <mergeCell ref="B1448:N1449"/>
    <mergeCell ref="J1452:K1452"/>
    <mergeCell ref="J1453:K1453"/>
    <mergeCell ref="L1453:N1453"/>
    <mergeCell ref="J1455:K1455"/>
    <mergeCell ref="L1455:N1455"/>
    <mergeCell ref="J1456:K1456"/>
    <mergeCell ref="B1453:C1453"/>
    <mergeCell ref="B1485:Q1486"/>
    <mergeCell ref="U1474:V1474"/>
    <mergeCell ref="N1771:P1771"/>
    <mergeCell ref="N1772:P1772"/>
    <mergeCell ref="N1773:P1773"/>
    <mergeCell ref="B1452:C1452"/>
    <mergeCell ref="B1454:C1454"/>
    <mergeCell ref="B1455:C1455"/>
    <mergeCell ref="N1774:P1774"/>
    <mergeCell ref="J1454:K1454"/>
    <mergeCell ref="B1772:G1772"/>
    <mergeCell ref="K1781:M1781"/>
    <mergeCell ref="H1778:J1778"/>
    <mergeCell ref="K1778:M1778"/>
    <mergeCell ref="H1779:J1779"/>
    <mergeCell ref="K1779:M1779"/>
    <mergeCell ref="K1775:M1775"/>
    <mergeCell ref="H1776:J1776"/>
    <mergeCell ref="K1776:M1776"/>
    <mergeCell ref="H1777:J1777"/>
    <mergeCell ref="K1777:M1777"/>
    <mergeCell ref="B1789:Q1790"/>
    <mergeCell ref="H1771:J1771"/>
    <mergeCell ref="H1772:J1772"/>
    <mergeCell ref="K1771:M1771"/>
    <mergeCell ref="K1772:M1772"/>
    <mergeCell ref="H1773:J1773"/>
    <mergeCell ref="K1773:M1773"/>
    <mergeCell ref="H1774:J1774"/>
    <mergeCell ref="K1774:M1774"/>
    <mergeCell ref="H1775:J1775"/>
    <mergeCell ref="N1786:P1786"/>
    <mergeCell ref="B1780:G1780"/>
    <mergeCell ref="B1781:G1781"/>
    <mergeCell ref="B1782:G1782"/>
    <mergeCell ref="N1779:P1779"/>
    <mergeCell ref="N1780:P1780"/>
    <mergeCell ref="N1781:P1781"/>
    <mergeCell ref="B1773:G1773"/>
    <mergeCell ref="B1774:G1774"/>
    <mergeCell ref="B1775:G1775"/>
    <mergeCell ref="B1777:G1777"/>
    <mergeCell ref="Q1397:R1397"/>
    <mergeCell ref="W1397:Y1397"/>
    <mergeCell ref="Q1396:R1396"/>
    <mergeCell ref="S1396:U1396"/>
    <mergeCell ref="V1396:W1396"/>
    <mergeCell ref="X1396:Y1396"/>
    <mergeCell ref="H1434:I1434"/>
    <mergeCell ref="H1435:I1435"/>
    <mergeCell ref="H1436:I1436"/>
    <mergeCell ref="Q1395:R1395"/>
    <mergeCell ref="S1395:U1395"/>
    <mergeCell ref="V1395:W1395"/>
    <mergeCell ref="X1395:Y1395"/>
    <mergeCell ref="Q1393:R1393"/>
    <mergeCell ref="V1393:W1393"/>
    <mergeCell ref="X1393:Y1393"/>
    <mergeCell ref="S1393:U1393"/>
    <mergeCell ref="B1428:Q1429"/>
    <mergeCell ref="Q1392:R1392"/>
    <mergeCell ref="V1392:W1392"/>
    <mergeCell ref="X1392:Y1392"/>
    <mergeCell ref="S1392:U1392"/>
    <mergeCell ref="V1390:W1390"/>
    <mergeCell ref="X1390:Y1390"/>
    <mergeCell ref="V1391:W1391"/>
    <mergeCell ref="X1391:Y1391"/>
    <mergeCell ref="S1390:U1390"/>
    <mergeCell ref="S1391:U1391"/>
    <mergeCell ref="Q1390:R1390"/>
    <mergeCell ref="Q1391:R1391"/>
    <mergeCell ref="Q1389:R1389"/>
    <mergeCell ref="S1389:U1389"/>
    <mergeCell ref="V1389:W1389"/>
    <mergeCell ref="X1389:Y1389"/>
    <mergeCell ref="B1389:C1389"/>
    <mergeCell ref="G1389:I1389"/>
    <mergeCell ref="B1388:C1388"/>
    <mergeCell ref="D1388:E1388"/>
    <mergeCell ref="F1388:G1388"/>
    <mergeCell ref="H1388:I1388"/>
    <mergeCell ref="Q1387:R1387"/>
    <mergeCell ref="S1387:U1387"/>
    <mergeCell ref="V1387:W1387"/>
    <mergeCell ref="X1387:Y1387"/>
    <mergeCell ref="Q1386:R1386"/>
    <mergeCell ref="S1386:U1386"/>
    <mergeCell ref="V1386:W1386"/>
    <mergeCell ref="X1386:Y1386"/>
    <mergeCell ref="Q1385:R1385"/>
    <mergeCell ref="S1385:U1385"/>
    <mergeCell ref="V1385:W1385"/>
    <mergeCell ref="X1385:Y1385"/>
    <mergeCell ref="Q1384:R1384"/>
    <mergeCell ref="S1384:U1384"/>
    <mergeCell ref="V1384:W1384"/>
    <mergeCell ref="X1384:Y1384"/>
    <mergeCell ref="Q1388:R1388"/>
    <mergeCell ref="S1388:U1388"/>
    <mergeCell ref="Q1383:R1383"/>
    <mergeCell ref="S1383:U1383"/>
    <mergeCell ref="V1383:W1383"/>
    <mergeCell ref="X1383:Y1383"/>
    <mergeCell ref="B1387:C1387"/>
    <mergeCell ref="D1387:E1387"/>
    <mergeCell ref="F1387:G1387"/>
    <mergeCell ref="H1387:I1387"/>
    <mergeCell ref="B1386:C1386"/>
    <mergeCell ref="D1386:E1386"/>
    <mergeCell ref="F1386:G1386"/>
    <mergeCell ref="H1386:I1386"/>
    <mergeCell ref="B1385:C1385"/>
    <mergeCell ref="D1385:E1385"/>
    <mergeCell ref="F1385:G1385"/>
    <mergeCell ref="H1385:I1385"/>
    <mergeCell ref="B1384:C1384"/>
    <mergeCell ref="D1384:E1384"/>
    <mergeCell ref="F1384:G1384"/>
    <mergeCell ref="H1384:I1384"/>
    <mergeCell ref="B1383:C1383"/>
    <mergeCell ref="D1383:E1383"/>
    <mergeCell ref="F1383:G1383"/>
    <mergeCell ref="H1383:I1383"/>
    <mergeCell ref="B1382:C1382"/>
    <mergeCell ref="D1382:E1382"/>
    <mergeCell ref="F1382:G1382"/>
    <mergeCell ref="H1382:I1382"/>
    <mergeCell ref="B1381:C1381"/>
    <mergeCell ref="D1381:E1381"/>
    <mergeCell ref="F1381:G1381"/>
    <mergeCell ref="H1381:I1381"/>
    <mergeCell ref="Q1382:R1382"/>
    <mergeCell ref="V1382:W1382"/>
    <mergeCell ref="X1382:Y1382"/>
    <mergeCell ref="S1382:U1382"/>
    <mergeCell ref="B1380:C1380"/>
    <mergeCell ref="D1380:E1380"/>
    <mergeCell ref="F1380:G1380"/>
    <mergeCell ref="H1380:I1380"/>
    <mergeCell ref="S1380:U1380"/>
    <mergeCell ref="V1380:W1380"/>
    <mergeCell ref="B1379:C1379"/>
    <mergeCell ref="D1379:E1379"/>
    <mergeCell ref="F1379:G1379"/>
    <mergeCell ref="H1379:I1379"/>
    <mergeCell ref="Q1378:R1378"/>
    <mergeCell ref="S1378:U1378"/>
    <mergeCell ref="H1378:I1378"/>
    <mergeCell ref="Q1381:R1381"/>
    <mergeCell ref="S1381:U1381"/>
    <mergeCell ref="V1381:W1381"/>
    <mergeCell ref="X1381:Y1381"/>
    <mergeCell ref="V1379:W1379"/>
    <mergeCell ref="X1379:Y1379"/>
    <mergeCell ref="S1379:U1379"/>
    <mergeCell ref="Q1380:R1380"/>
    <mergeCell ref="X1380:Y1380"/>
    <mergeCell ref="Q1379:R1379"/>
    <mergeCell ref="G1327:H1327"/>
    <mergeCell ref="G1328:H1328"/>
    <mergeCell ref="I1327:K1328"/>
    <mergeCell ref="P1327:R1328"/>
    <mergeCell ref="N1283:N1284"/>
    <mergeCell ref="B1327:B1328"/>
    <mergeCell ref="O1283:Q1283"/>
    <mergeCell ref="V1376:W1376"/>
    <mergeCell ref="X1376:Y1376"/>
    <mergeCell ref="Q1377:R1377"/>
    <mergeCell ref="V1377:W1377"/>
    <mergeCell ref="X1377:Y1377"/>
    <mergeCell ref="S1376:U1376"/>
    <mergeCell ref="S1377:U1377"/>
    <mergeCell ref="V1378:W1378"/>
    <mergeCell ref="X1378:Y1378"/>
    <mergeCell ref="V1373:X1374"/>
    <mergeCell ref="B1377:C1377"/>
    <mergeCell ref="D1377:E1377"/>
    <mergeCell ref="F1377:G1377"/>
    <mergeCell ref="F1376:G1376"/>
    <mergeCell ref="H1376:I1376"/>
    <mergeCell ref="H1377:I1377"/>
    <mergeCell ref="B1376:C1376"/>
    <mergeCell ref="D1376:E1376"/>
    <mergeCell ref="Q1376:R1376"/>
    <mergeCell ref="B1373:D1374"/>
    <mergeCell ref="Q1373:U1374"/>
    <mergeCell ref="E1373:G1374"/>
    <mergeCell ref="B1378:C1378"/>
    <mergeCell ref="D1378:E1378"/>
    <mergeCell ref="F1378:G1378"/>
    <mergeCell ref="A1261:B1263"/>
    <mergeCell ref="N1261:Q1264"/>
    <mergeCell ref="L1259:M1261"/>
    <mergeCell ref="K1265:L1267"/>
    <mergeCell ref="O1268:P1270"/>
    <mergeCell ref="M1267:N1268"/>
    <mergeCell ref="C1260:E1262"/>
    <mergeCell ref="Y14:Z14"/>
    <mergeCell ref="B1370:P1371"/>
    <mergeCell ref="V1388:W1388"/>
    <mergeCell ref="X1388:Y1388"/>
    <mergeCell ref="A1366:F1367"/>
    <mergeCell ref="G1366:T1367"/>
    <mergeCell ref="Y1366:AA1367"/>
    <mergeCell ref="A1368:F1369"/>
    <mergeCell ref="G1368:T1368"/>
    <mergeCell ref="X1368:AB1369"/>
    <mergeCell ref="G1369:T1369"/>
    <mergeCell ref="B1315:R1315"/>
    <mergeCell ref="B1329:AA1329"/>
    <mergeCell ref="S1315:AA1315"/>
    <mergeCell ref="S1327:AA1328"/>
    <mergeCell ref="L1327:L1328"/>
    <mergeCell ref="M1327:O1327"/>
    <mergeCell ref="M1328:O1328"/>
    <mergeCell ref="S1320:T1320"/>
    <mergeCell ref="U1324:W1324"/>
    <mergeCell ref="M1325:O1325"/>
    <mergeCell ref="U1325:W1325"/>
    <mergeCell ref="F1327:F1328"/>
    <mergeCell ref="C1327:E1327"/>
    <mergeCell ref="C1328:E1328"/>
    <mergeCell ref="Y1308:AA1309"/>
    <mergeCell ref="B1287:AA1288"/>
    <mergeCell ref="B1290:M1291"/>
    <mergeCell ref="O1286:Q1286"/>
    <mergeCell ref="N1285:N1286"/>
    <mergeCell ref="A1308:F1309"/>
    <mergeCell ref="A1310:F1311"/>
    <mergeCell ref="G1310:T1310"/>
    <mergeCell ref="X1310:AB1311"/>
    <mergeCell ref="G1311:T1311"/>
    <mergeCell ref="V1275:X1277"/>
    <mergeCell ref="T1276:U1278"/>
    <mergeCell ref="N1281:P1282"/>
    <mergeCell ref="Q1281:S1281"/>
    <mergeCell ref="Q1282:S1282"/>
    <mergeCell ref="B1281:C1282"/>
    <mergeCell ref="H1304:J1304"/>
    <mergeCell ref="K1302:Q1302"/>
    <mergeCell ref="K1303:Q1303"/>
    <mergeCell ref="L1304:S1304"/>
    <mergeCell ref="R1285:S1286"/>
    <mergeCell ref="R1283:S1284"/>
    <mergeCell ref="O1284:Q1284"/>
    <mergeCell ref="D1285:H1286"/>
    <mergeCell ref="I1285:M1286"/>
    <mergeCell ref="B1283:C1284"/>
    <mergeCell ref="D1283:H1284"/>
    <mergeCell ref="I1283:M1284"/>
    <mergeCell ref="T1285:AA1286"/>
    <mergeCell ref="R1248:U1248"/>
    <mergeCell ref="V1248:AB1248"/>
    <mergeCell ref="K52:L52"/>
    <mergeCell ref="A1250:F1251"/>
    <mergeCell ref="G1250:T1251"/>
    <mergeCell ref="Y1250:AA1251"/>
    <mergeCell ref="A1248:E1248"/>
    <mergeCell ref="F1248:I1248"/>
    <mergeCell ref="J1248:M1248"/>
    <mergeCell ref="N1248:Q1248"/>
    <mergeCell ref="A1252:F1253"/>
    <mergeCell ref="G1252:T1252"/>
    <mergeCell ref="X1252:AB1253"/>
    <mergeCell ref="G1253:T1253"/>
    <mergeCell ref="R1246:U1246"/>
    <mergeCell ref="V1246:AB1246"/>
    <mergeCell ref="R1247:U1247"/>
    <mergeCell ref="V1247:AB1247"/>
    <mergeCell ref="A1247:E1247"/>
    <mergeCell ref="F1247:I1247"/>
    <mergeCell ref="J1247:M1247"/>
    <mergeCell ref="N1247:Q1247"/>
    <mergeCell ref="A1246:E1246"/>
    <mergeCell ref="B510:H511"/>
    <mergeCell ref="B514:K515"/>
    <mergeCell ref="F1246:I1246"/>
    <mergeCell ref="J1246:M1246"/>
    <mergeCell ref="N1246:Q1246"/>
    <mergeCell ref="A1223:E1223"/>
    <mergeCell ref="F1223:I1223"/>
    <mergeCell ref="J1223:M1223"/>
    <mergeCell ref="N1223:Q1223"/>
    <mergeCell ref="R1228:U1228"/>
    <mergeCell ref="V1228:AB1228"/>
    <mergeCell ref="R1227:U1227"/>
    <mergeCell ref="V1227:AB1227"/>
    <mergeCell ref="A1226:E1226"/>
    <mergeCell ref="F1226:I1226"/>
    <mergeCell ref="R1229:U1229"/>
    <mergeCell ref="V1229:AB1229"/>
    <mergeCell ref="R1230:U1230"/>
    <mergeCell ref="V1230:AB1230"/>
    <mergeCell ref="A1229:E1229"/>
    <mergeCell ref="F1229:I1229"/>
    <mergeCell ref="J1229:M1229"/>
    <mergeCell ref="N1229:Q1229"/>
    <mergeCell ref="A1230:E1230"/>
    <mergeCell ref="F1230:I1230"/>
    <mergeCell ref="J1230:M1230"/>
    <mergeCell ref="N1230:Q1230"/>
    <mergeCell ref="A1228:E1228"/>
    <mergeCell ref="F1228:I1228"/>
    <mergeCell ref="J1228:M1228"/>
    <mergeCell ref="N1228:Q1228"/>
    <mergeCell ref="R1226:U1226"/>
    <mergeCell ref="V1226:AB1226"/>
    <mergeCell ref="A1225:E1225"/>
    <mergeCell ref="F1225:I1225"/>
    <mergeCell ref="J1225:M1225"/>
    <mergeCell ref="N1225:Q1225"/>
    <mergeCell ref="R1225:U1225"/>
    <mergeCell ref="V1225:AB1225"/>
    <mergeCell ref="J1226:M1226"/>
    <mergeCell ref="N1226:Q1226"/>
    <mergeCell ref="R1222:U1222"/>
    <mergeCell ref="V1222:AB1222"/>
    <mergeCell ref="A1224:E1224"/>
    <mergeCell ref="F1224:I1224"/>
    <mergeCell ref="J1224:M1224"/>
    <mergeCell ref="N1224:Q1224"/>
    <mergeCell ref="R1224:U1224"/>
    <mergeCell ref="V1224:AB1224"/>
    <mergeCell ref="R1223:U1223"/>
    <mergeCell ref="V1223:AB1223"/>
    <mergeCell ref="R1245:U1245"/>
    <mergeCell ref="V1245:AB1245"/>
    <mergeCell ref="A1244:E1244"/>
    <mergeCell ref="F1244:I1244"/>
    <mergeCell ref="A1245:E1245"/>
    <mergeCell ref="F1245:I1245"/>
    <mergeCell ref="J1245:M1245"/>
    <mergeCell ref="N1245:Q1245"/>
    <mergeCell ref="J1244:M1244"/>
    <mergeCell ref="N1244:Q1244"/>
    <mergeCell ref="R1242:U1242"/>
    <mergeCell ref="V1242:AB1242"/>
    <mergeCell ref="R1243:U1243"/>
    <mergeCell ref="V1243:AB1243"/>
    <mergeCell ref="R1244:U1244"/>
    <mergeCell ref="V1244:AB1244"/>
    <mergeCell ref="A1243:E1243"/>
    <mergeCell ref="F1243:I1243"/>
    <mergeCell ref="J1243:M1243"/>
    <mergeCell ref="N1243:Q1243"/>
    <mergeCell ref="A1242:E1242"/>
    <mergeCell ref="F1242:I1242"/>
    <mergeCell ref="J1242:M1242"/>
    <mergeCell ref="N1242:Q1242"/>
    <mergeCell ref="V1241:AB1241"/>
    <mergeCell ref="A1240:E1240"/>
    <mergeCell ref="F1240:I1240"/>
    <mergeCell ref="A1241:E1241"/>
    <mergeCell ref="F1241:I1241"/>
    <mergeCell ref="J1241:M1241"/>
    <mergeCell ref="N1241:Q1241"/>
    <mergeCell ref="J1240:M1240"/>
    <mergeCell ref="N1240:Q1240"/>
    <mergeCell ref="R1238:U1238"/>
    <mergeCell ref="V1238:AB1238"/>
    <mergeCell ref="R1239:U1239"/>
    <mergeCell ref="V1239:AB1239"/>
    <mergeCell ref="R1240:U1240"/>
    <mergeCell ref="V1240:AB1240"/>
    <mergeCell ref="A1239:E1239"/>
    <mergeCell ref="F1239:I1239"/>
    <mergeCell ref="J1239:M1239"/>
    <mergeCell ref="N1239:Q1239"/>
    <mergeCell ref="A1238:E1238"/>
    <mergeCell ref="F1238:I1238"/>
    <mergeCell ref="J1238:M1238"/>
    <mergeCell ref="N1238:Q1238"/>
    <mergeCell ref="R1241:U1241"/>
    <mergeCell ref="R1237:U1237"/>
    <mergeCell ref="V1237:AB1237"/>
    <mergeCell ref="A1236:E1236"/>
    <mergeCell ref="F1236:I1236"/>
    <mergeCell ref="A1237:E1237"/>
    <mergeCell ref="F1237:I1237"/>
    <mergeCell ref="J1237:M1237"/>
    <mergeCell ref="N1237:Q1237"/>
    <mergeCell ref="J1236:M1236"/>
    <mergeCell ref="N1236:Q1236"/>
    <mergeCell ref="R1234:U1234"/>
    <mergeCell ref="V1234:AB1234"/>
    <mergeCell ref="R1235:U1235"/>
    <mergeCell ref="V1235:AB1235"/>
    <mergeCell ref="R1236:U1236"/>
    <mergeCell ref="V1236:AB1236"/>
    <mergeCell ref="A1235:E1235"/>
    <mergeCell ref="F1235:I1235"/>
    <mergeCell ref="J1235:M1235"/>
    <mergeCell ref="N1235:Q1235"/>
    <mergeCell ref="A1234:E1234"/>
    <mergeCell ref="F1234:I1234"/>
    <mergeCell ref="J1234:M1234"/>
    <mergeCell ref="N1234:Q1234"/>
    <mergeCell ref="R1233:U1233"/>
    <mergeCell ref="V1233:AB1233"/>
    <mergeCell ref="A1232:E1232"/>
    <mergeCell ref="F1232:I1232"/>
    <mergeCell ref="A1233:E1233"/>
    <mergeCell ref="F1233:I1233"/>
    <mergeCell ref="J1233:M1233"/>
    <mergeCell ref="N1233:Q1233"/>
    <mergeCell ref="J1232:M1232"/>
    <mergeCell ref="N1232:Q1232"/>
    <mergeCell ref="J1221:M1221"/>
    <mergeCell ref="N1221:Q1221"/>
    <mergeCell ref="R1232:U1232"/>
    <mergeCell ref="V1232:AB1232"/>
    <mergeCell ref="R1221:U1221"/>
    <mergeCell ref="V1221:AB1221"/>
    <mergeCell ref="R1231:U1231"/>
    <mergeCell ref="V1231:AB1231"/>
    <mergeCell ref="J1222:M1222"/>
    <mergeCell ref="N1222:Q1222"/>
    <mergeCell ref="A1231:E1231"/>
    <mergeCell ref="F1231:I1231"/>
    <mergeCell ref="J1231:M1231"/>
    <mergeCell ref="N1231:Q1231"/>
    <mergeCell ref="A1222:E1222"/>
    <mergeCell ref="F1222:I1222"/>
    <mergeCell ref="A1227:E1227"/>
    <mergeCell ref="F1227:I1227"/>
    <mergeCell ref="J1227:M1227"/>
    <mergeCell ref="N1227:Q1227"/>
    <mergeCell ref="A1221:E1221"/>
    <mergeCell ref="F1221:I1221"/>
    <mergeCell ref="Y1207:AA1208"/>
    <mergeCell ref="A1209:F1210"/>
    <mergeCell ref="G1209:T1209"/>
    <mergeCell ref="X1209:AB1210"/>
    <mergeCell ref="G1210:T1210"/>
    <mergeCell ref="AA311:AA312"/>
    <mergeCell ref="V1218:AB1218"/>
    <mergeCell ref="R1219:U1219"/>
    <mergeCell ref="V1219:AB1219"/>
    <mergeCell ref="A1218:E1218"/>
    <mergeCell ref="F1218:I1218"/>
    <mergeCell ref="J1218:M1218"/>
    <mergeCell ref="N1218:Q1218"/>
    <mergeCell ref="A1217:E1217"/>
    <mergeCell ref="F1217:I1217"/>
    <mergeCell ref="J1217:M1217"/>
    <mergeCell ref="N1217:Q1217"/>
    <mergeCell ref="A1214:E1214"/>
    <mergeCell ref="F1214:I1214"/>
    <mergeCell ref="J1214:M1214"/>
    <mergeCell ref="N1214:Q1214"/>
    <mergeCell ref="A1211:E1211"/>
    <mergeCell ref="F1211:I1211"/>
    <mergeCell ref="A1213:E1213"/>
    <mergeCell ref="F1213:I1213"/>
    <mergeCell ref="A1212:E1212"/>
    <mergeCell ref="L330:O331"/>
    <mergeCell ref="P447:T448"/>
    <mergeCell ref="P482:T483"/>
    <mergeCell ref="R507:V508"/>
    <mergeCell ref="N501:Q502"/>
    <mergeCell ref="S314:S315"/>
    <mergeCell ref="B302:H303"/>
    <mergeCell ref="D342:F342"/>
    <mergeCell ref="J309:J310"/>
    <mergeCell ref="M314:P315"/>
    <mergeCell ref="Q314:Q315"/>
    <mergeCell ref="R314:R315"/>
    <mergeCell ref="K323:M324"/>
    <mergeCell ref="S308:T308"/>
    <mergeCell ref="S309:T309"/>
    <mergeCell ref="U308:U309"/>
    <mergeCell ref="M311:P312"/>
    <mergeCell ref="A357:F358"/>
    <mergeCell ref="R1216:U1216"/>
    <mergeCell ref="V1216:AB1216"/>
    <mergeCell ref="A1215:E1215"/>
    <mergeCell ref="F1215:I1215"/>
    <mergeCell ref="A1216:E1216"/>
    <mergeCell ref="F1216:I1216"/>
    <mergeCell ref="J1216:M1216"/>
    <mergeCell ref="N1216:Q1216"/>
    <mergeCell ref="J1215:M1215"/>
    <mergeCell ref="N1215:Q1215"/>
    <mergeCell ref="F1212:I1212"/>
    <mergeCell ref="R1215:U1215"/>
    <mergeCell ref="V1215:AB1215"/>
    <mergeCell ref="J1213:M1213"/>
    <mergeCell ref="N1213:Q1213"/>
    <mergeCell ref="R1213:U1213"/>
    <mergeCell ref="V1213:AB1213"/>
    <mergeCell ref="R1214:U1214"/>
    <mergeCell ref="V1214:AB1214"/>
    <mergeCell ref="A1207:F1208"/>
    <mergeCell ref="R305:S306"/>
    <mergeCell ref="M305:Q306"/>
    <mergeCell ref="M308:Q309"/>
    <mergeCell ref="R308:R309"/>
    <mergeCell ref="G1207:T1208"/>
    <mergeCell ref="F407:H408"/>
    <mergeCell ref="C407:E408"/>
    <mergeCell ref="Y119:AA120"/>
    <mergeCell ref="C113:D113"/>
    <mergeCell ref="C112:D112"/>
    <mergeCell ref="E112:F112"/>
    <mergeCell ref="C114:D114"/>
    <mergeCell ref="E114:F114"/>
    <mergeCell ref="G114:H114"/>
    <mergeCell ref="K114:N114"/>
    <mergeCell ref="K115:N115"/>
    <mergeCell ref="H214:I215"/>
    <mergeCell ref="I198:K198"/>
    <mergeCell ref="I199:K199"/>
    <mergeCell ref="I201:K201"/>
    <mergeCell ref="I203:K203"/>
    <mergeCell ref="I202:K202"/>
    <mergeCell ref="I206:K206"/>
    <mergeCell ref="I207:K207"/>
    <mergeCell ref="I208:K208"/>
    <mergeCell ref="I205:K205"/>
    <mergeCell ref="Y178:AA179"/>
    <mergeCell ref="A180:F181"/>
    <mergeCell ref="G180:T180"/>
    <mergeCell ref="X180:AB181"/>
    <mergeCell ref="G181:T181"/>
    <mergeCell ref="X121:AB122"/>
    <mergeCell ref="A178:F179"/>
    <mergeCell ref="G178:T179"/>
    <mergeCell ref="C110:D110"/>
    <mergeCell ref="E110:F110"/>
    <mergeCell ref="B183:D184"/>
    <mergeCell ref="E109:F109"/>
    <mergeCell ref="D147:F147"/>
    <mergeCell ref="D148:F148"/>
    <mergeCell ref="D149:F149"/>
    <mergeCell ref="D141:F141"/>
    <mergeCell ref="E127:G128"/>
    <mergeCell ref="E158:G159"/>
    <mergeCell ref="E161:F161"/>
    <mergeCell ref="C111:D111"/>
    <mergeCell ref="E111:F111"/>
    <mergeCell ref="D142:F142"/>
    <mergeCell ref="A121:F122"/>
    <mergeCell ref="G121:T121"/>
    <mergeCell ref="I114:J114"/>
    <mergeCell ref="G122:T122"/>
    <mergeCell ref="G119:T120"/>
    <mergeCell ref="E113:F113"/>
    <mergeCell ref="A119:F120"/>
    <mergeCell ref="K111:N111"/>
    <mergeCell ref="G109:H109"/>
    <mergeCell ref="D93:F93"/>
    <mergeCell ref="G111:H111"/>
    <mergeCell ref="I110:J110"/>
    <mergeCell ref="I107:J107"/>
    <mergeCell ref="C107:D107"/>
    <mergeCell ref="B67:E68"/>
    <mergeCell ref="D85:F85"/>
    <mergeCell ref="D86:F86"/>
    <mergeCell ref="D88:F88"/>
    <mergeCell ref="C109:D109"/>
    <mergeCell ref="K110:N110"/>
    <mergeCell ref="N101:O102"/>
    <mergeCell ref="I109:J109"/>
    <mergeCell ref="K109:N109"/>
    <mergeCell ref="G110:H110"/>
    <mergeCell ref="K112:N112"/>
    <mergeCell ref="I112:J112"/>
    <mergeCell ref="G112:H112"/>
    <mergeCell ref="E107:F107"/>
    <mergeCell ref="E108:F108"/>
    <mergeCell ref="G108:H108"/>
    <mergeCell ref="K108:N108"/>
    <mergeCell ref="X60:AB61"/>
    <mergeCell ref="G60:T60"/>
    <mergeCell ref="C108:D108"/>
    <mergeCell ref="D94:F94"/>
    <mergeCell ref="P97:Q98"/>
    <mergeCell ref="B63:F64"/>
    <mergeCell ref="D89:F89"/>
    <mergeCell ref="D90:F90"/>
    <mergeCell ref="D92:F92"/>
    <mergeCell ref="V99:W100"/>
    <mergeCell ref="T103:U104"/>
    <mergeCell ref="R100:S101"/>
    <mergeCell ref="I108:J108"/>
    <mergeCell ref="K107:N107"/>
    <mergeCell ref="G107:H107"/>
    <mergeCell ref="I111:J111"/>
    <mergeCell ref="G113:H113"/>
    <mergeCell ref="I113:J113"/>
    <mergeCell ref="K113:N113"/>
    <mergeCell ref="B6:H7"/>
    <mergeCell ref="D70:E72"/>
    <mergeCell ref="E69:F69"/>
    <mergeCell ref="G70:H71"/>
    <mergeCell ref="G61:T61"/>
    <mergeCell ref="A58:F59"/>
    <mergeCell ref="K44:L44"/>
    <mergeCell ref="A60:F61"/>
    <mergeCell ref="G58:T59"/>
    <mergeCell ref="A1:F2"/>
    <mergeCell ref="G1:T2"/>
    <mergeCell ref="K36:L36"/>
    <mergeCell ref="Y1:AA2"/>
    <mergeCell ref="A3:F4"/>
    <mergeCell ref="G3:T3"/>
    <mergeCell ref="X3:AB4"/>
    <mergeCell ref="G4:T4"/>
    <mergeCell ref="Y9:Z9"/>
    <mergeCell ref="B20:K20"/>
    <mergeCell ref="B22:K22"/>
    <mergeCell ref="B21:K21"/>
    <mergeCell ref="B17:K17"/>
    <mergeCell ref="B16:K16"/>
    <mergeCell ref="B15:K15"/>
    <mergeCell ref="B14:K14"/>
    <mergeCell ref="B13:K13"/>
    <mergeCell ref="B12:K12"/>
    <mergeCell ref="B10:K10"/>
    <mergeCell ref="B11:K11"/>
    <mergeCell ref="B34:K34"/>
    <mergeCell ref="B33:K33"/>
    <mergeCell ref="Y58:AA59"/>
    <mergeCell ref="I188:J190"/>
    <mergeCell ref="N188:P190"/>
    <mergeCell ref="Y229:AA229"/>
    <mergeCell ref="Y230:AA230"/>
    <mergeCell ref="B217:D218"/>
    <mergeCell ref="E217:F218"/>
    <mergeCell ref="H217:H218"/>
    <mergeCell ref="I217:J218"/>
    <mergeCell ref="D229:F230"/>
    <mergeCell ref="B224:E225"/>
    <mergeCell ref="G224:G225"/>
    <mergeCell ref="C229:C230"/>
    <mergeCell ref="B198:G199"/>
    <mergeCell ref="B201:G203"/>
    <mergeCell ref="B220:E221"/>
    <mergeCell ref="G220:G221"/>
    <mergeCell ref="G214:G215"/>
    <mergeCell ref="B205:G208"/>
    <mergeCell ref="B211:E212"/>
    <mergeCell ref="B214:D215"/>
    <mergeCell ref="E214:F214"/>
    <mergeCell ref="E215:F215"/>
    <mergeCell ref="E191:F191"/>
    <mergeCell ref="S188:T190"/>
    <mergeCell ref="Y188:Z190"/>
    <mergeCell ref="H273:V274"/>
    <mergeCell ref="Y272:AA272"/>
    <mergeCell ref="Y274:AA274"/>
    <mergeCell ref="L270:M270"/>
    <mergeCell ref="F222:F223"/>
    <mergeCell ref="B222:D223"/>
    <mergeCell ref="C231:C232"/>
    <mergeCell ref="D231:F232"/>
    <mergeCell ref="H231:V232"/>
    <mergeCell ref="H229:V230"/>
    <mergeCell ref="F261:G261"/>
    <mergeCell ref="C265:E266"/>
    <mergeCell ref="C263:F264"/>
    <mergeCell ref="H263:H264"/>
    <mergeCell ref="Q260:R261"/>
    <mergeCell ref="T260:T261"/>
    <mergeCell ref="N260:P261"/>
    <mergeCell ref="Y231:AA231"/>
    <mergeCell ref="Y232:AA232"/>
    <mergeCell ref="Y233:AA233"/>
    <mergeCell ref="Y234:AA234"/>
    <mergeCell ref="H233:V234"/>
    <mergeCell ref="U260:V261"/>
    <mergeCell ref="Y298:AA299"/>
    <mergeCell ref="X300:AB301"/>
    <mergeCell ref="B278:H279"/>
    <mergeCell ref="H294:S295"/>
    <mergeCell ref="D294:F295"/>
    <mergeCell ref="C294:C295"/>
    <mergeCell ref="G301:T301"/>
    <mergeCell ref="A238:F239"/>
    <mergeCell ref="G238:T239"/>
    <mergeCell ref="D270:F270"/>
    <mergeCell ref="B242:H243"/>
    <mergeCell ref="C260:E261"/>
    <mergeCell ref="F260:G260"/>
    <mergeCell ref="H260:H261"/>
    <mergeCell ref="G265:G266"/>
    <mergeCell ref="C267:F268"/>
    <mergeCell ref="H267:H268"/>
    <mergeCell ref="A298:F299"/>
    <mergeCell ref="G298:T299"/>
    <mergeCell ref="A300:F301"/>
    <mergeCell ref="G300:T300"/>
    <mergeCell ref="D273:F274"/>
    <mergeCell ref="C273:C274"/>
    <mergeCell ref="Y238:AA239"/>
    <mergeCell ref="A240:F241"/>
    <mergeCell ref="G240:T240"/>
    <mergeCell ref="X240:AB241"/>
    <mergeCell ref="G241:T241"/>
    <mergeCell ref="Y276:AA276"/>
    <mergeCell ref="Y271:AA271"/>
    <mergeCell ref="H271:V272"/>
    <mergeCell ref="Y273:AA273"/>
    <mergeCell ref="Q311:Q312"/>
    <mergeCell ref="S311:T312"/>
    <mergeCell ref="P323:R324"/>
    <mergeCell ref="D321:F321"/>
    <mergeCell ref="D322:F322"/>
    <mergeCell ref="N323:O323"/>
    <mergeCell ref="N324:O324"/>
    <mergeCell ref="J323:J324"/>
    <mergeCell ref="D341:F341"/>
    <mergeCell ref="O321:P322"/>
    <mergeCell ref="Q321:T322"/>
    <mergeCell ref="B327:H328"/>
    <mergeCell ref="D323:I323"/>
    <mergeCell ref="D324:I324"/>
    <mergeCell ref="K321:L322"/>
    <mergeCell ref="M321:N321"/>
    <mergeCell ref="J321:J322"/>
    <mergeCell ref="M322:N322"/>
    <mergeCell ref="G357:T358"/>
    <mergeCell ref="Y357:AA358"/>
    <mergeCell ref="A359:F360"/>
    <mergeCell ref="G359:T359"/>
    <mergeCell ref="X359:AB360"/>
    <mergeCell ref="G360:T360"/>
    <mergeCell ref="T323:Y324"/>
    <mergeCell ref="C380:E380"/>
    <mergeCell ref="C381:E381"/>
    <mergeCell ref="B383:H384"/>
    <mergeCell ref="B362:H363"/>
    <mergeCell ref="I374:J375"/>
    <mergeCell ref="B365:H366"/>
    <mergeCell ref="C379:E379"/>
    <mergeCell ref="B411:H412"/>
    <mergeCell ref="S323:S324"/>
    <mergeCell ref="B407:B408"/>
    <mergeCell ref="B405:B406"/>
    <mergeCell ref="F402:H403"/>
    <mergeCell ref="C402:E403"/>
    <mergeCell ref="B402:B403"/>
    <mergeCell ref="F400:H401"/>
    <mergeCell ref="C400:E401"/>
    <mergeCell ref="B400:B401"/>
    <mergeCell ref="F398:H399"/>
    <mergeCell ref="C398:E399"/>
    <mergeCell ref="B398:B399"/>
    <mergeCell ref="F396:H397"/>
    <mergeCell ref="C396:E397"/>
    <mergeCell ref="B396:B397"/>
    <mergeCell ref="I396:I397"/>
    <mergeCell ref="I398:I399"/>
    <mergeCell ref="D425:F425"/>
    <mergeCell ref="Y429:AA430"/>
    <mergeCell ref="D427:F427"/>
    <mergeCell ref="D426:F426"/>
    <mergeCell ref="A429:F430"/>
    <mergeCell ref="G429:T430"/>
    <mergeCell ref="A431:F432"/>
    <mergeCell ref="G431:T431"/>
    <mergeCell ref="X431:AB432"/>
    <mergeCell ref="G432:T432"/>
    <mergeCell ref="B434:H435"/>
    <mergeCell ref="M439:N440"/>
    <mergeCell ref="J439:K440"/>
    <mergeCell ref="D448:F448"/>
    <mergeCell ref="I447:J448"/>
    <mergeCell ref="K447:L447"/>
    <mergeCell ref="K448:L448"/>
    <mergeCell ref="M447:O448"/>
    <mergeCell ref="D482:F482"/>
    <mergeCell ref="I482:J483"/>
    <mergeCell ref="K482:L482"/>
    <mergeCell ref="M482:O483"/>
    <mergeCell ref="D483:F483"/>
    <mergeCell ref="K483:L483"/>
    <mergeCell ref="D447:F447"/>
    <mergeCell ref="R466:V467"/>
    <mergeCell ref="B450:H451"/>
    <mergeCell ref="D465:F465"/>
    <mergeCell ref="I466:J466"/>
    <mergeCell ref="J455:K456"/>
    <mergeCell ref="M455:Q456"/>
    <mergeCell ref="K466:Q467"/>
    <mergeCell ref="D466:F466"/>
    <mergeCell ref="B469:H470"/>
    <mergeCell ref="K478:L479"/>
    <mergeCell ref="N478:O479"/>
    <mergeCell ref="D467:F467"/>
    <mergeCell ref="I467:J467"/>
    <mergeCell ref="G466:H467"/>
    <mergeCell ref="K507:Q508"/>
    <mergeCell ref="Y488:AA489"/>
    <mergeCell ref="A490:F491"/>
    <mergeCell ref="G490:T490"/>
    <mergeCell ref="X490:AB491"/>
    <mergeCell ref="G491:T491"/>
    <mergeCell ref="B492:H493"/>
    <mergeCell ref="A488:F489"/>
    <mergeCell ref="G488:T489"/>
    <mergeCell ref="M541:N542"/>
    <mergeCell ref="P541:S542"/>
    <mergeCell ref="D544:F544"/>
    <mergeCell ref="K501:L502"/>
    <mergeCell ref="D506:F506"/>
    <mergeCell ref="D508:F508"/>
    <mergeCell ref="I508:J508"/>
    <mergeCell ref="D507:F507"/>
    <mergeCell ref="G507:H508"/>
    <mergeCell ref="I507:J507"/>
    <mergeCell ref="R546:V547"/>
    <mergeCell ref="D547:F547"/>
    <mergeCell ref="I547:J547"/>
    <mergeCell ref="D530:F530"/>
    <mergeCell ref="I530:J531"/>
    <mergeCell ref="D545:F545"/>
    <mergeCell ref="D531:F531"/>
    <mergeCell ref="K530:N531"/>
    <mergeCell ref="O530:T531"/>
    <mergeCell ref="B533:M534"/>
    <mergeCell ref="M558:N559"/>
    <mergeCell ref="O558:P558"/>
    <mergeCell ref="O559:P559"/>
    <mergeCell ref="D546:F546"/>
    <mergeCell ref="G546:H547"/>
    <mergeCell ref="I546:J546"/>
    <mergeCell ref="K546:Q547"/>
    <mergeCell ref="Y549:AA550"/>
    <mergeCell ref="A551:F552"/>
    <mergeCell ref="G551:T551"/>
    <mergeCell ref="X551:AB552"/>
    <mergeCell ref="G552:T552"/>
    <mergeCell ref="D565:F565"/>
    <mergeCell ref="Q558:S559"/>
    <mergeCell ref="A549:F550"/>
    <mergeCell ref="G549:T550"/>
    <mergeCell ref="B553:H554"/>
    <mergeCell ref="D566:F566"/>
    <mergeCell ref="D567:F567"/>
    <mergeCell ref="G567:H568"/>
    <mergeCell ref="R567:V568"/>
    <mergeCell ref="D568:F568"/>
    <mergeCell ref="L567:Q568"/>
    <mergeCell ref="I567:K567"/>
    <mergeCell ref="I568:K568"/>
    <mergeCell ref="B570:H571"/>
    <mergeCell ref="M575:N576"/>
    <mergeCell ref="P575:Y576"/>
    <mergeCell ref="B589:H590"/>
    <mergeCell ref="D583:F583"/>
    <mergeCell ref="D584:F584"/>
    <mergeCell ref="D586:F586"/>
    <mergeCell ref="G584:H585"/>
    <mergeCell ref="D585:F585"/>
    <mergeCell ref="I584:J584"/>
    <mergeCell ref="I586:M587"/>
    <mergeCell ref="D587:F587"/>
    <mergeCell ref="I585:J585"/>
    <mergeCell ref="K584:Y585"/>
    <mergeCell ref="G586:H587"/>
    <mergeCell ref="L594:M595"/>
    <mergeCell ref="O594:P595"/>
    <mergeCell ref="I603:J604"/>
    <mergeCell ref="L603:N604"/>
    <mergeCell ref="O603:S604"/>
    <mergeCell ref="C603:C604"/>
    <mergeCell ref="D603:F604"/>
    <mergeCell ref="A608:F609"/>
    <mergeCell ref="G608:T609"/>
    <mergeCell ref="D625:F625"/>
    <mergeCell ref="Y608:AA609"/>
    <mergeCell ref="A610:F611"/>
    <mergeCell ref="G610:T610"/>
    <mergeCell ref="X610:AB611"/>
    <mergeCell ref="G611:T611"/>
    <mergeCell ref="B612:H613"/>
    <mergeCell ref="M617:N617"/>
    <mergeCell ref="O617:Q618"/>
    <mergeCell ref="M618:N618"/>
    <mergeCell ref="K620:L621"/>
    <mergeCell ref="M620:N620"/>
    <mergeCell ref="O620:Q621"/>
    <mergeCell ref="M621:N621"/>
    <mergeCell ref="L662:M662"/>
    <mergeCell ref="L663:M663"/>
    <mergeCell ref="J651:J652"/>
    <mergeCell ref="W669:AA670"/>
    <mergeCell ref="L643:M643"/>
    <mergeCell ref="K642:K643"/>
    <mergeCell ref="L639:N639"/>
    <mergeCell ref="L640:N640"/>
    <mergeCell ref="I626:K626"/>
    <mergeCell ref="B656:H657"/>
    <mergeCell ref="D647:F647"/>
    <mergeCell ref="D648:F648"/>
    <mergeCell ref="L642:M642"/>
    <mergeCell ref="P651:R652"/>
    <mergeCell ref="K639:K640"/>
    <mergeCell ref="G626:H627"/>
    <mergeCell ref="K652:N652"/>
    <mergeCell ref="L626:R627"/>
    <mergeCell ref="I627:K627"/>
    <mergeCell ref="G630:H631"/>
    <mergeCell ref="B633:H634"/>
    <mergeCell ref="D651:F651"/>
    <mergeCell ref="D652:F652"/>
    <mergeCell ref="L669:N669"/>
    <mergeCell ref="L670:N670"/>
    <mergeCell ref="O669:V670"/>
    <mergeCell ref="D669:F669"/>
    <mergeCell ref="L630:R631"/>
    <mergeCell ref="S630:W631"/>
    <mergeCell ref="I631:K631"/>
    <mergeCell ref="K651:N651"/>
    <mergeCell ref="O651:O652"/>
    <mergeCell ref="B677:H678"/>
    <mergeCell ref="D670:F670"/>
    <mergeCell ref="N662:Q663"/>
    <mergeCell ref="J669:K670"/>
    <mergeCell ref="Y275:AA275"/>
    <mergeCell ref="I630:K630"/>
    <mergeCell ref="B680:H681"/>
    <mergeCell ref="D687:E687"/>
    <mergeCell ref="C683:F683"/>
    <mergeCell ref="C233:C234"/>
    <mergeCell ref="D233:F234"/>
    <mergeCell ref="C271:C272"/>
    <mergeCell ref="D271:F272"/>
    <mergeCell ref="C275:C276"/>
    <mergeCell ref="D275:F276"/>
    <mergeCell ref="H275:V276"/>
    <mergeCell ref="I685:I686"/>
    <mergeCell ref="V683:V685"/>
    <mergeCell ref="Y672:AA673"/>
    <mergeCell ref="A674:F675"/>
    <mergeCell ref="G674:T674"/>
    <mergeCell ref="X674:AB675"/>
    <mergeCell ref="G675:T675"/>
    <mergeCell ref="A672:F673"/>
    <mergeCell ref="G672:T673"/>
    <mergeCell ref="S626:W627"/>
    <mergeCell ref="D626:F626"/>
    <mergeCell ref="D629:F629"/>
    <mergeCell ref="D668:F668"/>
    <mergeCell ref="K617:L618"/>
    <mergeCell ref="J662:K663"/>
    <mergeCell ref="D630:F630"/>
    <mergeCell ref="T762:W762"/>
    <mergeCell ref="D838:F838"/>
    <mergeCell ref="C777:H777"/>
    <mergeCell ref="C778:H778"/>
    <mergeCell ref="C773:H773"/>
    <mergeCell ref="D820:F820"/>
    <mergeCell ref="N765:AA766"/>
    <mergeCell ref="D821:F821"/>
    <mergeCell ref="I773:N773"/>
    <mergeCell ref="I774:N774"/>
    <mergeCell ref="I775:N775"/>
    <mergeCell ref="C765:D766"/>
    <mergeCell ref="F765:J766"/>
    <mergeCell ref="K765:K766"/>
    <mergeCell ref="D744:E744"/>
    <mergeCell ref="C741:C743"/>
    <mergeCell ref="D697:F697"/>
    <mergeCell ref="D698:F698"/>
    <mergeCell ref="V740:V742"/>
    <mergeCell ref="I742:I743"/>
    <mergeCell ref="F741:F743"/>
    <mergeCell ref="G732:T733"/>
    <mergeCell ref="D724:F724"/>
    <mergeCell ref="D723:F723"/>
    <mergeCell ref="C740:F740"/>
    <mergeCell ref="A732:F733"/>
    <mergeCell ref="B736:N737"/>
    <mergeCell ref="D700:F700"/>
    <mergeCell ref="G698:AA699"/>
    <mergeCell ref="B702:H703"/>
    <mergeCell ref="D722:F722"/>
    <mergeCell ref="D699:F699"/>
    <mergeCell ref="Y732:AA733"/>
    <mergeCell ref="A734:F735"/>
    <mergeCell ref="G734:T734"/>
    <mergeCell ref="X734:AB735"/>
    <mergeCell ref="G735:T735"/>
    <mergeCell ref="P741:P742"/>
    <mergeCell ref="F747:J748"/>
    <mergeCell ref="L747:Z748"/>
    <mergeCell ref="C747:D748"/>
    <mergeCell ref="T760:W760"/>
    <mergeCell ref="T761:W761"/>
    <mergeCell ref="T757:W757"/>
    <mergeCell ref="D755:F755"/>
    <mergeCell ref="D753:F753"/>
    <mergeCell ref="D754:F754"/>
    <mergeCell ref="D751:F751"/>
    <mergeCell ref="D752:F752"/>
    <mergeCell ref="A850:F851"/>
    <mergeCell ref="G850:T850"/>
    <mergeCell ref="X850:AB851"/>
    <mergeCell ref="G851:T851"/>
    <mergeCell ref="C884:D885"/>
    <mergeCell ref="E884:F884"/>
    <mergeCell ref="G884:Z885"/>
    <mergeCell ref="E885:F885"/>
    <mergeCell ref="D879:F879"/>
    <mergeCell ref="D880:F880"/>
    <mergeCell ref="D881:F881"/>
    <mergeCell ref="D882:F882"/>
    <mergeCell ref="B770:N771"/>
    <mergeCell ref="C774:H774"/>
    <mergeCell ref="C775:H775"/>
    <mergeCell ref="L765:M765"/>
    <mergeCell ref="L766:M766"/>
    <mergeCell ref="C776:H776"/>
    <mergeCell ref="Y789:AA790"/>
    <mergeCell ref="X791:AB792"/>
    <mergeCell ref="D819:F819"/>
    <mergeCell ref="B794:N795"/>
    <mergeCell ref="B805:C806"/>
    <mergeCell ref="E805:N806"/>
    <mergeCell ref="A789:F790"/>
    <mergeCell ref="G789:T790"/>
    <mergeCell ref="A791:F792"/>
    <mergeCell ref="G791:T791"/>
    <mergeCell ref="G792:T792"/>
    <mergeCell ref="B853:F854"/>
    <mergeCell ref="B893:C894"/>
    <mergeCell ref="D899:F899"/>
    <mergeCell ref="D900:F900"/>
    <mergeCell ref="D901:F901"/>
    <mergeCell ref="Z893:Z894"/>
    <mergeCell ref="Y908:AA909"/>
    <mergeCell ref="A910:F911"/>
    <mergeCell ref="G910:T910"/>
    <mergeCell ref="X910:AB911"/>
    <mergeCell ref="G911:T911"/>
    <mergeCell ref="A908:F909"/>
    <mergeCell ref="G908:T909"/>
    <mergeCell ref="T825:U825"/>
    <mergeCell ref="T826:U826"/>
    <mergeCell ref="D822:F822"/>
    <mergeCell ref="D834:F834"/>
    <mergeCell ref="D835:F835"/>
    <mergeCell ref="D836:F836"/>
    <mergeCell ref="D837:F837"/>
    <mergeCell ref="C828:D829"/>
    <mergeCell ref="G828:Z829"/>
    <mergeCell ref="E828:F828"/>
    <mergeCell ref="E829:F829"/>
    <mergeCell ref="C840:D841"/>
    <mergeCell ref="E840:F840"/>
    <mergeCell ref="G840:Z841"/>
    <mergeCell ref="E841:F841"/>
    <mergeCell ref="U888:Z889"/>
    <mergeCell ref="T888:T889"/>
    <mergeCell ref="A848:F849"/>
    <mergeCell ref="G848:T849"/>
    <mergeCell ref="Y848:AA849"/>
    <mergeCell ref="B915:J916"/>
    <mergeCell ref="I776:N776"/>
    <mergeCell ref="I777:N777"/>
    <mergeCell ref="I778:N778"/>
    <mergeCell ref="B913:J914"/>
    <mergeCell ref="E893:H894"/>
    <mergeCell ref="D902:F902"/>
    <mergeCell ref="C904:D905"/>
    <mergeCell ref="E904:F904"/>
    <mergeCell ref="G904:Z905"/>
    <mergeCell ref="Y968:AA969"/>
    <mergeCell ref="A970:F971"/>
    <mergeCell ref="G970:T970"/>
    <mergeCell ref="X970:AB971"/>
    <mergeCell ref="G971:T971"/>
    <mergeCell ref="K1015:L1016"/>
    <mergeCell ref="H1015:J1015"/>
    <mergeCell ref="H1016:J1016"/>
    <mergeCell ref="I1005:J1005"/>
    <mergeCell ref="B942:J943"/>
    <mergeCell ref="D1002:F1002"/>
    <mergeCell ref="D1003:F1003"/>
    <mergeCell ref="B1002:C1002"/>
    <mergeCell ref="A968:F969"/>
    <mergeCell ref="G968:T969"/>
    <mergeCell ref="B972:M973"/>
    <mergeCell ref="B860:C861"/>
    <mergeCell ref="E860:H861"/>
    <mergeCell ref="J860:K861"/>
    <mergeCell ref="D871:F871"/>
    <mergeCell ref="E905:F905"/>
    <mergeCell ref="U892:Z892"/>
    <mergeCell ref="B1019:C1019"/>
    <mergeCell ref="D1019:F1019"/>
    <mergeCell ref="D1020:F1020"/>
    <mergeCell ref="B1013:E1014"/>
    <mergeCell ref="F1013:G1014"/>
    <mergeCell ref="H1013:I1013"/>
    <mergeCell ref="H1014:I1014"/>
    <mergeCell ref="B1015:E1016"/>
    <mergeCell ref="F1015:G1016"/>
    <mergeCell ref="M1024:Q1025"/>
    <mergeCell ref="J1022:L1022"/>
    <mergeCell ref="F1078:G1078"/>
    <mergeCell ref="F1075:G1075"/>
    <mergeCell ref="L1024:L1025"/>
    <mergeCell ref="J1024:K1024"/>
    <mergeCell ref="J1025:K1025"/>
    <mergeCell ref="H1024:I1025"/>
    <mergeCell ref="C1024:G1025"/>
    <mergeCell ref="A1030:F1031"/>
    <mergeCell ref="G1030:T1030"/>
    <mergeCell ref="X1030:AB1031"/>
    <mergeCell ref="G1031:T1031"/>
    <mergeCell ref="A1028:F1029"/>
    <mergeCell ref="G1028:T1029"/>
    <mergeCell ref="A1087:F1088"/>
    <mergeCell ref="G1087:T1088"/>
    <mergeCell ref="F1100:G1100"/>
    <mergeCell ref="B1032:M1033"/>
    <mergeCell ref="F1044:G1044"/>
    <mergeCell ref="M1056:O1056"/>
    <mergeCell ref="G1061:H1061"/>
    <mergeCell ref="A1089:F1090"/>
    <mergeCell ref="G1089:T1089"/>
    <mergeCell ref="X1089:AB1090"/>
    <mergeCell ref="G1090:T1090"/>
    <mergeCell ref="P1122:R1122"/>
    <mergeCell ref="X1116:Z1116"/>
    <mergeCell ref="X1117:Z1117"/>
    <mergeCell ref="S1122:U1122"/>
    <mergeCell ref="F1103:G1103"/>
    <mergeCell ref="Y1087:AA1088"/>
    <mergeCell ref="N1119:N1120"/>
    <mergeCell ref="U1128:W1128"/>
    <mergeCell ref="D1114:F1114"/>
    <mergeCell ref="O1119:S1120"/>
    <mergeCell ref="L1120:M1120"/>
    <mergeCell ref="C1119:I1120"/>
    <mergeCell ref="D1117:F1117"/>
    <mergeCell ref="D1115:F1115"/>
    <mergeCell ref="D1116:F1116"/>
    <mergeCell ref="B1114:C1114"/>
    <mergeCell ref="J1119:K1120"/>
    <mergeCell ref="L1119:M1119"/>
    <mergeCell ref="D1136:D1138"/>
    <mergeCell ref="P1128:S1128"/>
    <mergeCell ref="F1132:I1134"/>
    <mergeCell ref="D1133:D1135"/>
    <mergeCell ref="N1128:O1128"/>
    <mergeCell ref="Y1148:AA1149"/>
    <mergeCell ref="A1150:F1151"/>
    <mergeCell ref="G1150:T1150"/>
    <mergeCell ref="X1150:AB1151"/>
    <mergeCell ref="G1151:T1151"/>
    <mergeCell ref="A1148:F1149"/>
    <mergeCell ref="G1148:T1149"/>
    <mergeCell ref="B1152:M1153"/>
    <mergeCell ref="B1197:C1197"/>
    <mergeCell ref="D1197:F1197"/>
    <mergeCell ref="D1198:F1198"/>
    <mergeCell ref="X1198:Y1198"/>
    <mergeCell ref="D1199:F1199"/>
    <mergeCell ref="U1198:W1198"/>
    <mergeCell ref="U1199:W1199"/>
    <mergeCell ref="X1199:Y1199"/>
    <mergeCell ref="J1211:M1211"/>
    <mergeCell ref="N1211:Q1211"/>
    <mergeCell ref="R1211:U1211"/>
    <mergeCell ref="V1211:AB1211"/>
    <mergeCell ref="R1212:U1212"/>
    <mergeCell ref="V1212:AB1212"/>
    <mergeCell ref="N1212:Q1212"/>
    <mergeCell ref="B1279:C1280"/>
    <mergeCell ref="D1279:H1280"/>
    <mergeCell ref="I1279:M1280"/>
    <mergeCell ref="N1279:P1280"/>
    <mergeCell ref="Q1279:S1279"/>
    <mergeCell ref="Q1280:S1280"/>
    <mergeCell ref="T1279:AA1280"/>
    <mergeCell ref="J1212:M1212"/>
    <mergeCell ref="R1220:U1220"/>
    <mergeCell ref="V1220:AB1220"/>
    <mergeCell ref="A1219:E1219"/>
    <mergeCell ref="F1219:I1219"/>
    <mergeCell ref="A1220:E1220"/>
    <mergeCell ref="F1220:I1220"/>
    <mergeCell ref="J1220:M1220"/>
    <mergeCell ref="N1220:Q1220"/>
    <mergeCell ref="J1219:M1219"/>
    <mergeCell ref="N1219:Q1219"/>
    <mergeCell ref="R1217:U1217"/>
    <mergeCell ref="V1217:AB1217"/>
    <mergeCell ref="R1218:U1218"/>
    <mergeCell ref="B1254:M1255"/>
    <mergeCell ref="O1285:Q1285"/>
    <mergeCell ref="H1433:I1433"/>
    <mergeCell ref="I1281:M1282"/>
    <mergeCell ref="B1285:C1286"/>
    <mergeCell ref="A1424:F1425"/>
    <mergeCell ref="G1424:T1425"/>
    <mergeCell ref="Y1424:AA1425"/>
    <mergeCell ref="D1281:H1282"/>
    <mergeCell ref="B1312:M1313"/>
    <mergeCell ref="H1302:J1302"/>
    <mergeCell ref="F1303:G1303"/>
    <mergeCell ref="A1426:F1427"/>
    <mergeCell ref="G1426:T1426"/>
    <mergeCell ref="X1426:AB1427"/>
    <mergeCell ref="G1427:T1427"/>
    <mergeCell ref="B1430:Q1431"/>
    <mergeCell ref="H1432:I1432"/>
    <mergeCell ref="B1432:G1432"/>
    <mergeCell ref="J1432:W1432"/>
    <mergeCell ref="X1432:Y1432"/>
    <mergeCell ref="B1433:G1433"/>
    <mergeCell ref="X1433:Y1433"/>
    <mergeCell ref="J1433:W1433"/>
    <mergeCell ref="H1303:J1303"/>
    <mergeCell ref="F1304:G1304"/>
    <mergeCell ref="T1281:AA1282"/>
    <mergeCell ref="T1283:AA1284"/>
    <mergeCell ref="C1324:E1324"/>
    <mergeCell ref="C1325:E1325"/>
    <mergeCell ref="M1324:O1324"/>
    <mergeCell ref="G1308:T1309"/>
    <mergeCell ref="B1434:G1434"/>
    <mergeCell ref="B1435:G1435"/>
    <mergeCell ref="B1436:G1436"/>
    <mergeCell ref="B1437:G1437"/>
    <mergeCell ref="B1438:G1438"/>
    <mergeCell ref="H1441:I1441"/>
    <mergeCell ref="H1442:I1442"/>
    <mergeCell ref="H1443:I1443"/>
    <mergeCell ref="B1439:G1439"/>
    <mergeCell ref="B1440:G1440"/>
    <mergeCell ref="B1441:G1441"/>
    <mergeCell ref="B1442:G1442"/>
    <mergeCell ref="B1443:G1443"/>
    <mergeCell ref="J1436:W1436"/>
    <mergeCell ref="X1436:Y1436"/>
    <mergeCell ref="X1437:Y1437"/>
    <mergeCell ref="H1438:I1438"/>
    <mergeCell ref="H1439:I1439"/>
    <mergeCell ref="H1440:I1440"/>
    <mergeCell ref="H1437:I1437"/>
    <mergeCell ref="X1434:Y1434"/>
    <mergeCell ref="X1435:Y1435"/>
    <mergeCell ref="J1434:W1434"/>
    <mergeCell ref="J1435:W1435"/>
    <mergeCell ref="J1443:W1443"/>
    <mergeCell ref="J1439:W1439"/>
    <mergeCell ref="J1440:W1440"/>
    <mergeCell ref="X1438:Y1438"/>
    <mergeCell ref="J1437:W1437"/>
    <mergeCell ref="J1438:W1438"/>
    <mergeCell ref="X1439:Y1439"/>
    <mergeCell ref="X1440:Y1440"/>
    <mergeCell ref="J1441:W1441"/>
    <mergeCell ref="J1442:W1442"/>
    <mergeCell ref="X1443:Y1443"/>
    <mergeCell ref="W1445:Z1446"/>
    <mergeCell ref="B1445:V1446"/>
    <mergeCell ref="I1749:K1749"/>
    <mergeCell ref="B1456:C1456"/>
    <mergeCell ref="B1457:C1457"/>
    <mergeCell ref="B1458:C1458"/>
    <mergeCell ref="D1453:F1453"/>
    <mergeCell ref="D1454:F1454"/>
    <mergeCell ref="D1455:F1455"/>
    <mergeCell ref="F1748:H1748"/>
    <mergeCell ref="I1744:K1744"/>
    <mergeCell ref="I1746:K1746"/>
    <mergeCell ref="I1747:K1747"/>
    <mergeCell ref="I1748:K1748"/>
    <mergeCell ref="A1591:F1592"/>
    <mergeCell ref="G1591:T1592"/>
    <mergeCell ref="B1597:Q1598"/>
    <mergeCell ref="Y1591:AA1592"/>
    <mergeCell ref="A1593:F1594"/>
    <mergeCell ref="G1593:T1593"/>
    <mergeCell ref="X1593:AB1594"/>
    <mergeCell ref="G1594:T1594"/>
    <mergeCell ref="B1595:Q1596"/>
    <mergeCell ref="B1599:G1599"/>
    <mergeCell ref="H1599:I1599"/>
    <mergeCell ref="J1599:W1599"/>
    <mergeCell ref="X1599:Y1599"/>
    <mergeCell ref="L1454:N1454"/>
    <mergeCell ref="J1488:W1488"/>
    <mergeCell ref="I1750:K1750"/>
    <mergeCell ref="B1752:C1752"/>
    <mergeCell ref="D1744:E1744"/>
    <mergeCell ref="D1746:E1746"/>
    <mergeCell ref="D1747:E1747"/>
    <mergeCell ref="D1748:E1748"/>
    <mergeCell ref="D1749:E1749"/>
    <mergeCell ref="D1750:E1750"/>
    <mergeCell ref="D1751:E1751"/>
    <mergeCell ref="B1748:C1748"/>
    <mergeCell ref="B1767:Q1768"/>
    <mergeCell ref="A1763:F1764"/>
    <mergeCell ref="G1763:T1764"/>
    <mergeCell ref="Y1763:AA1764"/>
    <mergeCell ref="A1765:F1766"/>
    <mergeCell ref="G1765:T1765"/>
    <mergeCell ref="X1765:AB1766"/>
    <mergeCell ref="G1766:T1766"/>
    <mergeCell ref="B1749:C1749"/>
    <mergeCell ref="F1750:H1750"/>
    <mergeCell ref="F1751:H1751"/>
    <mergeCell ref="F1752:H1752"/>
    <mergeCell ref="B1744:C1744"/>
    <mergeCell ref="B1746:C1746"/>
    <mergeCell ref="B1747:C1747"/>
    <mergeCell ref="L1745:N1745"/>
    <mergeCell ref="L1746:N1746"/>
    <mergeCell ref="L1747:N1747"/>
    <mergeCell ref="I1751:K1751"/>
    <mergeCell ref="I1752:K1752"/>
    <mergeCell ref="D1745:E1745"/>
    <mergeCell ref="F1745:H1745"/>
    <mergeCell ref="B1600:G1600"/>
    <mergeCell ref="H1600:I1600"/>
    <mergeCell ref="J1600:W1600"/>
    <mergeCell ref="X1600:Y1600"/>
    <mergeCell ref="B1601:G1601"/>
    <mergeCell ref="H1601:I1601"/>
    <mergeCell ref="J1601:W1601"/>
    <mergeCell ref="X1601:Y1601"/>
    <mergeCell ref="B1602:G1602"/>
    <mergeCell ref="H1602:I1602"/>
    <mergeCell ref="J1602:W1602"/>
    <mergeCell ref="X1602:Y1602"/>
    <mergeCell ref="B1603:G1603"/>
    <mergeCell ref="H1603:I1603"/>
    <mergeCell ref="J1603:W1603"/>
    <mergeCell ref="X1603:Y1603"/>
    <mergeCell ref="B1604:G1604"/>
    <mergeCell ref="H1604:I1604"/>
    <mergeCell ref="J1604:W1604"/>
    <mergeCell ref="X1604:Y1604"/>
    <mergeCell ref="B1605:G1605"/>
    <mergeCell ref="H1605:I1605"/>
    <mergeCell ref="J1605:W1605"/>
    <mergeCell ref="X1605:Y1605"/>
    <mergeCell ref="B1606:G1606"/>
    <mergeCell ref="H1606:I1606"/>
    <mergeCell ref="J1606:W1606"/>
    <mergeCell ref="X1606:Y1606"/>
    <mergeCell ref="B1607:G1607"/>
    <mergeCell ref="H1607:I1607"/>
    <mergeCell ref="J1607:W1607"/>
    <mergeCell ref="X1607:Y1607"/>
    <mergeCell ref="B1608:G1608"/>
    <mergeCell ref="H1608:I1608"/>
    <mergeCell ref="J1608:W1608"/>
    <mergeCell ref="X1608:Y1608"/>
    <mergeCell ref="B1609:G1609"/>
    <mergeCell ref="H1609:I1609"/>
    <mergeCell ref="J1609:W1609"/>
    <mergeCell ref="X1609:Y1609"/>
    <mergeCell ref="A1705:F1706"/>
    <mergeCell ref="G1705:T1706"/>
    <mergeCell ref="B1610:G1610"/>
    <mergeCell ref="H1610:I1610"/>
    <mergeCell ref="J1610:W1610"/>
    <mergeCell ref="X1610:Y1610"/>
    <mergeCell ref="B1612:V1613"/>
    <mergeCell ref="W1612:Z1613"/>
    <mergeCell ref="I1616:J1616"/>
    <mergeCell ref="C1617:D1617"/>
    <mergeCell ref="F1617:H1617"/>
    <mergeCell ref="I1617:J1617"/>
    <mergeCell ref="C1618:D1618"/>
    <mergeCell ref="F1618:H1618"/>
    <mergeCell ref="I1618:J1618"/>
    <mergeCell ref="C1619:D1619"/>
    <mergeCell ref="F1619:H1619"/>
    <mergeCell ref="I1619:J1619"/>
    <mergeCell ref="C1622:D1622"/>
    <mergeCell ref="F1622:H1622"/>
    <mergeCell ref="I1622:J1622"/>
    <mergeCell ref="L1615:X1616"/>
    <mergeCell ref="C1620:D1620"/>
    <mergeCell ref="F1620:H1620"/>
    <mergeCell ref="I1620:J1620"/>
    <mergeCell ref="C1621:D1621"/>
    <mergeCell ref="F1621:H1621"/>
    <mergeCell ref="I1621:J1621"/>
    <mergeCell ref="L1619:M1619"/>
    <mergeCell ref="T1619:U1619"/>
    <mergeCell ref="L1620:M1620"/>
    <mergeCell ref="L1621:M1621"/>
    <mergeCell ref="T1623:U1623"/>
    <mergeCell ref="V1623:X1623"/>
    <mergeCell ref="L1624:M1624"/>
    <mergeCell ref="N1624:P1624"/>
    <mergeCell ref="T1624:U1624"/>
    <mergeCell ref="V1624:X1624"/>
    <mergeCell ref="V1625:X1625"/>
    <mergeCell ref="P1635:P1636"/>
    <mergeCell ref="Q1635:R1636"/>
    <mergeCell ref="S1635:S1636"/>
    <mergeCell ref="Y1646:AA1647"/>
    <mergeCell ref="A1648:F1649"/>
    <mergeCell ref="G1648:T1648"/>
    <mergeCell ref="X1648:AB1649"/>
    <mergeCell ref="G1649:T1649"/>
    <mergeCell ref="A1646:F1647"/>
    <mergeCell ref="M1636:O1636"/>
    <mergeCell ref="B1627:N1628"/>
    <mergeCell ref="M1631:O1631"/>
    <mergeCell ref="B1650:Q1651"/>
    <mergeCell ref="M1632:O1632"/>
    <mergeCell ref="M1633:O1633"/>
    <mergeCell ref="B1635:G1636"/>
    <mergeCell ref="H1636:J1636"/>
    <mergeCell ref="H1635:J1635"/>
    <mergeCell ref="M1630:O1630"/>
    <mergeCell ref="I1745:K1745"/>
    <mergeCell ref="X1717:Y1717"/>
    <mergeCell ref="B1718:G1718"/>
    <mergeCell ref="H1718:I1718"/>
    <mergeCell ref="J1718:W1718"/>
    <mergeCell ref="X1718:Y1718"/>
    <mergeCell ref="B1717:G1717"/>
    <mergeCell ref="H1717:I1717"/>
    <mergeCell ref="J1717:W1717"/>
    <mergeCell ref="X1719:Y1719"/>
    <mergeCell ref="B1720:G1720"/>
    <mergeCell ref="H1720:I1720"/>
    <mergeCell ref="J1720:W1720"/>
    <mergeCell ref="X1720:Y1720"/>
    <mergeCell ref="B1721:G1721"/>
    <mergeCell ref="H1721:I1721"/>
    <mergeCell ref="J1721:W1721"/>
    <mergeCell ref="X1721:Y1721"/>
    <mergeCell ref="B1719:G1719"/>
    <mergeCell ref="B1722:G1722"/>
    <mergeCell ref="H1722:I1722"/>
    <mergeCell ref="J1722:W1722"/>
    <mergeCell ref="X1722:Y1722"/>
    <mergeCell ref="B1723:G1723"/>
    <mergeCell ref="H1723:I1723"/>
    <mergeCell ref="D1752:E1752"/>
    <mergeCell ref="F1749:H1749"/>
    <mergeCell ref="L1752:N1752"/>
    <mergeCell ref="F1744:H1744"/>
    <mergeCell ref="F1746:H1746"/>
    <mergeCell ref="O1744:Q1744"/>
    <mergeCell ref="O1745:Q1745"/>
    <mergeCell ref="O1746:Q1746"/>
    <mergeCell ref="O1747:Q1747"/>
    <mergeCell ref="L1750:N1750"/>
    <mergeCell ref="L1751:N1751"/>
    <mergeCell ref="L1744:N1744"/>
    <mergeCell ref="R1751:T1751"/>
    <mergeCell ref="R1752:T1752"/>
    <mergeCell ref="B1745:C1745"/>
    <mergeCell ref="O1748:Q1748"/>
    <mergeCell ref="O1749:Q1749"/>
    <mergeCell ref="O1750:Q1750"/>
    <mergeCell ref="O1751:Q1751"/>
    <mergeCell ref="L1748:N1748"/>
    <mergeCell ref="L1749:N1749"/>
    <mergeCell ref="B1750:C1750"/>
    <mergeCell ref="B1751:C1751"/>
    <mergeCell ref="F1747:H1747"/>
    <mergeCell ref="O1752:Q1752"/>
    <mergeCell ref="R1744:T1744"/>
    <mergeCell ref="R1745:T1745"/>
    <mergeCell ref="R1746:T1746"/>
    <mergeCell ref="R1747:T1747"/>
    <mergeCell ref="R1748:T1748"/>
    <mergeCell ref="R1749:T1749"/>
    <mergeCell ref="R1750:T1750"/>
    <mergeCell ref="J1723:W1723"/>
    <mergeCell ref="X1723:Y1723"/>
    <mergeCell ref="B1734:C1734"/>
    <mergeCell ref="D1734:F1734"/>
    <mergeCell ref="J1734:K1734"/>
    <mergeCell ref="L1734:N1734"/>
    <mergeCell ref="B1729:N1730"/>
    <mergeCell ref="B1741:K1742"/>
    <mergeCell ref="L1738:N1738"/>
    <mergeCell ref="B1739:C1739"/>
    <mergeCell ref="D1739:F1739"/>
    <mergeCell ref="J1739:K1739"/>
    <mergeCell ref="L1739:N1739"/>
    <mergeCell ref="B1738:C1738"/>
    <mergeCell ref="D1738:F1738"/>
    <mergeCell ref="J1738:K1738"/>
    <mergeCell ref="H1719:I1719"/>
    <mergeCell ref="A1707:F1708"/>
    <mergeCell ref="G1707:T1707"/>
    <mergeCell ref="X1707:AB1708"/>
    <mergeCell ref="G1708:T1708"/>
    <mergeCell ref="X1713:Y1713"/>
    <mergeCell ref="B1714:G1714"/>
    <mergeCell ref="H1714:I1714"/>
    <mergeCell ref="J1714:W1714"/>
    <mergeCell ref="X1714:Y1714"/>
    <mergeCell ref="B1713:G1713"/>
    <mergeCell ref="H1713:I1713"/>
    <mergeCell ref="J1713:W1713"/>
    <mergeCell ref="X1715:Y1715"/>
    <mergeCell ref="B1716:G1716"/>
    <mergeCell ref="H1716:I1716"/>
    <mergeCell ref="J1716:W1716"/>
    <mergeCell ref="X1716:Y1716"/>
    <mergeCell ref="B1715:G1715"/>
    <mergeCell ref="H1715:I1715"/>
    <mergeCell ref="B1709:Q1710"/>
    <mergeCell ref="B1711:Q1712"/>
    <mergeCell ref="AK1283:AO1284"/>
    <mergeCell ref="AP1283:AP1284"/>
    <mergeCell ref="AQ1283:AS1283"/>
    <mergeCell ref="AT1283:AU1284"/>
    <mergeCell ref="AV1283:BC1284"/>
    <mergeCell ref="AQ1284:AS1284"/>
    <mergeCell ref="L1736:N1736"/>
    <mergeCell ref="B1737:C1737"/>
    <mergeCell ref="J1733:K1733"/>
    <mergeCell ref="J1715:W1715"/>
    <mergeCell ref="B1726:V1727"/>
    <mergeCell ref="W1726:Z1727"/>
    <mergeCell ref="B1724:G1724"/>
    <mergeCell ref="H1724:I1724"/>
    <mergeCell ref="J1724:W1724"/>
    <mergeCell ref="X1724:Y1724"/>
    <mergeCell ref="J1737:K1737"/>
    <mergeCell ref="D1737:F1737"/>
    <mergeCell ref="B1735:C1735"/>
    <mergeCell ref="D1735:F1735"/>
    <mergeCell ref="J1735:K1735"/>
    <mergeCell ref="L1735:N1735"/>
    <mergeCell ref="L1737:N1737"/>
    <mergeCell ref="B1736:C1736"/>
    <mergeCell ref="D1736:F1736"/>
    <mergeCell ref="J1736:K1736"/>
    <mergeCell ref="B1733:C1733"/>
    <mergeCell ref="J1719:W1719"/>
    <mergeCell ref="G1646:T1647"/>
    <mergeCell ref="L1625:M1625"/>
    <mergeCell ref="N1625:P1625"/>
    <mergeCell ref="T1625:U1625"/>
    <mergeCell ref="AK1285:AO1286"/>
    <mergeCell ref="AP1285:AP1286"/>
    <mergeCell ref="AQ1285:AS1285"/>
    <mergeCell ref="AT1285:AU1286"/>
    <mergeCell ref="AV1285:BC1286"/>
    <mergeCell ref="AQ1286:AS1286"/>
    <mergeCell ref="AD1287:BC1288"/>
    <mergeCell ref="BF1279:BG1280"/>
    <mergeCell ref="BH1279:BL1280"/>
    <mergeCell ref="BM1279:BQ1280"/>
    <mergeCell ref="BR1279:BT1280"/>
    <mergeCell ref="BU1279:BW1279"/>
    <mergeCell ref="BF1283:BG1284"/>
    <mergeCell ref="BH1283:BL1284"/>
    <mergeCell ref="BM1283:BQ1284"/>
    <mergeCell ref="BR1283:BR1284"/>
    <mergeCell ref="BF1287:CE1288"/>
    <mergeCell ref="AD1279:AE1280"/>
    <mergeCell ref="AF1279:AJ1280"/>
    <mergeCell ref="AK1279:AO1280"/>
    <mergeCell ref="AP1279:AR1280"/>
    <mergeCell ref="AS1279:AU1279"/>
    <mergeCell ref="AV1279:BC1280"/>
    <mergeCell ref="AS1280:AU1280"/>
    <mergeCell ref="AD1281:AE1282"/>
    <mergeCell ref="AF1281:AJ1282"/>
    <mergeCell ref="AK1281:AO1282"/>
    <mergeCell ref="AP1281:AR1282"/>
    <mergeCell ref="AS1281:AU1281"/>
    <mergeCell ref="AV1281:BC1282"/>
    <mergeCell ref="AS1282:AU1282"/>
    <mergeCell ref="AD1283:AE1284"/>
    <mergeCell ref="BX1279:CE1280"/>
    <mergeCell ref="BU1280:BW1280"/>
    <mergeCell ref="BF1281:BG1282"/>
    <mergeCell ref="BH1281:BL1282"/>
    <mergeCell ref="BM1281:BQ1282"/>
    <mergeCell ref="BR1281:BT1282"/>
    <mergeCell ref="BU1281:BW1281"/>
    <mergeCell ref="BX1281:CE1282"/>
    <mergeCell ref="BU1282:BW1282"/>
    <mergeCell ref="BS1283:BU1283"/>
    <mergeCell ref="BV1283:BW1284"/>
    <mergeCell ref="BX1283:CE1284"/>
    <mergeCell ref="BS1284:BU1284"/>
    <mergeCell ref="BF1285:BG1286"/>
    <mergeCell ref="BH1285:BL1286"/>
    <mergeCell ref="BM1285:BQ1286"/>
    <mergeCell ref="BR1285:BR1286"/>
    <mergeCell ref="BS1285:BU1285"/>
    <mergeCell ref="BV1285:BW1286"/>
    <mergeCell ref="BX1285:CE1286"/>
    <mergeCell ref="BS1286:BU1286"/>
    <mergeCell ref="AD78:AH78"/>
    <mergeCell ref="AD696:AH696"/>
    <mergeCell ref="AD721:AH721"/>
    <mergeCell ref="AD737:AH737"/>
    <mergeCell ref="AD793:AH793"/>
    <mergeCell ref="AD851:AH851"/>
    <mergeCell ref="AD878:AH878"/>
    <mergeCell ref="AD898:AH898"/>
    <mergeCell ref="AD968:AH968"/>
    <mergeCell ref="AD1090:AH1090"/>
    <mergeCell ref="AD1113:AH1113"/>
    <mergeCell ref="AD1151:AH1151"/>
    <mergeCell ref="AD1275:AH1275"/>
    <mergeCell ref="AE1792:AI1792"/>
    <mergeCell ref="AE1822:AI1822"/>
    <mergeCell ref="AD1302:AH1302"/>
    <mergeCell ref="AD1311:AH1311"/>
    <mergeCell ref="AD1369:AH1369"/>
    <mergeCell ref="AD1427:AH1427"/>
    <mergeCell ref="AD1487:AH1487"/>
    <mergeCell ref="AE1766:AI1766"/>
    <mergeCell ref="AD1285:AE1286"/>
    <mergeCell ref="AF1285:AJ1286"/>
    <mergeCell ref="AF1283:AJ1284"/>
    <mergeCell ref="AA399:AD399"/>
    <mergeCell ref="AA398:AD398"/>
    <mergeCell ref="AE398:AI399"/>
    <mergeCell ref="Y1705:AA1706"/>
    <mergeCell ref="X1441:Y1441"/>
    <mergeCell ref="X1442:Y1442"/>
    <mergeCell ref="Y1028:AA1029"/>
    <mergeCell ref="U895:Z895"/>
  </mergeCells>
  <phoneticPr fontId="2" type="noConversion"/>
  <dataValidations count="2">
    <dataValidation type="list" allowBlank="1" showInputMessage="1" showErrorMessage="1" sqref="R394" xr:uid="{00000000-0002-0000-0000-000000000000}">
      <formula1>$DD$386:$DD$388</formula1>
    </dataValidation>
    <dataValidation type="list" allowBlank="1" showInputMessage="1" showErrorMessage="1" sqref="R404:T404" xr:uid="{00000000-0002-0000-0000-000001000000}">
      <formula1>$DO$386:$DO$387</formula1>
    </dataValidation>
  </dataValidations>
  <hyperlinks>
    <hyperlink ref="B10" location="Formelsamling!D95" tooltip="Areal af vilkålig trekant" display="Formelsamling!D95" xr:uid="{00000000-0004-0000-0000-000000000000}"/>
    <hyperlink ref="B11" location="Formelsamling!D149" tooltip="Areal af retvinklet trekant + Pytagoras" display="Formelsamling!D149" xr:uid="{00000000-0004-0000-0000-000001000000}"/>
    <hyperlink ref="B12" location="Formelsamling!I209" tooltip="Rektangel, Trapez, Paralellogram" display="Formelsamling!I209" xr:uid="{00000000-0004-0000-0000-000002000000}"/>
    <hyperlink ref="B14" location="Formelsamling!D276" tooltip="Areal af regulære polygoner" display="Formelsamling!D276" xr:uid="{00000000-0004-0000-0000-000003000000}"/>
    <hyperlink ref="B15" location="Formelsamling!D295" tooltip="Areal af cirkel" display="Formelsamling!D295" xr:uid="{00000000-0004-0000-0000-000004000000}"/>
    <hyperlink ref="B16" location="Formelsamling!D323" tooltip="Areal af cirkeludsnit" display="Formelsamling!D323" xr:uid="{00000000-0004-0000-0000-000005000000}"/>
    <hyperlink ref="B17" location="Formelsamling!D343" tooltip="Areal af ellipse" display="Formelsamling!D343" xr:uid="{00000000-0004-0000-0000-000006000000}"/>
    <hyperlink ref="B20" location="Formelsamling!C382" tooltip="Volumen af kasse" display="Formelsamling!C382" xr:uid="{00000000-0004-0000-0000-000007000000}"/>
    <hyperlink ref="B21" location="Formelsamling!D397" tooltip="Volumen af cylinder" display="Formelsamling!D397" xr:uid="{00000000-0004-0000-0000-000008000000}"/>
    <hyperlink ref="B22" location="Formelsamling!D415" tooltip="Volumen af rørmateriale" display="Formelsamling!D415" xr:uid="{00000000-0004-0000-0000-000009000000}"/>
    <hyperlink ref="B23" location="Formelsamling!D436" tooltip="Volumen af kegle" display="Formelsamling!D436" xr:uid="{00000000-0004-0000-0000-00000A000000}"/>
    <hyperlink ref="B24" location="Formelsamling!D455" tooltip="Volumen af keglestub" display="Formelsamling!D455" xr:uid="{00000000-0004-0000-0000-00000B000000}"/>
    <hyperlink ref="B25" location="Formelsamling!D471" tooltip="Volumen af pyramide" display="Formelsamling!D471" xr:uid="{00000000-0004-0000-0000-00000C000000}"/>
    <hyperlink ref="B26" location="Formelsamling!D496" tooltip="Volumen af pyramidestub" display="Formelsamling!D496" xr:uid="{00000000-0004-0000-0000-00000D000000}"/>
    <hyperlink ref="B27" location="Formelsamling!D519" tooltip="Volumen af figur med 2 parallelle sider" display="Formelsamling!D519" xr:uid="{00000000-0004-0000-0000-00000E000000}"/>
    <hyperlink ref="B29" location="Formelsamling!D556" tooltip="Volumen af rektangulær kile" display="Formelsamling!D556" xr:uid="{00000000-0004-0000-0000-00000F000000}"/>
    <hyperlink ref="B30" location="Formelsamling!D575" tooltip="Volumen af afskåren kile" display="Formelsamling!D575" xr:uid="{00000000-0004-0000-0000-000010000000}"/>
    <hyperlink ref="B31" location="Formelsamling!D591" tooltip="Volumen af kugle" display="Formelsamling!D591" xr:uid="{00000000-0004-0000-0000-000011000000}"/>
    <hyperlink ref="B32" location="Formelsamling!D618" tooltip="Volumen af kuglekalot" display="Formelsamling!D618" xr:uid="{00000000-0004-0000-0000-000012000000}"/>
    <hyperlink ref="B34" location="Formelsamling!D658" tooltip="Volumen af kuglebælte" display="Formelsamling!D658" xr:uid="{00000000-0004-0000-0000-000013000000}"/>
    <hyperlink ref="B37" location="Formelsamling!D688" tooltip="Volumen af rektangulær grøft" display="Formelsamling!D688" xr:uid="{00000000-0004-0000-0000-000014000000}"/>
    <hyperlink ref="B38" location="Formelsamling!D712" tooltip="Overbredde og tværsnitsareal af udgravning med anlæg. " display="Formelsamling!D712" xr:uid="{00000000-0004-0000-0000-000015000000}"/>
    <hyperlink ref="B41" location="Formelsamling!D810" tooltip="Volumen af rektangulær udgravning med anlæg" display="Formelsamling!D810" xr:uid="{00000000-0004-0000-0000-000016000000}"/>
    <hyperlink ref="B42" location="Formelsamling!D870" tooltip="Nedkørselsrampe til udgravning" display="Formelsamling!D870" xr:uid="{00000000-0004-0000-0000-000017000000}"/>
    <hyperlink ref="B33" location="Formelsamling!D640" tooltip="Volumen af udsnit af kugle" display="Formelsamling!D640" xr:uid="{00000000-0004-0000-0000-000018000000}"/>
    <hyperlink ref="B40" location="Formelsamling!B769" tooltip="Anbefalede bundbredder for rørgrav" display="Formelsamling!B769" xr:uid="{00000000-0004-0000-0000-000019000000}"/>
    <hyperlink ref="B46" location="Formelsamling!A953" tooltip="Afstandskrav til fundamenter i lerjord" display="Formelsamling!A953" xr:uid="{00000000-0004-0000-0000-00001A000000}"/>
    <hyperlink ref="B47" location="Formelsamling!B1014" tooltip="Beregning af tilladte afstande og dybder" display="Formelsamling!B1014" xr:uid="{00000000-0004-0000-0000-00001B000000}"/>
    <hyperlink ref="B53" location="Formelsamling!A1218" tooltip="Bergningsskema vedr. nivellement" display="Formelsamling!A1218" xr:uid="{00000000-0004-0000-0000-00001C000000}"/>
    <hyperlink ref="P10" location="Formelsamling!D1273" tooltip="Beregning af koter og fald" display="Formelsamling!D1273" xr:uid="{00000000-0004-0000-0000-00001D000000}"/>
    <hyperlink ref="P11" location="Formelsamling!H1292" tooltip="Omregning fra andre måder, at angive fald på rør" display="Formelsamling!H1292" xr:uid="{00000000-0004-0000-0000-00001E000000}"/>
    <hyperlink ref="B13" location="Formelsamling!D234" tooltip="Areal af ligesidet femkant" display="Formelsamling!D234" xr:uid="{00000000-0004-0000-0000-00001F000000}"/>
    <hyperlink ref="B28" location="Formelsamling!D535" tooltip="Volumen af figur med 2 parallelle sider" display="Formelsamling!D535" xr:uid="{00000000-0004-0000-0000-000020000000}"/>
    <hyperlink ref="B39" location="Formelsamling!B754" tooltip="Volumen af grøft med anlæg" display="Formelsamling!B754" xr:uid="{00000000-0004-0000-0000-000021000000}"/>
    <hyperlink ref="B45" location="Formelsamling!A930" tooltip="Afstandskrav for udgravninger til fundamenter i sandjord" display="Formelsamling!A930" xr:uid="{00000000-0004-0000-0000-000022000000}"/>
    <hyperlink ref="B48" location="Formelsamling!B1129" tooltip="Beregning af fundamentsforstærkning i nærheden af brønde" display="Formelsamling!B1129" xr:uid="{00000000-0004-0000-0000-000023000000}"/>
    <hyperlink ref="P12" location="Formelsamling!B1329" tooltip="Højdetab ved afgreninger m.m." display="Formelsamling!B1329" xr:uid="{00000000-0004-0000-0000-000024000000}"/>
    <hyperlink ref="P18" location="Formelsamling!A1441" tooltip="Dimensionering af nedsivningsanlæg" display="Formelsamling!A1441" xr:uid="{00000000-0004-0000-0000-000025000000}"/>
    <hyperlink ref="P25" location="Formelsamling!A1775" tooltip="Beregning af gennemsnitlig afløbskoefficient" display="Formelsamling!A1775" xr:uid="{00000000-0004-0000-0000-000026000000}"/>
    <hyperlink ref="P26" location="Formelsamling!A1803" tooltip="Beregning af volumen og længde af faskine" display="Formelsamling!A1803" xr:uid="{00000000-0004-0000-0000-000027000000}"/>
    <hyperlink ref="P27" location="Formelsamling!A1835" tooltip="Beregning af nødvendig antal regnvandskasetter" display="Formelsamling!A1835" xr:uid="{00000000-0004-0000-0000-000028000000}"/>
    <hyperlink ref="P19" location="Formelsamling!A1495" tooltip="Dimensionering af rodzoneanlæg" display="Formelsamling!A1495" xr:uid="{00000000-0004-0000-0000-000029000000}"/>
    <hyperlink ref="P20" location="Formelsamling!A1551" tooltip="Dimensionering af biologisk sandfilteranlæg" display="Formelsamling!A1551" xr:uid="{00000000-0004-0000-0000-00002A000000}"/>
    <hyperlink ref="P21" location="Formelsamling!A1608" tooltip="Dimensionering af pileanlæg" display="Formelsamling!A1608" xr:uid="{00000000-0004-0000-0000-00002B000000}"/>
    <hyperlink ref="P22" location="Formelsamling!A1727" tooltip="Dimensionering af beplantede filteranlæg" display="Formelsamling!A1727" xr:uid="{00000000-0004-0000-0000-00002C000000}"/>
    <hyperlink ref="P15:W15" location="Formelsamling!A1406" display="ΣqS,f  - Forudsat spildevandsstrøm" xr:uid="{00000000-0004-0000-0000-00002D000000}"/>
    <hyperlink ref="AD78:AH78" location="Formelsamling!A1" display="HJEM" xr:uid="{00000000-0004-0000-0000-00002E000000}"/>
    <hyperlink ref="AD696:AH696" location="Formelsamling!A1" display="HJEM" xr:uid="{00000000-0004-0000-0000-00002F000000}"/>
    <hyperlink ref="AD721:AH721" location="Formelsamling!A1" display="HJEM" xr:uid="{00000000-0004-0000-0000-000030000000}"/>
    <hyperlink ref="AD737:AH737" location="Formelsamling!A1" display="HJEM" xr:uid="{00000000-0004-0000-0000-000031000000}"/>
    <hyperlink ref="AD793:AH793" location="Formelsamling!A1" display="HJEM" xr:uid="{00000000-0004-0000-0000-000032000000}"/>
    <hyperlink ref="AD851:AH851" location="Formelsamling!A1" display="HJEM" xr:uid="{00000000-0004-0000-0000-000033000000}"/>
    <hyperlink ref="AD878:AH878" location="Formelsamling!A1" display="HJEM" xr:uid="{00000000-0004-0000-0000-000034000000}"/>
    <hyperlink ref="AD898:AH898" location="Formelsamling!A1" display="HJEM" xr:uid="{00000000-0004-0000-0000-000035000000}"/>
    <hyperlink ref="AD968:AH968" location="Formelsamling!A1" display="HJEM" xr:uid="{00000000-0004-0000-0000-000036000000}"/>
    <hyperlink ref="AD1090:AH1090" location="Formelsamling!A1" display="HJEM" xr:uid="{00000000-0004-0000-0000-000037000000}"/>
    <hyperlink ref="AD1113:AH1113" location="Formelsamling!A1" display="HJEM" xr:uid="{00000000-0004-0000-0000-000038000000}"/>
    <hyperlink ref="AD1151:AH1151" location="Formelsamling!A1" display="HJEM" xr:uid="{00000000-0004-0000-0000-000039000000}"/>
    <hyperlink ref="AD1275:AH1275" location="Formelsamling!A1" display="HJEM" xr:uid="{00000000-0004-0000-0000-00003A000000}"/>
    <hyperlink ref="AD1302:AH1302" location="Formelsamling!A1" display="HJEM" xr:uid="{00000000-0004-0000-0000-00003B000000}"/>
    <hyperlink ref="AD1311:AH1311" location="Formelsamling!A1" display="HJEM" xr:uid="{00000000-0004-0000-0000-00003C000000}"/>
    <hyperlink ref="AD1369:AH1369" location="Formelsamling!A1" display="HJEM" xr:uid="{00000000-0004-0000-0000-00003D000000}"/>
    <hyperlink ref="AD1427:AH1427" location="Formelsamling!A1" display="HJEM" xr:uid="{00000000-0004-0000-0000-00003E000000}"/>
    <hyperlink ref="AD1487:AH1487" location="Formelsamling!A1" display="HJEM" xr:uid="{00000000-0004-0000-0000-00003F000000}"/>
    <hyperlink ref="AE1766:AI1766" location="Formelsamling!A1" display="HJEM" xr:uid="{00000000-0004-0000-0000-000040000000}"/>
    <hyperlink ref="AE1792:AI1792" location="Formelsamling!A1" display="HJEM" xr:uid="{00000000-0004-0000-0000-000041000000}"/>
    <hyperlink ref="AE1822:AI1822" location="Formelsamling!A1" display="HJEM" xr:uid="{00000000-0004-0000-0000-000042000000}"/>
  </hyperlinks>
  <pageMargins left="0.59055118110236227" right="0.39370078740157483" top="0.59055118110236227" bottom="0.78740157480314965" header="0" footer="0"/>
  <pageSetup paperSize="9" firstPageNumber="2" orientation="portrait" useFirstPageNumber="1" horizontalDpi="1200" verticalDpi="1200" r:id="rId1"/>
  <headerFooter alignWithMargins="0">
    <oddFooter>&amp;R&amp;P</oddFooter>
  </headerFooter>
  <rowBreaks count="19" manualBreakCount="19">
    <brk id="57" max="16383" man="1"/>
    <brk id="118" max="16383" man="1"/>
    <brk id="177" max="16383" man="1"/>
    <brk id="237" max="16383" man="1"/>
    <brk id="297" max="16383" man="1"/>
    <brk id="356" max="16383" man="1"/>
    <brk id="428" max="16383" man="1"/>
    <brk id="487" max="16383" man="1"/>
    <brk id="548" max="16383" man="1"/>
    <brk id="607" max="16383" man="1"/>
    <brk id="671" max="16383" man="1"/>
    <brk id="731" max="16383" man="1"/>
    <brk id="788" max="16383" man="1"/>
    <brk id="847" max="16383" man="1"/>
    <brk id="907" max="16383" man="1"/>
    <brk id="1027" max="16383" man="1"/>
    <brk id="1086" max="16383" man="1"/>
    <brk id="1206" max="16383" man="1"/>
    <brk id="124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2"/>
  <dimension ref="A1:AB75"/>
  <sheetViews>
    <sheetView topLeftCell="A65" workbookViewId="0">
      <selection activeCell="A95" sqref="A95"/>
    </sheetView>
  </sheetViews>
  <sheetFormatPr defaultColWidth="8.85546875" defaultRowHeight="12.75" x14ac:dyDescent="0.2"/>
  <cols>
    <col min="1" max="5" width="25.7109375" customWidth="1"/>
  </cols>
  <sheetData>
    <row r="1" spans="1:28" ht="13.5" thickBot="1" x14ac:dyDescent="0.25">
      <c r="A1" s="759" t="s">
        <v>488</v>
      </c>
      <c r="B1" s="760"/>
      <c r="C1" s="192" t="s">
        <v>489</v>
      </c>
      <c r="D1" s="192" t="s">
        <v>490</v>
      </c>
      <c r="E1" s="192" t="s">
        <v>491</v>
      </c>
    </row>
    <row r="2" spans="1:28" ht="51.75" thickBot="1" x14ac:dyDescent="0.25">
      <c r="A2" s="198" t="s">
        <v>485</v>
      </c>
      <c r="B2" s="197"/>
      <c r="C2" s="197" t="s">
        <v>492</v>
      </c>
      <c r="D2" s="197" t="s">
        <v>493</v>
      </c>
      <c r="E2" s="197" t="s">
        <v>494</v>
      </c>
    </row>
    <row r="3" spans="1:28" ht="38.25" x14ac:dyDescent="0.2">
      <c r="A3" s="193" t="s">
        <v>495</v>
      </c>
      <c r="B3" s="194"/>
      <c r="C3" s="194" t="s">
        <v>496</v>
      </c>
      <c r="D3" s="194" t="s">
        <v>497</v>
      </c>
      <c r="E3" s="194" t="s">
        <v>498</v>
      </c>
    </row>
    <row r="4" spans="1:28" ht="77.25" thickBot="1" x14ac:dyDescent="0.25">
      <c r="A4" s="195"/>
      <c r="B4" s="196"/>
      <c r="C4" s="197" t="s">
        <v>499</v>
      </c>
      <c r="D4" s="196"/>
      <c r="E4" s="197" t="s">
        <v>500</v>
      </c>
    </row>
    <row r="5" spans="1:28" ht="64.5" thickBot="1" x14ac:dyDescent="0.25">
      <c r="A5" s="198" t="s">
        <v>501</v>
      </c>
      <c r="B5" s="197"/>
      <c r="C5" s="197" t="s">
        <v>502</v>
      </c>
      <c r="D5" s="197" t="s">
        <v>441</v>
      </c>
      <c r="E5" s="197" t="s">
        <v>503</v>
      </c>
    </row>
    <row r="6" spans="1:28" ht="51.75" thickBot="1" x14ac:dyDescent="0.25">
      <c r="A6" s="198" t="s">
        <v>504</v>
      </c>
      <c r="B6" s="197"/>
      <c r="C6" s="197" t="s">
        <v>492</v>
      </c>
      <c r="D6" s="197" t="s">
        <v>441</v>
      </c>
      <c r="E6" s="197" t="s">
        <v>505</v>
      </c>
    </row>
    <row r="7" spans="1:28" ht="15.75" thickBot="1" x14ac:dyDescent="0.25">
      <c r="A7" s="195"/>
      <c r="B7" s="196"/>
      <c r="C7" s="196"/>
      <c r="D7" s="196"/>
      <c r="E7" s="199" t="s">
        <v>506</v>
      </c>
    </row>
    <row r="8" spans="1:28" ht="15.75" x14ac:dyDescent="0.25">
      <c r="A8" s="176"/>
      <c r="B8" s="176"/>
    </row>
    <row r="11" spans="1:28" x14ac:dyDescent="0.2">
      <c r="A11" s="423" t="s">
        <v>0</v>
      </c>
      <c r="B11" s="378"/>
      <c r="C11" s="378"/>
      <c r="D11" s="378"/>
      <c r="E11" s="378"/>
      <c r="F11" s="378"/>
      <c r="G11" s="374" t="s">
        <v>1</v>
      </c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374"/>
      <c r="S11" s="374"/>
      <c r="T11" s="374"/>
      <c r="U11" s="8"/>
      <c r="V11" s="8"/>
      <c r="W11" s="9"/>
      <c r="X11" s="9"/>
      <c r="Y11" s="378" t="s">
        <v>2</v>
      </c>
      <c r="Z11" s="378"/>
      <c r="AA11" s="378"/>
      <c r="AB11" s="1"/>
    </row>
    <row r="12" spans="1:28" x14ac:dyDescent="0.2">
      <c r="A12" s="382"/>
      <c r="B12" s="379"/>
      <c r="C12" s="379"/>
      <c r="D12" s="379"/>
      <c r="E12" s="379"/>
      <c r="F12" s="379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375"/>
      <c r="R12" s="375"/>
      <c r="S12" s="375"/>
      <c r="T12" s="375"/>
      <c r="U12" s="6"/>
      <c r="V12" s="6"/>
      <c r="W12" s="10"/>
      <c r="X12" s="14">
        <f>Formelsamling!X1367+1</f>
        <v>26</v>
      </c>
      <c r="Y12" s="379"/>
      <c r="Z12" s="379"/>
      <c r="AA12" s="379"/>
      <c r="AB12" s="4"/>
    </row>
    <row r="13" spans="1:28" x14ac:dyDescent="0.2">
      <c r="A13" s="380" t="s">
        <v>3</v>
      </c>
      <c r="B13" s="381"/>
      <c r="C13" s="381"/>
      <c r="D13" s="381"/>
      <c r="E13" s="381"/>
      <c r="F13" s="381"/>
      <c r="G13" s="383" t="s">
        <v>5</v>
      </c>
      <c r="H13" s="383"/>
      <c r="I13" s="383"/>
      <c r="J13" s="383"/>
      <c r="K13" s="383"/>
      <c r="L13" s="383"/>
      <c r="M13" s="383"/>
      <c r="N13" s="383"/>
      <c r="O13" s="383"/>
      <c r="P13" s="383"/>
      <c r="Q13" s="383"/>
      <c r="R13" s="383"/>
      <c r="S13" s="383"/>
      <c r="T13" s="383"/>
      <c r="U13" s="5"/>
      <c r="V13" s="5"/>
      <c r="W13" s="2"/>
      <c r="X13" s="384" t="s">
        <v>4</v>
      </c>
      <c r="Y13" s="384"/>
      <c r="Z13" s="384"/>
      <c r="AA13" s="384"/>
      <c r="AB13" s="385"/>
    </row>
    <row r="14" spans="1:28" x14ac:dyDescent="0.2">
      <c r="A14" s="382"/>
      <c r="B14" s="379"/>
      <c r="C14" s="379"/>
      <c r="D14" s="379"/>
      <c r="E14" s="379"/>
      <c r="F14" s="379"/>
      <c r="G14" s="388" t="s">
        <v>436</v>
      </c>
      <c r="H14" s="388"/>
      <c r="I14" s="388"/>
      <c r="J14" s="388"/>
      <c r="K14" s="388"/>
      <c r="L14" s="388"/>
      <c r="M14" s="388"/>
      <c r="N14" s="388"/>
      <c r="O14" s="388"/>
      <c r="P14" s="388"/>
      <c r="Q14" s="388"/>
      <c r="R14" s="388"/>
      <c r="S14" s="388"/>
      <c r="T14" s="388"/>
      <c r="U14" s="7"/>
      <c r="V14" s="7"/>
      <c r="W14" s="3"/>
      <c r="X14" s="386"/>
      <c r="Y14" s="386"/>
      <c r="Z14" s="386"/>
      <c r="AA14" s="386"/>
      <c r="AB14" s="387"/>
    </row>
    <row r="16" spans="1:28" x14ac:dyDescent="0.2">
      <c r="B16" s="170"/>
      <c r="C16" s="171"/>
      <c r="D16" s="171"/>
      <c r="E16" s="171"/>
      <c r="F16" s="170"/>
      <c r="G16" s="171"/>
      <c r="H16" s="171"/>
      <c r="I16" s="171"/>
      <c r="J16" s="172"/>
      <c r="K16" s="170" t="s">
        <v>445</v>
      </c>
      <c r="L16" s="171"/>
      <c r="M16" s="171"/>
      <c r="N16" s="172"/>
      <c r="O16" s="170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2"/>
    </row>
    <row r="17" spans="2:28" x14ac:dyDescent="0.2">
      <c r="B17" s="173" t="s">
        <v>437</v>
      </c>
      <c r="C17" s="174"/>
      <c r="D17" s="174"/>
      <c r="E17" s="174"/>
      <c r="F17" s="173" t="s">
        <v>439</v>
      </c>
      <c r="G17" s="174"/>
      <c r="H17" s="174"/>
      <c r="I17" s="174"/>
      <c r="J17" s="175"/>
      <c r="K17" s="173" t="s">
        <v>438</v>
      </c>
      <c r="L17" s="174"/>
      <c r="M17" s="174"/>
      <c r="N17" s="175"/>
      <c r="O17" s="173" t="s">
        <v>446</v>
      </c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5"/>
    </row>
    <row r="18" spans="2:28" x14ac:dyDescent="0.2">
      <c r="B18" s="34" t="s">
        <v>438</v>
      </c>
      <c r="C18" s="35"/>
      <c r="D18" s="35"/>
      <c r="E18" s="35"/>
      <c r="F18" s="190" t="s">
        <v>440</v>
      </c>
      <c r="G18" s="191" t="s">
        <v>442</v>
      </c>
      <c r="H18" s="191" t="s">
        <v>443</v>
      </c>
      <c r="I18" s="757" t="s">
        <v>444</v>
      </c>
      <c r="J18" s="758"/>
      <c r="K18" s="34" t="s">
        <v>438</v>
      </c>
      <c r="L18" s="35"/>
      <c r="M18" s="35"/>
      <c r="N18" s="36"/>
      <c r="O18" s="168" t="s">
        <v>448</v>
      </c>
      <c r="P18" s="35" t="s">
        <v>447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6"/>
    </row>
    <row r="19" spans="2:28" x14ac:dyDescent="0.2">
      <c r="B19" s="39"/>
      <c r="C19" s="2"/>
      <c r="D19" s="2"/>
      <c r="E19" s="2"/>
      <c r="F19" s="39"/>
      <c r="G19" s="2"/>
      <c r="H19" s="2"/>
      <c r="I19" s="2"/>
      <c r="J19" s="40"/>
      <c r="K19" s="39"/>
      <c r="L19" s="2"/>
      <c r="M19" s="2"/>
      <c r="N19" s="40"/>
      <c r="O19" s="39"/>
      <c r="P19" s="2" t="s">
        <v>449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40"/>
    </row>
    <row r="20" spans="2:28" x14ac:dyDescent="0.2">
      <c r="B20" s="39"/>
      <c r="C20" s="2"/>
      <c r="D20" s="2"/>
      <c r="E20" s="2"/>
      <c r="F20" s="39"/>
      <c r="G20" s="2"/>
      <c r="H20" s="2"/>
      <c r="I20" s="2"/>
      <c r="J20" s="40"/>
      <c r="K20" s="39"/>
      <c r="L20" s="2"/>
      <c r="M20" s="2"/>
      <c r="N20" s="40"/>
      <c r="O20" s="3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40"/>
    </row>
    <row r="21" spans="2:28" x14ac:dyDescent="0.2">
      <c r="B21" s="39"/>
      <c r="C21" s="2"/>
      <c r="D21" s="2"/>
      <c r="E21" s="2"/>
      <c r="F21" s="39"/>
      <c r="G21" s="2"/>
      <c r="H21" s="2"/>
      <c r="I21" s="2"/>
      <c r="J21" s="40"/>
      <c r="K21" s="39"/>
      <c r="L21" s="2"/>
      <c r="M21" s="2"/>
      <c r="N21" s="40"/>
      <c r="O21" s="169" t="s">
        <v>448</v>
      </c>
      <c r="P21" s="2" t="s">
        <v>450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40"/>
    </row>
    <row r="22" spans="2:28" x14ac:dyDescent="0.2">
      <c r="B22" s="39"/>
      <c r="C22" s="2"/>
      <c r="D22" s="2"/>
      <c r="E22" s="2"/>
      <c r="F22" s="39"/>
      <c r="G22" s="2"/>
      <c r="H22" s="2"/>
      <c r="I22" s="2"/>
      <c r="J22" s="40"/>
      <c r="K22" s="39"/>
      <c r="L22" s="2"/>
      <c r="M22" s="2"/>
      <c r="N22" s="40"/>
      <c r="O22" s="39"/>
      <c r="P22" s="99" t="s">
        <v>451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40"/>
    </row>
    <row r="23" spans="2:28" x14ac:dyDescent="0.2">
      <c r="B23" s="39"/>
      <c r="C23" s="2"/>
      <c r="D23" s="2"/>
      <c r="E23" s="2"/>
      <c r="F23" s="39"/>
      <c r="G23" s="2"/>
      <c r="H23" s="2"/>
      <c r="I23" s="2"/>
      <c r="J23" s="40"/>
      <c r="K23" s="39"/>
      <c r="L23" s="2"/>
      <c r="M23" s="2"/>
      <c r="N23" s="40"/>
      <c r="O23" s="39"/>
      <c r="P23" s="99" t="s">
        <v>452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40"/>
    </row>
    <row r="24" spans="2:28" x14ac:dyDescent="0.2">
      <c r="B24" s="39"/>
      <c r="C24" s="2"/>
      <c r="D24" s="2"/>
      <c r="E24" s="2"/>
      <c r="F24" s="39"/>
      <c r="G24" s="2"/>
      <c r="H24" s="2"/>
      <c r="I24" s="2"/>
      <c r="J24" s="40"/>
      <c r="K24" s="39"/>
      <c r="L24" s="2"/>
      <c r="M24" s="2"/>
      <c r="N24" s="40"/>
      <c r="O24" s="39"/>
      <c r="P24" s="99"/>
      <c r="Q24" s="2"/>
      <c r="R24" s="2"/>
      <c r="S24" s="2"/>
      <c r="T24" s="2"/>
      <c r="U24" s="2"/>
      <c r="V24" s="2"/>
      <c r="W24" s="2"/>
      <c r="X24" s="2"/>
      <c r="Y24" s="2"/>
      <c r="Z24" s="2"/>
      <c r="AA24" s="40"/>
    </row>
    <row r="25" spans="2:28" x14ac:dyDescent="0.2">
      <c r="B25" s="39"/>
      <c r="C25" s="2"/>
      <c r="D25" s="2"/>
      <c r="E25" s="2"/>
      <c r="F25" s="39"/>
      <c r="G25" s="2"/>
      <c r="H25" s="2"/>
      <c r="I25" s="2"/>
      <c r="J25" s="40"/>
      <c r="K25" s="39"/>
      <c r="L25" s="2"/>
      <c r="M25" s="2"/>
      <c r="N25" s="40"/>
      <c r="O25" s="83"/>
      <c r="P25" s="85" t="s">
        <v>453</v>
      </c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108"/>
    </row>
    <row r="26" spans="2:28" x14ac:dyDescent="0.2">
      <c r="B26" s="39"/>
      <c r="C26" s="2"/>
      <c r="D26" s="2"/>
      <c r="E26" s="2"/>
      <c r="F26" s="39"/>
      <c r="G26" s="2"/>
      <c r="H26" s="2"/>
      <c r="I26" s="2"/>
      <c r="J26" s="40"/>
      <c r="K26" s="39"/>
      <c r="L26" s="2"/>
      <c r="M26" s="2"/>
      <c r="N26" s="40"/>
      <c r="O26" s="177" t="s">
        <v>464</v>
      </c>
      <c r="P26" s="2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9"/>
      <c r="AB26" s="26"/>
    </row>
    <row r="27" spans="2:28" x14ac:dyDescent="0.2">
      <c r="B27" s="39"/>
      <c r="C27" s="2"/>
      <c r="D27" s="2"/>
      <c r="E27" s="2"/>
      <c r="F27" s="39"/>
      <c r="G27" s="2"/>
      <c r="H27" s="2"/>
      <c r="I27" s="2"/>
      <c r="J27" s="40"/>
      <c r="K27" s="39"/>
      <c r="L27" s="2"/>
      <c r="M27" s="2"/>
      <c r="N27" s="40"/>
      <c r="O27" s="169" t="s">
        <v>448</v>
      </c>
      <c r="P27" s="178" t="s">
        <v>456</v>
      </c>
      <c r="Q27" s="178"/>
      <c r="R27" s="178"/>
      <c r="S27" s="178"/>
      <c r="T27" s="178"/>
      <c r="U27" s="178"/>
      <c r="V27" s="178"/>
      <c r="W27" s="178"/>
      <c r="X27" s="178"/>
      <c r="Y27" s="383">
        <v>300</v>
      </c>
      <c r="Z27" s="383"/>
      <c r="AA27" s="179" t="s">
        <v>231</v>
      </c>
      <c r="AB27" s="26"/>
    </row>
    <row r="28" spans="2:28" x14ac:dyDescent="0.2">
      <c r="B28" s="39"/>
      <c r="C28" s="2"/>
      <c r="D28" s="2"/>
      <c r="E28" s="2"/>
      <c r="F28" s="39"/>
      <c r="G28" s="2"/>
      <c r="H28" s="2"/>
      <c r="I28" s="2"/>
      <c r="J28" s="40"/>
      <c r="K28" s="39"/>
      <c r="L28" s="2"/>
      <c r="M28" s="2"/>
      <c r="N28" s="40"/>
      <c r="O28" s="169" t="s">
        <v>448</v>
      </c>
      <c r="P28" s="178" t="s">
        <v>457</v>
      </c>
      <c r="Q28" s="178"/>
      <c r="R28" s="178"/>
      <c r="S28" s="178"/>
      <c r="T28" s="178"/>
      <c r="U28" s="178"/>
      <c r="V28" s="178"/>
      <c r="W28" s="178"/>
      <c r="X28" s="178"/>
      <c r="Y28" s="383">
        <v>75</v>
      </c>
      <c r="Z28" s="383"/>
      <c r="AA28" s="179" t="s">
        <v>231</v>
      </c>
      <c r="AB28" s="26"/>
    </row>
    <row r="29" spans="2:28" x14ac:dyDescent="0.2">
      <c r="B29" s="39"/>
      <c r="C29" s="2"/>
      <c r="D29" s="2"/>
      <c r="E29" s="2"/>
      <c r="F29" s="39"/>
      <c r="G29" s="2"/>
      <c r="H29" s="2"/>
      <c r="I29" s="2"/>
      <c r="J29" s="40"/>
      <c r="K29" s="39"/>
      <c r="L29" s="2"/>
      <c r="M29" s="2"/>
      <c r="N29" s="40"/>
      <c r="O29" s="169"/>
      <c r="P29" s="178"/>
      <c r="Q29" s="178"/>
      <c r="R29" s="178"/>
      <c r="S29" s="178"/>
      <c r="T29" s="178"/>
      <c r="U29" s="178"/>
      <c r="V29" s="178"/>
      <c r="W29" s="178"/>
      <c r="X29" s="178"/>
      <c r="Y29" s="5"/>
      <c r="Z29" s="5"/>
      <c r="AA29" s="179"/>
      <c r="AB29" s="26"/>
    </row>
    <row r="30" spans="2:28" x14ac:dyDescent="0.2">
      <c r="B30" s="39"/>
      <c r="C30" s="2"/>
      <c r="D30" s="2"/>
      <c r="E30" s="2"/>
      <c r="F30" s="39"/>
      <c r="G30" s="2"/>
      <c r="H30" s="2"/>
      <c r="I30" s="2"/>
      <c r="J30" s="40"/>
      <c r="K30" s="39"/>
      <c r="L30" s="2"/>
      <c r="M30" s="2"/>
      <c r="N30" s="40"/>
      <c r="O30" s="177" t="s">
        <v>458</v>
      </c>
      <c r="P30" s="2"/>
      <c r="Q30" s="178"/>
      <c r="R30" s="178"/>
      <c r="S30" s="178"/>
      <c r="T30" s="178"/>
      <c r="U30" s="178"/>
      <c r="V30" s="178"/>
      <c r="W30" s="178"/>
      <c r="X30" s="178"/>
      <c r="Y30" s="5"/>
      <c r="Z30" s="5"/>
      <c r="AA30" s="179"/>
      <c r="AB30" s="26"/>
    </row>
    <row r="31" spans="2:28" x14ac:dyDescent="0.2">
      <c r="B31" s="39"/>
      <c r="C31" s="2"/>
      <c r="D31" s="2"/>
      <c r="E31" s="2"/>
      <c r="F31" s="39"/>
      <c r="G31" s="2"/>
      <c r="H31" s="2"/>
      <c r="I31" s="2"/>
      <c r="J31" s="40"/>
      <c r="K31" s="39"/>
      <c r="L31" s="2"/>
      <c r="M31" s="2"/>
      <c r="N31" s="40"/>
      <c r="O31" s="169" t="s">
        <v>448</v>
      </c>
      <c r="P31" s="178" t="s">
        <v>459</v>
      </c>
      <c r="Q31" s="2"/>
      <c r="R31" s="2"/>
      <c r="S31" s="2"/>
      <c r="T31" s="2"/>
      <c r="U31" s="2"/>
      <c r="V31" s="2"/>
      <c r="W31" s="2"/>
      <c r="X31" s="2"/>
      <c r="Y31" s="383">
        <v>150</v>
      </c>
      <c r="Z31" s="383"/>
      <c r="AA31" s="179" t="s">
        <v>231</v>
      </c>
    </row>
    <row r="32" spans="2:28" x14ac:dyDescent="0.2">
      <c r="B32" s="39"/>
      <c r="C32" s="2"/>
      <c r="D32" s="2"/>
      <c r="E32" s="2"/>
      <c r="F32" s="39"/>
      <c r="G32" s="2"/>
      <c r="H32" s="2"/>
      <c r="I32" s="2"/>
      <c r="J32" s="40"/>
      <c r="K32" s="39"/>
      <c r="L32" s="2"/>
      <c r="M32" s="2"/>
      <c r="N32" s="40"/>
      <c r="O32" s="169" t="s">
        <v>448</v>
      </c>
      <c r="P32" s="180" t="s">
        <v>460</v>
      </c>
      <c r="Q32" s="2"/>
      <c r="R32" s="2"/>
      <c r="S32" s="2"/>
      <c r="T32" s="2"/>
      <c r="U32" s="2"/>
      <c r="V32" s="2"/>
      <c r="W32" s="2"/>
      <c r="X32" s="2"/>
      <c r="Y32" s="383">
        <v>75</v>
      </c>
      <c r="Z32" s="383"/>
      <c r="AA32" s="179" t="s">
        <v>231</v>
      </c>
    </row>
    <row r="33" spans="2:27" x14ac:dyDescent="0.2">
      <c r="B33" s="39"/>
      <c r="C33" s="2"/>
      <c r="D33" s="2"/>
      <c r="E33" s="2"/>
      <c r="F33" s="39"/>
      <c r="G33" s="2"/>
      <c r="H33" s="2"/>
      <c r="I33" s="2"/>
      <c r="J33" s="40"/>
      <c r="K33" s="39"/>
      <c r="L33" s="2"/>
      <c r="M33" s="2"/>
      <c r="N33" s="40"/>
      <c r="O33" s="39"/>
      <c r="P33" s="180"/>
      <c r="Q33" s="2"/>
      <c r="R33" s="2"/>
      <c r="S33" s="2"/>
      <c r="T33" s="2"/>
      <c r="U33" s="2"/>
      <c r="V33" s="2"/>
      <c r="W33" s="2"/>
      <c r="X33" s="2"/>
      <c r="Y33" s="5"/>
      <c r="Z33" s="5"/>
      <c r="AA33" s="179"/>
    </row>
    <row r="34" spans="2:27" x14ac:dyDescent="0.2">
      <c r="B34" s="39"/>
      <c r="C34" s="2"/>
      <c r="D34" s="2"/>
      <c r="E34" s="2"/>
      <c r="F34" s="39"/>
      <c r="G34" s="2"/>
      <c r="H34" s="2"/>
      <c r="I34" s="2"/>
      <c r="J34" s="40"/>
      <c r="K34" s="39"/>
      <c r="L34" s="2"/>
      <c r="M34" s="2"/>
      <c r="N34" s="40"/>
      <c r="O34" s="177" t="s">
        <v>461</v>
      </c>
      <c r="P34" s="180"/>
      <c r="Q34" s="2"/>
      <c r="R34" s="2"/>
      <c r="S34" s="2"/>
      <c r="T34" s="2"/>
      <c r="U34" s="2"/>
      <c r="V34" s="2"/>
      <c r="W34" s="2"/>
      <c r="X34" s="2"/>
      <c r="Y34" s="5"/>
      <c r="Z34" s="5"/>
      <c r="AA34" s="179"/>
    </row>
    <row r="35" spans="2:27" x14ac:dyDescent="0.2">
      <c r="B35" s="39"/>
      <c r="C35" s="2"/>
      <c r="D35" s="2"/>
      <c r="E35" s="2"/>
      <c r="F35" s="39"/>
      <c r="G35" s="2"/>
      <c r="H35" s="2"/>
      <c r="I35" s="2"/>
      <c r="J35" s="40"/>
      <c r="K35" s="39"/>
      <c r="L35" s="2"/>
      <c r="M35" s="2"/>
      <c r="N35" s="40"/>
      <c r="O35" s="169" t="s">
        <v>448</v>
      </c>
      <c r="P35" s="185" t="s">
        <v>462</v>
      </c>
      <c r="Q35" s="2"/>
      <c r="R35" s="2"/>
      <c r="S35" s="2"/>
      <c r="T35" s="2"/>
      <c r="U35" s="2"/>
      <c r="V35" s="2"/>
      <c r="W35" s="2"/>
      <c r="X35" s="2"/>
      <c r="Y35" s="383">
        <v>25</v>
      </c>
      <c r="Z35" s="383"/>
      <c r="AA35" s="179" t="s">
        <v>231</v>
      </c>
    </row>
    <row r="36" spans="2:27" x14ac:dyDescent="0.2">
      <c r="B36" s="39"/>
      <c r="C36" s="2"/>
      <c r="D36" s="2"/>
      <c r="E36" s="2"/>
      <c r="F36" s="39"/>
      <c r="G36" s="2"/>
      <c r="H36" s="2"/>
      <c r="I36" s="2"/>
      <c r="J36" s="40"/>
      <c r="K36" s="39"/>
      <c r="L36" s="2"/>
      <c r="M36" s="2"/>
      <c r="N36" s="40"/>
      <c r="O36" s="2"/>
      <c r="P36" s="180" t="s">
        <v>463</v>
      </c>
      <c r="Q36" s="2"/>
      <c r="R36" s="2"/>
      <c r="S36" s="2"/>
      <c r="T36" s="2"/>
      <c r="U36" s="2"/>
      <c r="V36" s="2"/>
      <c r="W36" s="2"/>
      <c r="X36" s="2"/>
      <c r="Y36" s="383">
        <v>5</v>
      </c>
      <c r="Z36" s="383"/>
      <c r="AA36" s="179" t="s">
        <v>231</v>
      </c>
    </row>
    <row r="37" spans="2:27" x14ac:dyDescent="0.2">
      <c r="B37" s="39"/>
      <c r="C37" s="2"/>
      <c r="D37" s="2"/>
      <c r="E37" s="2"/>
      <c r="F37" s="39"/>
      <c r="G37" s="2"/>
      <c r="H37" s="2"/>
      <c r="I37" s="2"/>
      <c r="J37" s="40"/>
      <c r="K37" s="39"/>
      <c r="L37" s="2"/>
      <c r="M37" s="2"/>
      <c r="N37" s="40"/>
      <c r="O37" s="169" t="s">
        <v>448</v>
      </c>
      <c r="P37" s="180" t="s">
        <v>471</v>
      </c>
      <c r="Q37" s="2"/>
      <c r="R37" s="2"/>
      <c r="S37" s="2"/>
      <c r="T37" s="2"/>
      <c r="U37" s="2"/>
      <c r="V37" s="2"/>
      <c r="W37" s="2"/>
      <c r="X37" s="2"/>
      <c r="Y37" s="383">
        <v>10</v>
      </c>
      <c r="Z37" s="383"/>
      <c r="AA37" s="179" t="s">
        <v>231</v>
      </c>
    </row>
    <row r="38" spans="2:27" x14ac:dyDescent="0.2">
      <c r="B38" s="39"/>
      <c r="C38" s="2"/>
      <c r="D38" s="2"/>
      <c r="E38" s="2"/>
      <c r="F38" s="39"/>
      <c r="G38" s="2"/>
      <c r="H38" s="2"/>
      <c r="I38" s="2"/>
      <c r="J38" s="40"/>
      <c r="K38" s="39"/>
      <c r="L38" s="2"/>
      <c r="M38" s="2"/>
      <c r="N38" s="40"/>
      <c r="O38" s="169"/>
      <c r="P38" s="180"/>
      <c r="Q38" s="2"/>
      <c r="R38" s="2"/>
      <c r="S38" s="2"/>
      <c r="T38" s="2"/>
      <c r="U38" s="2"/>
      <c r="V38" s="2"/>
      <c r="W38" s="2"/>
      <c r="X38" s="2"/>
      <c r="Y38" s="5"/>
      <c r="Z38" s="5"/>
      <c r="AA38" s="179"/>
    </row>
    <row r="39" spans="2:27" x14ac:dyDescent="0.2">
      <c r="B39" s="39"/>
      <c r="C39" s="2"/>
      <c r="D39" s="2"/>
      <c r="E39" s="2"/>
      <c r="F39" s="39"/>
      <c r="G39" s="2"/>
      <c r="H39" s="2"/>
      <c r="I39" s="2"/>
      <c r="J39" s="40"/>
      <c r="K39" s="39"/>
      <c r="L39" s="2"/>
      <c r="M39" s="2"/>
      <c r="N39" s="40"/>
      <c r="O39" s="183" t="s">
        <v>472</v>
      </c>
      <c r="P39" s="180"/>
      <c r="Q39" s="2"/>
      <c r="R39" s="2"/>
      <c r="S39" s="2"/>
      <c r="T39" s="2"/>
      <c r="U39" s="2"/>
      <c r="V39" s="2"/>
      <c r="W39" s="2"/>
      <c r="X39" s="2"/>
      <c r="Y39" s="5"/>
      <c r="Z39" s="5"/>
      <c r="AA39" s="179"/>
    </row>
    <row r="40" spans="2:27" x14ac:dyDescent="0.2">
      <c r="B40" s="39"/>
      <c r="C40" s="2"/>
      <c r="D40" s="2"/>
      <c r="E40" s="2"/>
      <c r="F40" s="39"/>
      <c r="G40" s="2"/>
      <c r="H40" s="2"/>
      <c r="I40" s="2"/>
      <c r="J40" s="40"/>
      <c r="K40" s="39"/>
      <c r="L40" s="2"/>
      <c r="M40" s="2"/>
      <c r="N40" s="40"/>
      <c r="O40" s="169" t="s">
        <v>448</v>
      </c>
      <c r="P40" s="184" t="s">
        <v>473</v>
      </c>
      <c r="Q40" s="2"/>
      <c r="R40" s="2"/>
      <c r="S40" s="2"/>
      <c r="T40" s="2"/>
      <c r="U40" s="2"/>
      <c r="V40" s="2"/>
      <c r="W40" s="2"/>
      <c r="X40" s="2"/>
      <c r="Y40" s="383">
        <v>50</v>
      </c>
      <c r="Z40" s="383"/>
      <c r="AA40" s="179" t="s">
        <v>231</v>
      </c>
    </row>
    <row r="41" spans="2:27" x14ac:dyDescent="0.2">
      <c r="B41" s="39"/>
      <c r="C41" s="2"/>
      <c r="D41" s="2"/>
      <c r="E41" s="2"/>
      <c r="F41" s="39"/>
      <c r="G41" s="2"/>
      <c r="H41" s="2"/>
      <c r="I41" s="2"/>
      <c r="J41" s="40"/>
      <c r="K41" s="39"/>
      <c r="L41" s="2"/>
      <c r="M41" s="2"/>
      <c r="N41" s="40"/>
      <c r="O41" s="169" t="s">
        <v>448</v>
      </c>
      <c r="P41" s="184" t="s">
        <v>474</v>
      </c>
      <c r="Q41" s="2"/>
      <c r="R41" s="2"/>
      <c r="S41" s="2"/>
      <c r="T41" s="2"/>
      <c r="U41" s="2"/>
      <c r="V41" s="2"/>
      <c r="W41" s="2"/>
      <c r="X41" s="2"/>
      <c r="Y41" s="383">
        <v>5</v>
      </c>
      <c r="Z41" s="383"/>
      <c r="AA41" s="179" t="s">
        <v>231</v>
      </c>
    </row>
    <row r="42" spans="2:27" x14ac:dyDescent="0.2">
      <c r="B42" s="39"/>
      <c r="C42" s="2"/>
      <c r="D42" s="2"/>
      <c r="E42" s="2"/>
      <c r="F42" s="39"/>
      <c r="G42" s="2"/>
      <c r="H42" s="2"/>
      <c r="I42" s="2"/>
      <c r="J42" s="40"/>
      <c r="K42" s="39"/>
      <c r="L42" s="2"/>
      <c r="M42" s="2"/>
      <c r="N42" s="40"/>
      <c r="O42" s="169" t="s">
        <v>448</v>
      </c>
      <c r="P42" s="184" t="s">
        <v>475</v>
      </c>
      <c r="Q42" s="2"/>
      <c r="R42" s="2"/>
      <c r="S42" s="2"/>
      <c r="T42" s="2"/>
      <c r="U42" s="2"/>
      <c r="V42" s="2"/>
      <c r="W42" s="2"/>
      <c r="X42" s="2"/>
      <c r="Y42" s="761" t="s">
        <v>477</v>
      </c>
      <c r="Z42" s="383"/>
      <c r="AA42" s="179" t="s">
        <v>231</v>
      </c>
    </row>
    <row r="43" spans="2:27" x14ac:dyDescent="0.2">
      <c r="B43" s="39"/>
      <c r="C43" s="2"/>
      <c r="D43" s="2"/>
      <c r="E43" s="2"/>
      <c r="F43" s="39"/>
      <c r="G43" s="2"/>
      <c r="H43" s="2"/>
      <c r="I43" s="2"/>
      <c r="J43" s="40"/>
      <c r="K43" s="39"/>
      <c r="L43" s="2"/>
      <c r="M43" s="2"/>
      <c r="N43" s="40"/>
      <c r="O43" s="169" t="s">
        <v>448</v>
      </c>
      <c r="P43" s="184" t="s">
        <v>476</v>
      </c>
      <c r="Q43" s="2"/>
      <c r="R43" s="2"/>
      <c r="S43" s="2"/>
      <c r="T43" s="2"/>
      <c r="U43" s="2"/>
      <c r="V43" s="2"/>
      <c r="W43" s="2"/>
      <c r="X43" s="2"/>
      <c r="Y43" s="383">
        <v>25</v>
      </c>
      <c r="Z43" s="383"/>
      <c r="AA43" s="179" t="s">
        <v>231</v>
      </c>
    </row>
    <row r="44" spans="2:27" x14ac:dyDescent="0.2">
      <c r="B44" s="37"/>
      <c r="C44" s="3"/>
      <c r="D44" s="3"/>
      <c r="E44" s="3"/>
      <c r="F44" s="37"/>
      <c r="G44" s="3"/>
      <c r="H44" s="3"/>
      <c r="I44" s="3"/>
      <c r="J44" s="38"/>
      <c r="K44" s="37"/>
      <c r="L44" s="3"/>
      <c r="M44" s="3"/>
      <c r="N44" s="38"/>
      <c r="O44" s="37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8"/>
    </row>
    <row r="45" spans="2:27" x14ac:dyDescent="0.2">
      <c r="B45" s="34" t="s">
        <v>455</v>
      </c>
      <c r="C45" s="35"/>
      <c r="D45" s="35"/>
      <c r="E45" s="35"/>
      <c r="F45" s="190" t="s">
        <v>440</v>
      </c>
      <c r="G45" s="35"/>
      <c r="H45" s="35"/>
      <c r="I45" s="35"/>
      <c r="J45" s="36"/>
      <c r="K45" s="34" t="s">
        <v>478</v>
      </c>
      <c r="L45" s="35"/>
      <c r="M45" s="35"/>
      <c r="N45" s="36"/>
      <c r="O45" s="168" t="s">
        <v>448</v>
      </c>
      <c r="P45" s="35" t="s">
        <v>481</v>
      </c>
      <c r="Q45" s="35"/>
      <c r="R45" s="35"/>
      <c r="S45" s="35"/>
      <c r="T45" s="35"/>
      <c r="U45" s="35"/>
      <c r="V45" s="35"/>
      <c r="W45" s="35"/>
      <c r="X45" s="35"/>
      <c r="Y45" s="167"/>
      <c r="Z45" s="167"/>
      <c r="AA45" s="189"/>
    </row>
    <row r="46" spans="2:27" x14ac:dyDescent="0.2">
      <c r="B46" s="39"/>
      <c r="C46" s="2"/>
      <c r="D46" s="2"/>
      <c r="E46" s="2"/>
      <c r="F46" s="39"/>
      <c r="G46" s="2"/>
      <c r="H46" s="2"/>
      <c r="I46" s="2"/>
      <c r="J46" s="40"/>
      <c r="K46" s="39" t="s">
        <v>479</v>
      </c>
      <c r="L46" s="2"/>
      <c r="M46" s="2"/>
      <c r="N46" s="40"/>
      <c r="O46" s="169" t="s">
        <v>448</v>
      </c>
      <c r="P46" s="2" t="s">
        <v>482</v>
      </c>
      <c r="Q46" s="2"/>
      <c r="R46" s="2"/>
      <c r="S46" s="2"/>
      <c r="T46" s="2"/>
      <c r="U46" s="2"/>
      <c r="V46" s="2"/>
      <c r="W46" s="2"/>
      <c r="X46" s="2"/>
      <c r="Y46" s="5"/>
      <c r="Z46" s="5"/>
      <c r="AA46" s="179"/>
    </row>
    <row r="47" spans="2:27" x14ac:dyDescent="0.2">
      <c r="B47" s="39"/>
      <c r="C47" s="2"/>
      <c r="D47" s="2"/>
      <c r="E47" s="2"/>
      <c r="F47" s="39"/>
      <c r="G47" s="2"/>
      <c r="H47" s="2"/>
      <c r="I47" s="2"/>
      <c r="J47" s="40"/>
      <c r="K47" s="762" t="s">
        <v>480</v>
      </c>
      <c r="L47" s="763"/>
      <c r="M47" s="763"/>
      <c r="N47" s="764"/>
      <c r="O47" s="2"/>
      <c r="P47" s="2"/>
      <c r="Q47" s="2"/>
      <c r="R47" s="2"/>
      <c r="S47" s="2"/>
      <c r="T47" s="2"/>
      <c r="U47" s="2"/>
      <c r="V47" s="2"/>
      <c r="W47" s="2"/>
      <c r="X47" s="2"/>
      <c r="Y47" s="5"/>
      <c r="Z47" s="5"/>
      <c r="AA47" s="179"/>
    </row>
    <row r="48" spans="2:27" x14ac:dyDescent="0.2">
      <c r="B48" s="39"/>
      <c r="C48" s="2"/>
      <c r="D48" s="2"/>
      <c r="E48" s="2"/>
      <c r="F48" s="39"/>
      <c r="G48" s="2"/>
      <c r="H48" s="2"/>
      <c r="I48" s="2"/>
      <c r="J48" s="40"/>
      <c r="K48" s="762"/>
      <c r="L48" s="763"/>
      <c r="M48" s="763"/>
      <c r="N48" s="764"/>
      <c r="O48" s="83"/>
      <c r="P48" s="85" t="s">
        <v>453</v>
      </c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108"/>
    </row>
    <row r="49" spans="2:27" x14ac:dyDescent="0.2">
      <c r="B49" s="39"/>
      <c r="C49" s="2"/>
      <c r="D49" s="2"/>
      <c r="E49" s="2"/>
      <c r="F49" s="39"/>
      <c r="G49" s="2"/>
      <c r="H49" s="2"/>
      <c r="I49" s="2"/>
      <c r="J49" s="40"/>
      <c r="K49" s="39"/>
      <c r="L49" s="2"/>
      <c r="M49" s="2"/>
      <c r="N49" s="40"/>
      <c r="O49" s="177" t="s">
        <v>454</v>
      </c>
      <c r="P49" s="2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9"/>
    </row>
    <row r="50" spans="2:27" x14ac:dyDescent="0.2">
      <c r="B50" s="39"/>
      <c r="C50" s="2"/>
      <c r="D50" s="2"/>
      <c r="E50" s="2"/>
      <c r="F50" s="39"/>
      <c r="G50" s="2"/>
      <c r="H50" s="2"/>
      <c r="I50" s="2"/>
      <c r="J50" s="40"/>
      <c r="K50" s="39"/>
      <c r="L50" s="2"/>
      <c r="M50" s="2"/>
      <c r="N50" s="40"/>
      <c r="O50" s="169" t="s">
        <v>448</v>
      </c>
      <c r="P50" s="178" t="s">
        <v>456</v>
      </c>
      <c r="Q50" s="178"/>
      <c r="R50" s="178"/>
      <c r="S50" s="178"/>
      <c r="T50" s="178"/>
      <c r="U50" s="178"/>
      <c r="V50" s="178"/>
      <c r="W50" s="178"/>
      <c r="X50" s="178"/>
      <c r="Y50" s="383">
        <v>50</v>
      </c>
      <c r="Z50" s="383"/>
      <c r="AA50" s="179" t="s">
        <v>231</v>
      </c>
    </row>
    <row r="51" spans="2:27" x14ac:dyDescent="0.2">
      <c r="B51" s="39"/>
      <c r="C51" s="2"/>
      <c r="D51" s="2"/>
      <c r="E51" s="2"/>
      <c r="F51" s="39"/>
      <c r="G51" s="2"/>
      <c r="H51" s="2"/>
      <c r="I51" s="2"/>
      <c r="J51" s="40"/>
      <c r="K51" s="39"/>
      <c r="L51" s="2"/>
      <c r="M51" s="2"/>
      <c r="N51" s="40"/>
      <c r="O51" s="169" t="s">
        <v>448</v>
      </c>
      <c r="P51" s="178" t="s">
        <v>457</v>
      </c>
      <c r="Q51" s="178"/>
      <c r="R51" s="178"/>
      <c r="S51" s="178"/>
      <c r="T51" s="178"/>
      <c r="U51" s="178"/>
      <c r="V51" s="178"/>
      <c r="W51" s="178"/>
      <c r="X51" s="178"/>
      <c r="Y51" s="383">
        <v>30</v>
      </c>
      <c r="Z51" s="383"/>
      <c r="AA51" s="179" t="s">
        <v>231</v>
      </c>
    </row>
    <row r="52" spans="2:27" x14ac:dyDescent="0.2">
      <c r="B52" s="39"/>
      <c r="C52" s="2"/>
      <c r="D52" s="2"/>
      <c r="E52" s="2"/>
      <c r="F52" s="39"/>
      <c r="G52" s="2"/>
      <c r="H52" s="2"/>
      <c r="I52" s="2"/>
      <c r="J52" s="40"/>
      <c r="K52" s="39"/>
      <c r="L52" s="2"/>
      <c r="M52" s="2"/>
      <c r="N52" s="40"/>
      <c r="O52" s="169" t="s">
        <v>448</v>
      </c>
      <c r="P52" s="184" t="s">
        <v>483</v>
      </c>
      <c r="Q52" s="2"/>
      <c r="R52" s="2"/>
      <c r="S52" s="2"/>
      <c r="T52" s="2"/>
      <c r="U52" s="2"/>
      <c r="V52" s="2"/>
      <c r="W52" s="2"/>
      <c r="X52" s="2"/>
      <c r="Y52" s="383">
        <v>15</v>
      </c>
      <c r="Z52" s="383"/>
      <c r="AA52" s="179" t="s">
        <v>231</v>
      </c>
    </row>
    <row r="53" spans="2:27" x14ac:dyDescent="0.2">
      <c r="B53" s="39"/>
      <c r="C53" s="2"/>
      <c r="D53" s="2"/>
      <c r="E53" s="2"/>
      <c r="F53" s="39"/>
      <c r="G53" s="2"/>
      <c r="H53" s="2"/>
      <c r="I53" s="2"/>
      <c r="J53" s="40"/>
      <c r="K53" s="39"/>
      <c r="L53" s="2"/>
      <c r="M53" s="2"/>
      <c r="N53" s="40"/>
      <c r="O53" s="169"/>
      <c r="P53" s="184"/>
      <c r="Q53" s="2"/>
      <c r="R53" s="2"/>
      <c r="S53" s="2"/>
      <c r="T53" s="2"/>
      <c r="U53" s="2"/>
      <c r="V53" s="2"/>
      <c r="W53" s="2"/>
      <c r="X53" s="2"/>
      <c r="Y53" s="5"/>
      <c r="Z53" s="5"/>
      <c r="AA53" s="179"/>
    </row>
    <row r="54" spans="2:27" x14ac:dyDescent="0.2">
      <c r="B54" s="39"/>
      <c r="C54" s="2"/>
      <c r="D54" s="2"/>
      <c r="E54" s="2"/>
      <c r="F54" s="39"/>
      <c r="G54" s="2"/>
      <c r="H54" s="2"/>
      <c r="I54" s="2"/>
      <c r="J54" s="40"/>
      <c r="K54" s="39"/>
      <c r="L54" s="2"/>
      <c r="M54" s="2"/>
      <c r="N54" s="40"/>
      <c r="O54" s="177" t="s">
        <v>458</v>
      </c>
      <c r="P54" s="184"/>
      <c r="Q54" s="2"/>
      <c r="R54" s="2"/>
      <c r="S54" s="2"/>
      <c r="T54" s="2"/>
      <c r="U54" s="2"/>
      <c r="V54" s="2"/>
      <c r="W54" s="2"/>
      <c r="X54" s="2"/>
      <c r="Y54" s="5"/>
      <c r="Z54" s="5"/>
      <c r="AA54" s="179"/>
    </row>
    <row r="55" spans="2:27" x14ac:dyDescent="0.2">
      <c r="B55" s="39"/>
      <c r="C55" s="2"/>
      <c r="D55" s="2"/>
      <c r="E55" s="2"/>
      <c r="F55" s="39"/>
      <c r="G55" s="2"/>
      <c r="H55" s="2"/>
      <c r="I55" s="2"/>
      <c r="J55" s="40"/>
      <c r="K55" s="39"/>
      <c r="L55" s="2"/>
      <c r="M55" s="2"/>
      <c r="N55" s="40"/>
      <c r="O55" s="169" t="s">
        <v>448</v>
      </c>
      <c r="P55" s="184" t="s">
        <v>484</v>
      </c>
      <c r="Q55" s="2"/>
      <c r="R55" s="2"/>
      <c r="S55" s="2"/>
      <c r="T55" s="2"/>
      <c r="U55" s="2"/>
      <c r="V55" s="2"/>
      <c r="W55" s="2"/>
      <c r="X55" s="2"/>
      <c r="Y55" s="383">
        <v>15</v>
      </c>
      <c r="Z55" s="383"/>
      <c r="AA55" s="179" t="s">
        <v>231</v>
      </c>
    </row>
    <row r="56" spans="2:27" x14ac:dyDescent="0.2">
      <c r="B56" s="39"/>
      <c r="C56" s="2"/>
      <c r="D56" s="2"/>
      <c r="E56" s="2"/>
      <c r="F56" s="39"/>
      <c r="G56" s="2"/>
      <c r="H56" s="2"/>
      <c r="I56" s="2"/>
      <c r="J56" s="40"/>
      <c r="K56" s="39"/>
      <c r="L56" s="2"/>
      <c r="M56" s="2"/>
      <c r="N56" s="40"/>
      <c r="O56" s="169"/>
      <c r="P56" s="184"/>
      <c r="Q56" s="2"/>
      <c r="R56" s="2"/>
      <c r="S56" s="2"/>
      <c r="T56" s="2"/>
      <c r="U56" s="2"/>
      <c r="V56" s="2"/>
      <c r="W56" s="2"/>
      <c r="X56" s="2"/>
      <c r="Y56" s="5"/>
      <c r="Z56" s="5"/>
      <c r="AA56" s="179"/>
    </row>
    <row r="57" spans="2:27" x14ac:dyDescent="0.2">
      <c r="B57" s="39"/>
      <c r="C57" s="2"/>
      <c r="D57" s="2"/>
      <c r="E57" s="2"/>
      <c r="F57" s="39"/>
      <c r="G57" s="2"/>
      <c r="H57" s="2"/>
      <c r="I57" s="2"/>
      <c r="J57" s="40"/>
      <c r="K57" s="39"/>
      <c r="L57" s="2"/>
      <c r="M57" s="2"/>
      <c r="N57" s="40"/>
      <c r="O57" s="177" t="s">
        <v>461</v>
      </c>
      <c r="P57" s="180"/>
      <c r="Q57" s="2"/>
      <c r="R57" s="2"/>
      <c r="S57" s="2"/>
      <c r="T57" s="2"/>
      <c r="U57" s="2"/>
      <c r="V57" s="2"/>
      <c r="W57" s="2"/>
      <c r="X57" s="2"/>
      <c r="Y57" s="5"/>
      <c r="Z57" s="5"/>
      <c r="AA57" s="179"/>
    </row>
    <row r="58" spans="2:27" x14ac:dyDescent="0.2">
      <c r="B58" s="39"/>
      <c r="C58" s="2"/>
      <c r="D58" s="2"/>
      <c r="E58" s="2"/>
      <c r="F58" s="39"/>
      <c r="G58" s="2"/>
      <c r="H58" s="2"/>
      <c r="I58" s="2"/>
      <c r="J58" s="40"/>
      <c r="K58" s="39"/>
      <c r="L58" s="2"/>
      <c r="M58" s="2"/>
      <c r="N58" s="40"/>
      <c r="O58" s="169" t="s">
        <v>448</v>
      </c>
      <c r="P58" s="185" t="s">
        <v>462</v>
      </c>
      <c r="Q58" s="2"/>
      <c r="R58" s="2"/>
      <c r="S58" s="2"/>
      <c r="T58" s="2"/>
      <c r="U58" s="2"/>
      <c r="V58" s="2"/>
      <c r="W58" s="2"/>
      <c r="X58" s="2"/>
      <c r="Y58" s="383">
        <v>5</v>
      </c>
      <c r="Z58" s="383"/>
      <c r="AA58" s="179" t="s">
        <v>231</v>
      </c>
    </row>
    <row r="59" spans="2:27" x14ac:dyDescent="0.2">
      <c r="B59" s="39"/>
      <c r="C59" s="2"/>
      <c r="D59" s="2"/>
      <c r="E59" s="2"/>
      <c r="F59" s="39"/>
      <c r="G59" s="2"/>
      <c r="H59" s="2"/>
      <c r="I59" s="2"/>
      <c r="J59" s="40"/>
      <c r="K59" s="39"/>
      <c r="L59" s="2"/>
      <c r="M59" s="2"/>
      <c r="N59" s="40"/>
      <c r="O59" s="169"/>
      <c r="P59" s="184"/>
      <c r="Q59" s="2"/>
      <c r="R59" s="2"/>
      <c r="S59" s="2"/>
      <c r="T59" s="2"/>
      <c r="U59" s="2"/>
      <c r="V59" s="2"/>
      <c r="W59" s="2"/>
      <c r="X59" s="2"/>
      <c r="Y59" s="5"/>
      <c r="Z59" s="5"/>
      <c r="AA59" s="179"/>
    </row>
    <row r="60" spans="2:27" x14ac:dyDescent="0.2">
      <c r="B60" s="39"/>
      <c r="C60" s="2"/>
      <c r="D60" s="2"/>
      <c r="E60" s="2"/>
      <c r="F60" s="39"/>
      <c r="G60" s="2"/>
      <c r="H60" s="2"/>
      <c r="I60" s="2"/>
      <c r="J60" s="40"/>
      <c r="K60" s="39"/>
      <c r="L60" s="2"/>
      <c r="M60" s="2"/>
      <c r="N60" s="40"/>
      <c r="O60" s="183" t="s">
        <v>472</v>
      </c>
      <c r="P60" s="180"/>
      <c r="Q60" s="2"/>
      <c r="R60" s="2"/>
      <c r="S60" s="2"/>
      <c r="T60" s="2"/>
      <c r="U60" s="2"/>
      <c r="V60" s="2"/>
      <c r="W60" s="2"/>
      <c r="X60" s="2"/>
      <c r="Y60" s="5"/>
      <c r="Z60" s="5"/>
      <c r="AA60" s="179"/>
    </row>
    <row r="61" spans="2:27" x14ac:dyDescent="0.2">
      <c r="B61" s="39"/>
      <c r="C61" s="2"/>
      <c r="D61" s="2"/>
      <c r="E61" s="2"/>
      <c r="F61" s="39"/>
      <c r="G61" s="2"/>
      <c r="H61" s="2"/>
      <c r="I61" s="2"/>
      <c r="J61" s="40"/>
      <c r="K61" s="39"/>
      <c r="L61" s="2"/>
      <c r="M61" s="2"/>
      <c r="N61" s="40"/>
      <c r="O61" s="169" t="s">
        <v>448</v>
      </c>
      <c r="P61" s="184" t="s">
        <v>474</v>
      </c>
      <c r="Q61" s="2"/>
      <c r="R61" s="2"/>
      <c r="S61" s="2"/>
      <c r="T61" s="2"/>
      <c r="U61" s="2"/>
      <c r="V61" s="2"/>
      <c r="W61" s="2"/>
      <c r="X61" s="2"/>
      <c r="Y61" s="383">
        <v>5</v>
      </c>
      <c r="Z61" s="383"/>
      <c r="AA61" s="179" t="s">
        <v>231</v>
      </c>
    </row>
    <row r="62" spans="2:27" x14ac:dyDescent="0.2">
      <c r="B62" s="37"/>
      <c r="C62" s="3"/>
      <c r="D62" s="3"/>
      <c r="E62" s="3"/>
      <c r="F62" s="37"/>
      <c r="G62" s="3"/>
      <c r="H62" s="3"/>
      <c r="I62" s="3"/>
      <c r="J62" s="38"/>
      <c r="K62" s="37"/>
      <c r="L62" s="3"/>
      <c r="M62" s="3"/>
      <c r="N62" s="38"/>
      <c r="O62" s="186"/>
      <c r="P62" s="187"/>
      <c r="Q62" s="3"/>
      <c r="R62" s="3"/>
      <c r="S62" s="3"/>
      <c r="T62" s="3"/>
      <c r="U62" s="3"/>
      <c r="V62" s="3"/>
      <c r="W62" s="3"/>
      <c r="X62" s="3"/>
      <c r="Y62" s="7"/>
      <c r="Z62" s="7"/>
      <c r="AA62" s="188"/>
    </row>
    <row r="63" spans="2:27" x14ac:dyDescent="0.2">
      <c r="B63" s="34" t="s">
        <v>486</v>
      </c>
      <c r="C63" s="35"/>
      <c r="D63" s="35"/>
      <c r="E63" s="35"/>
      <c r="F63" s="190" t="s">
        <v>440</v>
      </c>
      <c r="G63" s="191" t="s">
        <v>442</v>
      </c>
      <c r="H63" s="191"/>
      <c r="I63" s="35"/>
      <c r="J63" s="36"/>
      <c r="K63" s="34" t="s">
        <v>478</v>
      </c>
      <c r="L63" s="35"/>
      <c r="M63" s="35"/>
      <c r="N63" s="36"/>
      <c r="O63" s="168" t="s">
        <v>448</v>
      </c>
      <c r="P63" s="35" t="s">
        <v>481</v>
      </c>
      <c r="Q63" s="35"/>
      <c r="R63" s="35"/>
      <c r="S63" s="35"/>
      <c r="T63" s="35"/>
      <c r="U63" s="35"/>
      <c r="V63" s="35"/>
      <c r="W63" s="35"/>
      <c r="X63" s="35"/>
      <c r="Y63" s="167"/>
      <c r="Z63" s="167"/>
      <c r="AA63" s="189"/>
    </row>
    <row r="64" spans="2:27" x14ac:dyDescent="0.2">
      <c r="B64" s="39" t="s">
        <v>487</v>
      </c>
      <c r="C64" s="2"/>
      <c r="D64" s="2"/>
      <c r="E64" s="2"/>
      <c r="F64" s="39"/>
      <c r="G64" s="2"/>
      <c r="H64" s="2"/>
      <c r="I64" s="2"/>
      <c r="J64" s="40"/>
      <c r="K64" s="39" t="s">
        <v>479</v>
      </c>
      <c r="L64" s="2"/>
      <c r="M64" s="2"/>
      <c r="N64" s="40"/>
      <c r="O64" s="169" t="s">
        <v>448</v>
      </c>
      <c r="P64" s="2" t="s">
        <v>482</v>
      </c>
      <c r="Q64" s="2"/>
      <c r="R64" s="2"/>
      <c r="S64" s="2"/>
      <c r="T64" s="2"/>
      <c r="U64" s="2"/>
      <c r="V64" s="2"/>
      <c r="W64" s="2"/>
      <c r="X64" s="2"/>
      <c r="Y64" s="5"/>
      <c r="Z64" s="5"/>
      <c r="AA64" s="179"/>
    </row>
    <row r="65" spans="2:27" x14ac:dyDescent="0.2">
      <c r="B65" s="39" t="s">
        <v>507</v>
      </c>
      <c r="C65" s="2"/>
      <c r="D65" s="2"/>
      <c r="E65" s="2"/>
      <c r="F65" s="39"/>
      <c r="G65" s="2"/>
      <c r="H65" s="2"/>
      <c r="I65" s="2"/>
      <c r="J65" s="40"/>
      <c r="K65" s="39" t="s">
        <v>480</v>
      </c>
      <c r="L65" s="2"/>
      <c r="M65" s="2"/>
      <c r="N65" s="40"/>
      <c r="O65" s="169"/>
      <c r="P65" s="184"/>
      <c r="Q65" s="2"/>
      <c r="R65" s="2"/>
      <c r="S65" s="2"/>
      <c r="T65" s="2"/>
      <c r="U65" s="2"/>
      <c r="V65" s="2"/>
      <c r="W65" s="2"/>
      <c r="X65" s="2"/>
      <c r="Y65" s="5"/>
      <c r="Z65" s="5"/>
      <c r="AA65" s="179"/>
    </row>
    <row r="66" spans="2:27" x14ac:dyDescent="0.2">
      <c r="B66" s="39"/>
      <c r="C66" s="2"/>
      <c r="D66" s="2"/>
      <c r="E66" s="2"/>
      <c r="F66" s="39"/>
      <c r="G66" s="2"/>
      <c r="H66" s="2"/>
      <c r="I66" s="2"/>
      <c r="J66" s="40"/>
      <c r="K66" s="39"/>
      <c r="L66" s="2"/>
      <c r="M66" s="2"/>
      <c r="N66" s="40"/>
      <c r="O66" s="169"/>
      <c r="P66" s="184"/>
      <c r="Q66" s="2"/>
      <c r="R66" s="2"/>
      <c r="S66" s="2"/>
      <c r="T66" s="2"/>
      <c r="U66" s="2"/>
      <c r="V66" s="2"/>
      <c r="W66" s="2"/>
      <c r="X66" s="2"/>
      <c r="Y66" s="5"/>
      <c r="Z66" s="5"/>
      <c r="AA66" s="179"/>
    </row>
    <row r="67" spans="2:27" x14ac:dyDescent="0.2">
      <c r="B67" s="39"/>
      <c r="C67" s="2"/>
      <c r="D67" s="2"/>
      <c r="E67" s="2"/>
      <c r="F67" s="39"/>
      <c r="G67" s="2"/>
      <c r="H67" s="2"/>
      <c r="I67" s="2"/>
      <c r="J67" s="40"/>
      <c r="K67" s="39"/>
      <c r="L67" s="2"/>
      <c r="M67" s="2"/>
      <c r="N67" s="40"/>
      <c r="O67" s="169"/>
      <c r="P67" s="184"/>
      <c r="Q67" s="2"/>
      <c r="R67" s="2"/>
      <c r="S67" s="2"/>
      <c r="T67" s="2"/>
      <c r="U67" s="2"/>
      <c r="V67" s="2"/>
      <c r="W67" s="2"/>
      <c r="X67" s="2"/>
      <c r="Y67" s="5"/>
      <c r="Z67" s="5"/>
      <c r="AA67" s="179"/>
    </row>
    <row r="68" spans="2:27" x14ac:dyDescent="0.2">
      <c r="B68" s="39"/>
      <c r="C68" s="2"/>
      <c r="D68" s="2"/>
      <c r="E68" s="2"/>
      <c r="F68" s="39"/>
      <c r="G68" s="2"/>
      <c r="H68" s="2"/>
      <c r="I68" s="2"/>
      <c r="J68" s="40"/>
      <c r="K68" s="39"/>
      <c r="L68" s="2"/>
      <c r="M68" s="2"/>
      <c r="N68" s="40"/>
      <c r="O68" s="169"/>
      <c r="P68" s="184"/>
      <c r="Q68" s="2"/>
      <c r="R68" s="2"/>
      <c r="S68" s="2"/>
      <c r="T68" s="2"/>
      <c r="U68" s="2"/>
      <c r="V68" s="2"/>
      <c r="W68" s="2"/>
      <c r="X68" s="2"/>
      <c r="Y68" s="5"/>
      <c r="Z68" s="5"/>
      <c r="AA68" s="179"/>
    </row>
    <row r="69" spans="2:27" x14ac:dyDescent="0.2">
      <c r="B69" s="37"/>
      <c r="C69" s="3"/>
      <c r="D69" s="3"/>
      <c r="E69" s="3"/>
      <c r="F69" s="37"/>
      <c r="G69" s="3"/>
      <c r="H69" s="3"/>
      <c r="I69" s="3"/>
      <c r="J69" s="38"/>
      <c r="K69" s="37"/>
      <c r="L69" s="3"/>
      <c r="M69" s="3"/>
      <c r="N69" s="38"/>
      <c r="O69" s="186"/>
      <c r="P69" s="187"/>
      <c r="Q69" s="3"/>
      <c r="R69" s="3"/>
      <c r="S69" s="3"/>
      <c r="T69" s="3"/>
      <c r="U69" s="3"/>
      <c r="V69" s="3"/>
      <c r="W69" s="3"/>
      <c r="X69" s="3"/>
      <c r="Y69" s="7"/>
      <c r="Z69" s="7"/>
      <c r="AA69" s="188"/>
    </row>
    <row r="70" spans="2:27" x14ac:dyDescent="0.2">
      <c r="B70" s="181">
        <v>1</v>
      </c>
      <c r="C70" s="26" t="s">
        <v>465</v>
      </c>
    </row>
    <row r="71" spans="2:27" x14ac:dyDescent="0.2">
      <c r="B71" s="181"/>
      <c r="C71" s="26" t="s">
        <v>466</v>
      </c>
    </row>
    <row r="72" spans="2:27" x14ac:dyDescent="0.2">
      <c r="B72" s="181">
        <v>2</v>
      </c>
      <c r="C72" s="26" t="s">
        <v>467</v>
      </c>
    </row>
    <row r="73" spans="2:27" x14ac:dyDescent="0.2">
      <c r="B73" s="181"/>
      <c r="C73" s="26" t="s">
        <v>468</v>
      </c>
    </row>
    <row r="74" spans="2:27" x14ac:dyDescent="0.2">
      <c r="B74" s="181">
        <v>3</v>
      </c>
      <c r="C74" s="26" t="s">
        <v>469</v>
      </c>
    </row>
    <row r="75" spans="2:27" ht="14.25" x14ac:dyDescent="0.2">
      <c r="B75" s="182"/>
      <c r="C75" s="26" t="s">
        <v>470</v>
      </c>
    </row>
  </sheetData>
  <mergeCells count="27">
    <mergeCell ref="Y61:Z61"/>
    <mergeCell ref="Y50:Z50"/>
    <mergeCell ref="Y51:Z51"/>
    <mergeCell ref="Y52:Z52"/>
    <mergeCell ref="Y55:Z55"/>
    <mergeCell ref="A1:B1"/>
    <mergeCell ref="Y41:Z41"/>
    <mergeCell ref="Y42:Z42"/>
    <mergeCell ref="Y43:Z43"/>
    <mergeCell ref="Y58:Z58"/>
    <mergeCell ref="Y28:Z28"/>
    <mergeCell ref="Y31:Z31"/>
    <mergeCell ref="Y37:Z37"/>
    <mergeCell ref="Y40:Z40"/>
    <mergeCell ref="K47:N48"/>
    <mergeCell ref="Y32:Z32"/>
    <mergeCell ref="Y35:Z35"/>
    <mergeCell ref="Y36:Z36"/>
    <mergeCell ref="A11:F12"/>
    <mergeCell ref="G11:T12"/>
    <mergeCell ref="Y11:AA12"/>
    <mergeCell ref="Y27:Z27"/>
    <mergeCell ref="A13:F14"/>
    <mergeCell ref="G13:T13"/>
    <mergeCell ref="X13:AB14"/>
    <mergeCell ref="G14:T14"/>
    <mergeCell ref="I18:J18"/>
  </mergeCells>
  <phoneticPr fontId="2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3"/>
  <dimension ref="C3:Z6"/>
  <sheetViews>
    <sheetView topLeftCell="A7" workbookViewId="0">
      <selection activeCell="AC30" sqref="AC30"/>
    </sheetView>
  </sheetViews>
  <sheetFormatPr defaultColWidth="8.85546875" defaultRowHeight="12.75" x14ac:dyDescent="0.2"/>
  <cols>
    <col min="1" max="75" width="3.28515625" customWidth="1"/>
  </cols>
  <sheetData>
    <row r="3" spans="3:26" x14ac:dyDescent="0.2">
      <c r="C3" s="765" t="s">
        <v>7</v>
      </c>
      <c r="D3" s="765"/>
      <c r="E3" s="765"/>
      <c r="F3" s="765"/>
      <c r="G3" s="765"/>
      <c r="H3" s="765"/>
      <c r="I3" s="765"/>
      <c r="J3" s="765"/>
      <c r="K3" s="765"/>
      <c r="L3" s="765"/>
      <c r="M3" s="765"/>
      <c r="N3" s="765"/>
      <c r="O3" s="765"/>
      <c r="P3" s="765"/>
      <c r="Q3" s="765"/>
      <c r="R3" s="765"/>
      <c r="S3" s="765"/>
      <c r="T3" s="765"/>
      <c r="U3" s="765"/>
      <c r="V3" s="765"/>
      <c r="W3" s="765"/>
      <c r="X3" s="765"/>
      <c r="Y3" s="765"/>
      <c r="Z3" s="765"/>
    </row>
    <row r="4" spans="3:26" x14ac:dyDescent="0.2">
      <c r="C4" s="765"/>
      <c r="D4" s="765"/>
      <c r="E4" s="765"/>
      <c r="F4" s="765"/>
      <c r="G4" s="765"/>
      <c r="H4" s="765"/>
      <c r="I4" s="765"/>
      <c r="J4" s="765"/>
      <c r="K4" s="765"/>
      <c r="L4" s="765"/>
      <c r="M4" s="765"/>
      <c r="N4" s="765"/>
      <c r="O4" s="765"/>
      <c r="P4" s="765"/>
      <c r="Q4" s="765"/>
      <c r="R4" s="765"/>
      <c r="S4" s="765"/>
      <c r="T4" s="765"/>
      <c r="U4" s="765"/>
      <c r="V4" s="765"/>
      <c r="W4" s="765"/>
      <c r="X4" s="765"/>
      <c r="Y4" s="765"/>
      <c r="Z4" s="765"/>
    </row>
    <row r="5" spans="3:26" x14ac:dyDescent="0.2">
      <c r="C5" s="765"/>
      <c r="D5" s="765"/>
      <c r="E5" s="765"/>
      <c r="F5" s="765"/>
      <c r="G5" s="765"/>
      <c r="H5" s="765"/>
      <c r="I5" s="765"/>
      <c r="J5" s="765"/>
      <c r="K5" s="765"/>
      <c r="L5" s="765"/>
      <c r="M5" s="765"/>
      <c r="N5" s="765"/>
      <c r="O5" s="765"/>
      <c r="P5" s="765"/>
      <c r="Q5" s="765"/>
      <c r="R5" s="765"/>
      <c r="S5" s="765"/>
      <c r="T5" s="765"/>
      <c r="U5" s="765"/>
      <c r="V5" s="765"/>
      <c r="W5" s="765"/>
      <c r="X5" s="765"/>
      <c r="Y5" s="765"/>
      <c r="Z5" s="765"/>
    </row>
    <row r="6" spans="3:26" x14ac:dyDescent="0.2">
      <c r="C6" s="765"/>
      <c r="D6" s="765"/>
      <c r="E6" s="765"/>
      <c r="F6" s="765"/>
      <c r="G6" s="765"/>
      <c r="H6" s="765"/>
      <c r="I6" s="765"/>
      <c r="J6" s="765"/>
      <c r="K6" s="765"/>
      <c r="L6" s="765"/>
      <c r="M6" s="765"/>
      <c r="N6" s="765"/>
      <c r="O6" s="765"/>
      <c r="P6" s="765"/>
      <c r="Q6" s="765"/>
      <c r="R6" s="765"/>
      <c r="S6" s="765"/>
      <c r="T6" s="765"/>
      <c r="U6" s="765"/>
      <c r="V6" s="765"/>
      <c r="W6" s="765"/>
      <c r="X6" s="765"/>
      <c r="Y6" s="765"/>
      <c r="Z6" s="765"/>
    </row>
  </sheetData>
  <mergeCells count="1">
    <mergeCell ref="C3:Z6"/>
  </mergeCells>
  <phoneticPr fontId="2" type="noConversion"/>
  <pageMargins left="0.59055118110236227" right="0.39370078740157483" top="0.98425196850393704" bottom="0.98425196850393704" header="0" footer="0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Formelsamling</vt:lpstr>
      <vt:lpstr>Ark1</vt:lpstr>
      <vt:lpstr>Forside</vt:lpstr>
    </vt:vector>
  </TitlesOfParts>
  <Company>Den jydske Haandværkerskole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Flemming Egelund</dc:creator>
  <cp:lastModifiedBy>Tobias</cp:lastModifiedBy>
  <cp:lastPrinted>2006-02-27T00:52:36Z</cp:lastPrinted>
  <dcterms:created xsi:type="dcterms:W3CDTF">2006-01-22T02:07:52Z</dcterms:created>
  <dcterms:modified xsi:type="dcterms:W3CDTF">2019-06-05T11:41:34Z</dcterms:modified>
</cp:coreProperties>
</file>