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8"/>
  </bookViews>
  <sheets>
    <sheet name="试题选择" sheetId="13" r:id="rId1"/>
    <sheet name="线性规划" sheetId="2" r:id="rId2"/>
    <sheet name="Dijkstra 算法" sheetId="14" r:id="rId3"/>
    <sheet name="运输问题" sheetId="3" r:id="rId4"/>
    <sheet name="最小费用最大流" sheetId="11" r:id="rId5"/>
    <sheet name="贝叶斯分析" sheetId="4" r:id="rId6"/>
    <sheet name="层次分析法 " sheetId="9" r:id="rId7"/>
    <sheet name="0-1整数规划" sheetId="12" r:id="rId8"/>
    <sheet name="网络计划优化" sheetId="15" r:id="rId9"/>
  </sheets>
  <definedNames>
    <definedName name="solver_adj" localSheetId="7" hidden="1">'0-1整数规划'!#REF!</definedName>
    <definedName name="solver_adj" localSheetId="1" hidden="1">线性规划!$T$1:$Y$1</definedName>
    <definedName name="solver_adj" localSheetId="3" hidden="1">运输问题!$K$7:$O$10</definedName>
    <definedName name="solver_cvg" localSheetId="7" hidden="1">0.0001</definedName>
    <definedName name="solver_cvg" localSheetId="5" hidden="1">0.0001</definedName>
    <definedName name="solver_cvg" localSheetId="6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7" hidden="1">1</definedName>
    <definedName name="solver_drv" localSheetId="5" hidden="1">2</definedName>
    <definedName name="solver_drv" localSheetId="6" hidden="1">2</definedName>
    <definedName name="solver_drv" localSheetId="1" hidden="1">2</definedName>
    <definedName name="solver_drv" localSheetId="3" hidden="1">2</definedName>
    <definedName name="solver_drv" localSheetId="4" hidden="1">2</definedName>
    <definedName name="solver_eng" localSheetId="7" hidden="1">1</definedName>
    <definedName name="solver_eng" localSheetId="5" hidden="1">1</definedName>
    <definedName name="solver_eng" localSheetId="6" hidden="1">1</definedName>
    <definedName name="solver_eng" localSheetId="1" hidden="1">2</definedName>
    <definedName name="solver_eng" localSheetId="3" hidden="1">2</definedName>
    <definedName name="solver_eng" localSheetId="4" hidden="1">1</definedName>
    <definedName name="solver_est" localSheetId="7" hidden="1">1</definedName>
    <definedName name="solver_est" localSheetId="5" hidden="1">1</definedName>
    <definedName name="solver_est" localSheetId="6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7" hidden="1">2147483647</definedName>
    <definedName name="solver_itr" localSheetId="5" hidden="1">2147483647</definedName>
    <definedName name="solver_itr" localSheetId="6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lhs1" localSheetId="7" hidden="1">'0-1整数规划'!$D$19</definedName>
    <definedName name="solver_lhs1" localSheetId="5" hidden="1">贝叶斯分析!#REF!</definedName>
    <definedName name="solver_lhs1" localSheetId="6" hidden="1">'层次分析法 '!#REF!</definedName>
    <definedName name="solver_lhs1" localSheetId="1" hidden="1">线性规划!$M$7</definedName>
    <definedName name="solver_lhs1" localSheetId="3" hidden="1">运输问题!$K$12</definedName>
    <definedName name="solver_lhs1" localSheetId="4" hidden="1">最小费用最大流!#REF!</definedName>
    <definedName name="solver_lhs10" localSheetId="7" hidden="1">'0-1整数规划'!#REF!</definedName>
    <definedName name="solver_lhs10" localSheetId="5" hidden="1">贝叶斯分析!#REF!</definedName>
    <definedName name="solver_lhs10" localSheetId="6" hidden="1">'层次分析法 '!#REF!</definedName>
    <definedName name="solver_lhs10" localSheetId="3" hidden="1">运输问题!$Q$9</definedName>
    <definedName name="solver_lhs10" localSheetId="4" hidden="1">最小费用最大流!#REF!</definedName>
    <definedName name="solver_lhs11" localSheetId="7" hidden="1">'0-1整数规划'!$N$15</definedName>
    <definedName name="solver_lhs11" localSheetId="5" hidden="1">贝叶斯分析!#REF!</definedName>
    <definedName name="solver_lhs11" localSheetId="6" hidden="1">'层次分析法 '!#REF!</definedName>
    <definedName name="solver_lhs11" localSheetId="3" hidden="1">运输问题!#REF!</definedName>
    <definedName name="solver_lhs11" localSheetId="4" hidden="1">最小费用最大流!#REF!</definedName>
    <definedName name="solver_lhs12" localSheetId="7" hidden="1">'0-1整数规划'!#REF!</definedName>
    <definedName name="solver_lhs12" localSheetId="5" hidden="1">贝叶斯分析!#REF!</definedName>
    <definedName name="solver_lhs12" localSheetId="6" hidden="1">'层次分析法 '!#REF!</definedName>
    <definedName name="solver_lhs12" localSheetId="3" hidden="1">运输问题!#REF!</definedName>
    <definedName name="solver_lhs12" localSheetId="4" hidden="1">最小费用最大流!#REF!</definedName>
    <definedName name="solver_lhs13" localSheetId="7" hidden="1">'0-1整数规划'!#REF!</definedName>
    <definedName name="solver_lhs13" localSheetId="5" hidden="1">贝叶斯分析!#REF!</definedName>
    <definedName name="solver_lhs13" localSheetId="6" hidden="1">'层次分析法 '!#REF!</definedName>
    <definedName name="solver_lhs13" localSheetId="3" hidden="1">运输问题!#REF!</definedName>
    <definedName name="solver_lhs13" localSheetId="4" hidden="1">最小费用最大流!#REF!</definedName>
    <definedName name="solver_lhs14" localSheetId="7" hidden="1">'0-1整数规划'!#REF!</definedName>
    <definedName name="solver_lhs14" localSheetId="5" hidden="1">贝叶斯分析!#REF!</definedName>
    <definedName name="solver_lhs14" localSheetId="6" hidden="1">'层次分析法 '!#REF!</definedName>
    <definedName name="solver_lhs14" localSheetId="3" hidden="1">运输问题!#REF!</definedName>
    <definedName name="solver_lhs14" localSheetId="4" hidden="1">最小费用最大流!#REF!</definedName>
    <definedName name="solver_lhs15" localSheetId="7" hidden="1">'0-1整数规划'!#REF!</definedName>
    <definedName name="solver_lhs15" localSheetId="5" hidden="1">贝叶斯分析!#REF!</definedName>
    <definedName name="solver_lhs15" localSheetId="6" hidden="1">'层次分析法 '!#REF!</definedName>
    <definedName name="solver_lhs15" localSheetId="3" hidden="1">运输问题!#REF!</definedName>
    <definedName name="solver_lhs15" localSheetId="4" hidden="1">最小费用最大流!#REF!</definedName>
    <definedName name="solver_lhs16" localSheetId="7" hidden="1">'0-1整数规划'!#REF!</definedName>
    <definedName name="solver_lhs16" localSheetId="5" hidden="1">贝叶斯分析!#REF!</definedName>
    <definedName name="solver_lhs16" localSheetId="6" hidden="1">'层次分析法 '!#REF!</definedName>
    <definedName name="solver_lhs16" localSheetId="3" hidden="1">运输问题!#REF!</definedName>
    <definedName name="solver_lhs16" localSheetId="4" hidden="1">最小费用最大流!#REF!</definedName>
    <definedName name="solver_lhs17" localSheetId="7" hidden="1">'0-1整数规划'!$D$19</definedName>
    <definedName name="solver_lhs17" localSheetId="5" hidden="1">贝叶斯分析!#REF!</definedName>
    <definedName name="solver_lhs17" localSheetId="6" hidden="1">'层次分析法 '!#REF!</definedName>
    <definedName name="solver_lhs17" localSheetId="3" hidden="1">运输问题!#REF!</definedName>
    <definedName name="solver_lhs17" localSheetId="4" hidden="1">最小费用最大流!#REF!</definedName>
    <definedName name="solver_lhs18" localSheetId="7" hidden="1">'0-1整数规划'!#REF!</definedName>
    <definedName name="solver_lhs18" localSheetId="5" hidden="1">贝叶斯分析!#REF!</definedName>
    <definedName name="solver_lhs18" localSheetId="6" hidden="1">'层次分析法 '!#REF!</definedName>
    <definedName name="solver_lhs18" localSheetId="3" hidden="1">运输问题!#REF!</definedName>
    <definedName name="solver_lhs18" localSheetId="4" hidden="1">最小费用最大流!#REF!</definedName>
    <definedName name="solver_lhs19" localSheetId="7" hidden="1">'0-1整数规划'!#REF!</definedName>
    <definedName name="solver_lhs19" localSheetId="5" hidden="1">贝叶斯分析!#REF!</definedName>
    <definedName name="solver_lhs19" localSheetId="6" hidden="1">'层次分析法 '!#REF!</definedName>
    <definedName name="solver_lhs19" localSheetId="3" hidden="1">运输问题!#REF!</definedName>
    <definedName name="solver_lhs19" localSheetId="4" hidden="1">最小费用最大流!#REF!</definedName>
    <definedName name="solver_lhs2" localSheetId="7" hidden="1">'0-1整数规划'!$N$16</definedName>
    <definedName name="solver_lhs2" localSheetId="5" hidden="1">贝叶斯分析!#REF!</definedName>
    <definedName name="solver_lhs2" localSheetId="6" hidden="1">'层次分析法 '!#REF!</definedName>
    <definedName name="solver_lhs2" localSheetId="1" hidden="1">线性规划!$M$9</definedName>
    <definedName name="solver_lhs2" localSheetId="3" hidden="1">运输问题!$K$7:$O$10</definedName>
    <definedName name="solver_lhs2" localSheetId="4" hidden="1">最小费用最大流!#REF!</definedName>
    <definedName name="solver_lhs20" localSheetId="7" hidden="1">'0-1整数规划'!#REF!</definedName>
    <definedName name="solver_lhs20" localSheetId="5" hidden="1">贝叶斯分析!#REF!</definedName>
    <definedName name="solver_lhs20" localSheetId="6" hidden="1">'层次分析法 '!#REF!</definedName>
    <definedName name="solver_lhs20" localSheetId="3" hidden="1">运输问题!#REF!</definedName>
    <definedName name="solver_lhs20" localSheetId="4" hidden="1">最小费用最大流!#REF!</definedName>
    <definedName name="solver_lhs21" localSheetId="7" hidden="1">'0-1整数规划'!#REF!</definedName>
    <definedName name="solver_lhs21" localSheetId="5" hidden="1">贝叶斯分析!#REF!</definedName>
    <definedName name="solver_lhs21" localSheetId="6" hidden="1">'层次分析法 '!#REF!</definedName>
    <definedName name="solver_lhs21" localSheetId="3" hidden="1">运输问题!#REF!</definedName>
    <definedName name="solver_lhs21" localSheetId="4" hidden="1">最小费用最大流!#REF!</definedName>
    <definedName name="solver_lhs22" localSheetId="7" hidden="1">'0-1整数规划'!#REF!</definedName>
    <definedName name="solver_lhs22" localSheetId="5" hidden="1">贝叶斯分析!#REF!</definedName>
    <definedName name="solver_lhs22" localSheetId="6" hidden="1">'层次分析法 '!#REF!</definedName>
    <definedName name="solver_lhs22" localSheetId="3" hidden="1">运输问题!#REF!</definedName>
    <definedName name="solver_lhs22" localSheetId="4" hidden="1">最小费用最大流!#REF!</definedName>
    <definedName name="solver_lhs23" localSheetId="7" hidden="1">'0-1整数规划'!#REF!</definedName>
    <definedName name="solver_lhs23" localSheetId="5" hidden="1">贝叶斯分析!#REF!</definedName>
    <definedName name="solver_lhs23" localSheetId="6" hidden="1">'层次分析法 '!#REF!</definedName>
    <definedName name="solver_lhs23" localSheetId="3" hidden="1">运输问题!#REF!</definedName>
    <definedName name="solver_lhs23" localSheetId="4" hidden="1">最小费用最大流!#REF!</definedName>
    <definedName name="solver_lhs24" localSheetId="7" hidden="1">'0-1整数规划'!#REF!</definedName>
    <definedName name="solver_lhs24" localSheetId="5" hidden="1">贝叶斯分析!#REF!</definedName>
    <definedName name="solver_lhs24" localSheetId="6" hidden="1">'层次分析法 '!#REF!</definedName>
    <definedName name="solver_lhs24" localSheetId="3" hidden="1">运输问题!#REF!</definedName>
    <definedName name="solver_lhs24" localSheetId="4" hidden="1">最小费用最大流!#REF!</definedName>
    <definedName name="solver_lhs25" localSheetId="7" hidden="1">'0-1整数规划'!#REF!</definedName>
    <definedName name="solver_lhs25" localSheetId="5" hidden="1">贝叶斯分析!#REF!</definedName>
    <definedName name="solver_lhs25" localSheetId="6" hidden="1">'层次分析法 '!#REF!</definedName>
    <definedName name="solver_lhs25" localSheetId="3" hidden="1">运输问题!#REF!</definedName>
    <definedName name="solver_lhs25" localSheetId="4" hidden="1">最小费用最大流!#REF!</definedName>
    <definedName name="solver_lhs26" localSheetId="7" hidden="1">'0-1整数规划'!#REF!</definedName>
    <definedName name="solver_lhs26" localSheetId="5" hidden="1">贝叶斯分析!#REF!</definedName>
    <definedName name="solver_lhs26" localSheetId="6" hidden="1">'层次分析法 '!#REF!</definedName>
    <definedName name="solver_lhs26" localSheetId="3" hidden="1">运输问题!#REF!</definedName>
    <definedName name="solver_lhs26" localSheetId="4" hidden="1">最小费用最大流!#REF!</definedName>
    <definedName name="solver_lhs27" localSheetId="7" hidden="1">'0-1整数规划'!#REF!</definedName>
    <definedName name="solver_lhs27" localSheetId="5" hidden="1">贝叶斯分析!#REF!</definedName>
    <definedName name="solver_lhs27" localSheetId="6" hidden="1">'层次分析法 '!#REF!</definedName>
    <definedName name="solver_lhs27" localSheetId="3" hidden="1">运输问题!#REF!</definedName>
    <definedName name="solver_lhs27" localSheetId="4" hidden="1">最小费用最大流!#REF!</definedName>
    <definedName name="solver_lhs28" localSheetId="7" hidden="1">'0-1整数规划'!#REF!</definedName>
    <definedName name="solver_lhs28" localSheetId="5" hidden="1">贝叶斯分析!#REF!</definedName>
    <definedName name="solver_lhs28" localSheetId="6" hidden="1">'层次分析法 '!#REF!</definedName>
    <definedName name="solver_lhs28" localSheetId="3" hidden="1">运输问题!#REF!</definedName>
    <definedName name="solver_lhs28" localSheetId="4" hidden="1">最小费用最大流!#REF!</definedName>
    <definedName name="solver_lhs29" localSheetId="7" hidden="1">'0-1整数规划'!#REF!</definedName>
    <definedName name="solver_lhs29" localSheetId="5" hidden="1">贝叶斯分析!#REF!</definedName>
    <definedName name="solver_lhs29" localSheetId="6" hidden="1">'层次分析法 '!#REF!</definedName>
    <definedName name="solver_lhs29" localSheetId="3" hidden="1">运输问题!#REF!</definedName>
    <definedName name="solver_lhs29" localSheetId="4" hidden="1">最小费用最大流!#REF!</definedName>
    <definedName name="solver_lhs3" localSheetId="7" hidden="1">'0-1整数规划'!$N$17</definedName>
    <definedName name="solver_lhs3" localSheetId="5" hidden="1">贝叶斯分析!#REF!</definedName>
    <definedName name="solver_lhs3" localSheetId="6" hidden="1">'层次分析法 '!#REF!</definedName>
    <definedName name="solver_lhs3" localSheetId="1" hidden="1">线性规划!$M$9</definedName>
    <definedName name="solver_lhs3" localSheetId="3" hidden="1">运输问题!$L$12</definedName>
    <definedName name="solver_lhs3" localSheetId="4" hidden="1">最小费用最大流!#REF!</definedName>
    <definedName name="solver_lhs30" localSheetId="7" hidden="1">'0-1整数规划'!#REF!</definedName>
    <definedName name="solver_lhs30" localSheetId="5" hidden="1">贝叶斯分析!#REF!</definedName>
    <definedName name="solver_lhs30" localSheetId="6" hidden="1">'层次分析法 '!#REF!</definedName>
    <definedName name="solver_lhs30" localSheetId="3" hidden="1">运输问题!#REF!</definedName>
    <definedName name="solver_lhs30" localSheetId="4" hidden="1">最小费用最大流!#REF!</definedName>
    <definedName name="solver_lhs31" localSheetId="7" hidden="1">'0-1整数规划'!#REF!</definedName>
    <definedName name="solver_lhs31" localSheetId="5" hidden="1">贝叶斯分析!#REF!</definedName>
    <definedName name="solver_lhs31" localSheetId="6" hidden="1">'层次分析法 '!#REF!</definedName>
    <definedName name="solver_lhs31" localSheetId="3" hidden="1">运输问题!#REF!</definedName>
    <definedName name="solver_lhs31" localSheetId="4" hidden="1">最小费用最大流!#REF!</definedName>
    <definedName name="solver_lhs32" localSheetId="7" hidden="1">'0-1整数规划'!#REF!</definedName>
    <definedName name="solver_lhs32" localSheetId="5" hidden="1">贝叶斯分析!#REF!</definedName>
    <definedName name="solver_lhs32" localSheetId="6" hidden="1">'层次分析法 '!#REF!</definedName>
    <definedName name="solver_lhs32" localSheetId="3" hidden="1">运输问题!#REF!</definedName>
    <definedName name="solver_lhs32" localSheetId="4" hidden="1">最小费用最大流!#REF!</definedName>
    <definedName name="solver_lhs33" localSheetId="7" hidden="1">'0-1整数规划'!#REF!</definedName>
    <definedName name="solver_lhs34" localSheetId="7" hidden="1">'0-1整数规划'!#REF!</definedName>
    <definedName name="solver_lhs35" localSheetId="7" hidden="1">'0-1整数规划'!#REF!</definedName>
    <definedName name="solver_lhs36" localSheetId="7" hidden="1">'0-1整数规划'!#REF!</definedName>
    <definedName name="solver_lhs37" localSheetId="7" hidden="1">'0-1整数规划'!#REF!</definedName>
    <definedName name="solver_lhs38" localSheetId="7" hidden="1">'0-1整数规划'!#REF!</definedName>
    <definedName name="solver_lhs39" localSheetId="7" hidden="1">'0-1整数规划'!#REF!</definedName>
    <definedName name="solver_lhs4" localSheetId="7" hidden="1">'0-1整数规划'!$N$18</definedName>
    <definedName name="solver_lhs4" localSheetId="5" hidden="1">贝叶斯分析!#REF!</definedName>
    <definedName name="solver_lhs4" localSheetId="6" hidden="1">'层次分析法 '!#REF!</definedName>
    <definedName name="solver_lhs4" localSheetId="3" hidden="1">运输问题!$M$12</definedName>
    <definedName name="solver_lhs4" localSheetId="4" hidden="1">最小费用最大流!#REF!</definedName>
    <definedName name="solver_lhs40" localSheetId="7" hidden="1">'0-1整数规划'!#REF!</definedName>
    <definedName name="solver_lhs41" localSheetId="7" hidden="1">'0-1整数规划'!#REF!</definedName>
    <definedName name="solver_lhs5" localSheetId="7" hidden="1">'0-1整数规划'!$N$19</definedName>
    <definedName name="solver_lhs5" localSheetId="5" hidden="1">贝叶斯分析!#REF!</definedName>
    <definedName name="solver_lhs5" localSheetId="6" hidden="1">'层次分析法 '!#REF!</definedName>
    <definedName name="solver_lhs5" localSheetId="3" hidden="1">运输问题!$N$12</definedName>
    <definedName name="solver_lhs5" localSheetId="4" hidden="1">最小费用最大流!#REF!</definedName>
    <definedName name="solver_lhs6" localSheetId="7" hidden="1">'0-1整数规划'!#REF!</definedName>
    <definedName name="solver_lhs6" localSheetId="5" hidden="1">贝叶斯分析!#REF!</definedName>
    <definedName name="solver_lhs6" localSheetId="6" hidden="1">'层次分析法 '!#REF!</definedName>
    <definedName name="solver_lhs6" localSheetId="3" hidden="1">运输问题!$O$12</definedName>
    <definedName name="solver_lhs6" localSheetId="4" hidden="1">最小费用最大流!#REF!</definedName>
    <definedName name="solver_lhs7" localSheetId="7" hidden="1">'0-1整数规划'!#REF!</definedName>
    <definedName name="solver_lhs7" localSheetId="5" hidden="1">贝叶斯分析!#REF!</definedName>
    <definedName name="solver_lhs7" localSheetId="6" hidden="1">'层次分析法 '!#REF!</definedName>
    <definedName name="solver_lhs7" localSheetId="3" hidden="1">运输问题!$Q$10</definedName>
    <definedName name="solver_lhs7" localSheetId="4" hidden="1">最小费用最大流!#REF!</definedName>
    <definedName name="solver_lhs8" localSheetId="7" hidden="1">'0-1整数规划'!#REF!</definedName>
    <definedName name="solver_lhs8" localSheetId="5" hidden="1">贝叶斯分析!#REF!</definedName>
    <definedName name="solver_lhs8" localSheetId="6" hidden="1">'层次分析法 '!#REF!</definedName>
    <definedName name="solver_lhs8" localSheetId="3" hidden="1">运输问题!$Q$7</definedName>
    <definedName name="solver_lhs8" localSheetId="4" hidden="1">最小费用最大流!#REF!</definedName>
    <definedName name="solver_lhs9" localSheetId="7" hidden="1">'0-1整数规划'!#REF!</definedName>
    <definedName name="solver_lhs9" localSheetId="5" hidden="1">贝叶斯分析!#REF!</definedName>
    <definedName name="solver_lhs9" localSheetId="6" hidden="1">'层次分析法 '!#REF!</definedName>
    <definedName name="solver_lhs9" localSheetId="3" hidden="1">运输问题!$Q$8</definedName>
    <definedName name="solver_lhs9" localSheetId="4" hidden="1">最小费用最大流!#REF!</definedName>
    <definedName name="solver_mip" localSheetId="7" hidden="1">2147483647</definedName>
    <definedName name="solver_mip" localSheetId="5" hidden="1">2147483647</definedName>
    <definedName name="solver_mip" localSheetId="6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ni" localSheetId="7" hidden="1">30</definedName>
    <definedName name="solver_mni" localSheetId="5" hidden="1">30</definedName>
    <definedName name="solver_mni" localSheetId="6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rt" localSheetId="7" hidden="1">0.075</definedName>
    <definedName name="solver_mrt" localSheetId="5" hidden="1">0.075</definedName>
    <definedName name="solver_mrt" localSheetId="6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sl" localSheetId="7" hidden="1">2</definedName>
    <definedName name="solver_msl" localSheetId="5" hidden="1">2</definedName>
    <definedName name="solver_msl" localSheetId="6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neg" localSheetId="7" hidden="1">1</definedName>
    <definedName name="solver_neg" localSheetId="5" hidden="1">1</definedName>
    <definedName name="solver_neg" localSheetId="6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od" localSheetId="7" hidden="1">2147483647</definedName>
    <definedName name="solver_nod" localSheetId="5" hidden="1">2147483647</definedName>
    <definedName name="solver_nod" localSheetId="6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um" localSheetId="7" hidden="1">18</definedName>
    <definedName name="solver_num" localSheetId="5" hidden="1">0</definedName>
    <definedName name="solver_num" localSheetId="6" hidden="1">0</definedName>
    <definedName name="solver_num" localSheetId="1" hidden="1">2</definedName>
    <definedName name="solver_num" localSheetId="3" hidden="1">10</definedName>
    <definedName name="solver_num" localSheetId="4" hidden="1">0</definedName>
    <definedName name="solver_nwt" localSheetId="7" hidden="1">1</definedName>
    <definedName name="solver_nwt" localSheetId="5" hidden="1">1</definedName>
    <definedName name="solver_nwt" localSheetId="6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7" hidden="1">'0-1整数规划'!$J$19</definedName>
    <definedName name="solver_opt" localSheetId="1" hidden="1">线性规划!$R$1</definedName>
    <definedName name="solver_opt" localSheetId="3" hidden="1">运输问题!$P$11</definedName>
    <definedName name="solver_pre" localSheetId="7" hidden="1">0.000001</definedName>
    <definedName name="solver_pre" localSheetId="5" hidden="1">0.000001</definedName>
    <definedName name="solver_pre" localSheetId="6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rbv" localSheetId="7" hidden="1">1</definedName>
    <definedName name="solver_rbv" localSheetId="5" hidden="1">2</definedName>
    <definedName name="solver_rbv" localSheetId="6" hidden="1">2</definedName>
    <definedName name="solver_rbv" localSheetId="1" hidden="1">2</definedName>
    <definedName name="solver_rbv" localSheetId="3" hidden="1">2</definedName>
    <definedName name="solver_rbv" localSheetId="4" hidden="1">2</definedName>
    <definedName name="solver_rel1" localSheetId="7" hidden="1">1</definedName>
    <definedName name="solver_rel1" localSheetId="5" hidden="1">2</definedName>
    <definedName name="solver_rel1" localSheetId="6" hidden="1">2</definedName>
    <definedName name="solver_rel1" localSheetId="1" hidden="1">1</definedName>
    <definedName name="solver_rel1" localSheetId="3" hidden="1">2</definedName>
    <definedName name="solver_rel1" localSheetId="4" hidden="1">2</definedName>
    <definedName name="solver_rel10" localSheetId="7" hidden="1">2</definedName>
    <definedName name="solver_rel10" localSheetId="5" hidden="1">2</definedName>
    <definedName name="solver_rel10" localSheetId="6" hidden="1">2</definedName>
    <definedName name="solver_rel10" localSheetId="3" hidden="1">2</definedName>
    <definedName name="solver_rel10" localSheetId="4" hidden="1">2</definedName>
    <definedName name="solver_rel11" localSheetId="7" hidden="1">1</definedName>
    <definedName name="solver_rel11" localSheetId="5" hidden="1">2</definedName>
    <definedName name="solver_rel11" localSheetId="6" hidden="1">2</definedName>
    <definedName name="solver_rel11" localSheetId="3" hidden="1">2</definedName>
    <definedName name="solver_rel11" localSheetId="4" hidden="1">2</definedName>
    <definedName name="solver_rel12" localSheetId="7" hidden="1">2</definedName>
    <definedName name="solver_rel12" localSheetId="5" hidden="1">2</definedName>
    <definedName name="solver_rel12" localSheetId="6" hidden="1">2</definedName>
    <definedName name="solver_rel12" localSheetId="3" hidden="1">2</definedName>
    <definedName name="solver_rel12" localSheetId="4" hidden="1">2</definedName>
    <definedName name="solver_rel13" localSheetId="7" hidden="1">2</definedName>
    <definedName name="solver_rel13" localSheetId="5" hidden="1">2</definedName>
    <definedName name="solver_rel13" localSheetId="6" hidden="1">2</definedName>
    <definedName name="solver_rel13" localSheetId="3" hidden="1">2</definedName>
    <definedName name="solver_rel13" localSheetId="4" hidden="1">2</definedName>
    <definedName name="solver_rel14" localSheetId="7" hidden="1">4</definedName>
    <definedName name="solver_rel14" localSheetId="5" hidden="1">2</definedName>
    <definedName name="solver_rel14" localSheetId="6" hidden="1">2</definedName>
    <definedName name="solver_rel14" localSheetId="3" hidden="1">2</definedName>
    <definedName name="solver_rel14" localSheetId="4" hidden="1">2</definedName>
    <definedName name="solver_rel15" localSheetId="7" hidden="1">2</definedName>
    <definedName name="solver_rel15" localSheetId="5" hidden="1">2</definedName>
    <definedName name="solver_rel15" localSheetId="6" hidden="1">2</definedName>
    <definedName name="solver_rel15" localSheetId="3" hidden="1">2</definedName>
    <definedName name="solver_rel15" localSheetId="4" hidden="1">2</definedName>
    <definedName name="solver_rel16" localSheetId="7" hidden="1">4</definedName>
    <definedName name="solver_rel16" localSheetId="5" hidden="1">2</definedName>
    <definedName name="solver_rel16" localSheetId="6" hidden="1">2</definedName>
    <definedName name="solver_rel16" localSheetId="3" hidden="1">2</definedName>
    <definedName name="solver_rel16" localSheetId="4" hidden="1">2</definedName>
    <definedName name="solver_rel17" localSheetId="7" hidden="1">1</definedName>
    <definedName name="solver_rel17" localSheetId="5" hidden="1">2</definedName>
    <definedName name="solver_rel17" localSheetId="6" hidden="1">2</definedName>
    <definedName name="solver_rel17" localSheetId="3" hidden="1">2</definedName>
    <definedName name="solver_rel17" localSheetId="4" hidden="1">2</definedName>
    <definedName name="solver_rel18" localSheetId="7" hidden="1">4</definedName>
    <definedName name="solver_rel18" localSheetId="5" hidden="1">2</definedName>
    <definedName name="solver_rel18" localSheetId="6" hidden="1">2</definedName>
    <definedName name="solver_rel18" localSheetId="3" hidden="1">2</definedName>
    <definedName name="solver_rel18" localSheetId="4" hidden="1">2</definedName>
    <definedName name="solver_rel19" localSheetId="7" hidden="1">5</definedName>
    <definedName name="solver_rel19" localSheetId="5" hidden="1">2</definedName>
    <definedName name="solver_rel19" localSheetId="6" hidden="1">2</definedName>
    <definedName name="solver_rel19" localSheetId="3" hidden="1">2</definedName>
    <definedName name="solver_rel19" localSheetId="4" hidden="1">2</definedName>
    <definedName name="solver_rel2" localSheetId="7" hidden="1">3</definedName>
    <definedName name="solver_rel2" localSheetId="5" hidden="1">4</definedName>
    <definedName name="solver_rel2" localSheetId="6" hidden="1">4</definedName>
    <definedName name="solver_rel2" localSheetId="1" hidden="1">3</definedName>
    <definedName name="solver_rel2" localSheetId="3" hidden="1">4</definedName>
    <definedName name="solver_rel2" localSheetId="4" hidden="1">4</definedName>
    <definedName name="solver_rel20" localSheetId="7" hidden="1">5</definedName>
    <definedName name="solver_rel20" localSheetId="5" hidden="1">2</definedName>
    <definedName name="solver_rel20" localSheetId="6" hidden="1">2</definedName>
    <definedName name="solver_rel20" localSheetId="3" hidden="1">2</definedName>
    <definedName name="solver_rel20" localSheetId="4" hidden="1">2</definedName>
    <definedName name="solver_rel21" localSheetId="7" hidden="1">5</definedName>
    <definedName name="solver_rel21" localSheetId="5" hidden="1">2</definedName>
    <definedName name="solver_rel21" localSheetId="6" hidden="1">2</definedName>
    <definedName name="solver_rel21" localSheetId="3" hidden="1">2</definedName>
    <definedName name="solver_rel21" localSheetId="4" hidden="1">2</definedName>
    <definedName name="solver_rel22" localSheetId="7" hidden="1">5</definedName>
    <definedName name="solver_rel22" localSheetId="5" hidden="1">2</definedName>
    <definedName name="solver_rel22" localSheetId="6" hidden="1">2</definedName>
    <definedName name="solver_rel22" localSheetId="3" hidden="1">2</definedName>
    <definedName name="solver_rel22" localSheetId="4" hidden="1">2</definedName>
    <definedName name="solver_rel23" localSheetId="7" hidden="1">5</definedName>
    <definedName name="solver_rel23" localSheetId="5" hidden="1">2</definedName>
    <definedName name="solver_rel23" localSheetId="6" hidden="1">2</definedName>
    <definedName name="solver_rel23" localSheetId="3" hidden="1">2</definedName>
    <definedName name="solver_rel23" localSheetId="4" hidden="1">2</definedName>
    <definedName name="solver_rel24" localSheetId="7" hidden="1">5</definedName>
    <definedName name="solver_rel24" localSheetId="5" hidden="1">2</definedName>
    <definedName name="solver_rel24" localSheetId="6" hidden="1">2</definedName>
    <definedName name="solver_rel24" localSheetId="3" hidden="1">2</definedName>
    <definedName name="solver_rel24" localSheetId="4" hidden="1">2</definedName>
    <definedName name="solver_rel25" localSheetId="7" hidden="1">5</definedName>
    <definedName name="solver_rel25" localSheetId="5" hidden="1">2</definedName>
    <definedName name="solver_rel25" localSheetId="6" hidden="1">2</definedName>
    <definedName name="solver_rel25" localSheetId="3" hidden="1">2</definedName>
    <definedName name="solver_rel25" localSheetId="4" hidden="1">2</definedName>
    <definedName name="solver_rel26" localSheetId="7" hidden="1">5</definedName>
    <definedName name="solver_rel26" localSheetId="5" hidden="1">2</definedName>
    <definedName name="solver_rel26" localSheetId="6" hidden="1">2</definedName>
    <definedName name="solver_rel26" localSheetId="3" hidden="1">2</definedName>
    <definedName name="solver_rel26" localSheetId="4" hidden="1">2</definedName>
    <definedName name="solver_rel27" localSheetId="7" hidden="1">5</definedName>
    <definedName name="solver_rel27" localSheetId="5" hidden="1">2</definedName>
    <definedName name="solver_rel27" localSheetId="6" hidden="1">2</definedName>
    <definedName name="solver_rel27" localSheetId="3" hidden="1">2</definedName>
    <definedName name="solver_rel27" localSheetId="4" hidden="1">2</definedName>
    <definedName name="solver_rel28" localSheetId="7" hidden="1">5</definedName>
    <definedName name="solver_rel28" localSheetId="5" hidden="1">2</definedName>
    <definedName name="solver_rel28" localSheetId="6" hidden="1">2</definedName>
    <definedName name="solver_rel28" localSheetId="3" hidden="1">2</definedName>
    <definedName name="solver_rel28" localSheetId="4" hidden="1">2</definedName>
    <definedName name="solver_rel29" localSheetId="7" hidden="1">5</definedName>
    <definedName name="solver_rel29" localSheetId="5" hidden="1">2</definedName>
    <definedName name="solver_rel29" localSheetId="6" hidden="1">2</definedName>
    <definedName name="solver_rel29" localSheetId="3" hidden="1">2</definedName>
    <definedName name="solver_rel29" localSheetId="4" hidden="1">2</definedName>
    <definedName name="solver_rel3" localSheetId="7" hidden="1">3</definedName>
    <definedName name="solver_rel3" localSheetId="5" hidden="1">2</definedName>
    <definedName name="solver_rel3" localSheetId="6" hidden="1">2</definedName>
    <definedName name="solver_rel3" localSheetId="1" hidden="1">3</definedName>
    <definedName name="solver_rel3" localSheetId="3" hidden="1">2</definedName>
    <definedName name="solver_rel3" localSheetId="4" hidden="1">2</definedName>
    <definedName name="solver_rel30" localSheetId="7" hidden="1">5</definedName>
    <definedName name="solver_rel30" localSheetId="5" hidden="1">2</definedName>
    <definedName name="solver_rel30" localSheetId="6" hidden="1">2</definedName>
    <definedName name="solver_rel30" localSheetId="3" hidden="1">2</definedName>
    <definedName name="solver_rel30" localSheetId="4" hidden="1">2</definedName>
    <definedName name="solver_rel31" localSheetId="7" hidden="1">5</definedName>
    <definedName name="solver_rel31" localSheetId="5" hidden="1">4</definedName>
    <definedName name="solver_rel31" localSheetId="6" hidden="1">4</definedName>
    <definedName name="solver_rel31" localSheetId="3" hidden="1">4</definedName>
    <definedName name="solver_rel31" localSheetId="4" hidden="1">4</definedName>
    <definedName name="solver_rel32" localSheetId="7" hidden="1">5</definedName>
    <definedName name="solver_rel32" localSheetId="5" hidden="1">4</definedName>
    <definedName name="solver_rel32" localSheetId="6" hidden="1">4</definedName>
    <definedName name="solver_rel32" localSheetId="3" hidden="1">4</definedName>
    <definedName name="solver_rel32" localSheetId="4" hidden="1">4</definedName>
    <definedName name="solver_rel33" localSheetId="7" hidden="1">5</definedName>
    <definedName name="solver_rel34" localSheetId="7" hidden="1">5</definedName>
    <definedName name="solver_rel35" localSheetId="7" hidden="1">5</definedName>
    <definedName name="solver_rel36" localSheetId="7" hidden="1">5</definedName>
    <definedName name="solver_rel37" localSheetId="7" hidden="1">5</definedName>
    <definedName name="solver_rel38" localSheetId="7" hidden="1">5</definedName>
    <definedName name="solver_rel39" localSheetId="7" hidden="1">5</definedName>
    <definedName name="solver_rel4" localSheetId="7" hidden="1">1</definedName>
    <definedName name="solver_rel4" localSheetId="5" hidden="1">2</definedName>
    <definedName name="solver_rel4" localSheetId="6" hidden="1">2</definedName>
    <definedName name="solver_rel4" localSheetId="3" hidden="1">2</definedName>
    <definedName name="solver_rel4" localSheetId="4" hidden="1">2</definedName>
    <definedName name="solver_rel40" localSheetId="7" hidden="1">5</definedName>
    <definedName name="solver_rel41" localSheetId="7" hidden="1">5</definedName>
    <definedName name="solver_rel5" localSheetId="7" hidden="1">1</definedName>
    <definedName name="solver_rel5" localSheetId="5" hidden="1">2</definedName>
    <definedName name="solver_rel5" localSheetId="6" hidden="1">2</definedName>
    <definedName name="solver_rel5" localSheetId="3" hidden="1">2</definedName>
    <definedName name="solver_rel5" localSheetId="4" hidden="1">2</definedName>
    <definedName name="solver_rel6" localSheetId="7" hidden="1">4</definedName>
    <definedName name="solver_rel6" localSheetId="5" hidden="1">2</definedName>
    <definedName name="solver_rel6" localSheetId="6" hidden="1">2</definedName>
    <definedName name="solver_rel6" localSheetId="3" hidden="1">2</definedName>
    <definedName name="solver_rel6" localSheetId="4" hidden="1">2</definedName>
    <definedName name="solver_rel7" localSheetId="7" hidden="1">1</definedName>
    <definedName name="solver_rel7" localSheetId="5" hidden="1">2</definedName>
    <definedName name="solver_rel7" localSheetId="6" hidden="1">2</definedName>
    <definedName name="solver_rel7" localSheetId="3" hidden="1">2</definedName>
    <definedName name="solver_rel7" localSheetId="4" hidden="1">2</definedName>
    <definedName name="solver_rel8" localSheetId="7" hidden="1">2</definedName>
    <definedName name="solver_rel8" localSheetId="5" hidden="1">2</definedName>
    <definedName name="solver_rel8" localSheetId="6" hidden="1">2</definedName>
    <definedName name="solver_rel8" localSheetId="3" hidden="1">2</definedName>
    <definedName name="solver_rel8" localSheetId="4" hidden="1">2</definedName>
    <definedName name="solver_rel9" localSheetId="7" hidden="1">2</definedName>
    <definedName name="solver_rel9" localSheetId="5" hidden="1">2</definedName>
    <definedName name="solver_rel9" localSheetId="6" hidden="1">2</definedName>
    <definedName name="solver_rel9" localSheetId="3" hidden="1">2</definedName>
    <definedName name="solver_rel9" localSheetId="4" hidden="1">2</definedName>
    <definedName name="solver_rhs1" localSheetId="7" hidden="1">140</definedName>
    <definedName name="solver_rhs1" localSheetId="5" hidden="1">贝叶斯分析!#REF!</definedName>
    <definedName name="solver_rhs1" localSheetId="6" hidden="1">'层次分析法 '!#REF!</definedName>
    <definedName name="solver_rhs1" localSheetId="1" hidden="1">线性规划!$K$7</definedName>
    <definedName name="solver_rhs1" localSheetId="3" hidden="1">运输问题!$C$11</definedName>
    <definedName name="solver_rhs1" localSheetId="4" hidden="1">最小费用最大流!#REF!</definedName>
    <definedName name="solver_rhs10" localSheetId="7" hidden="1">0</definedName>
    <definedName name="solver_rhs10" localSheetId="5" hidden="1">贝叶斯分析!#REF!</definedName>
    <definedName name="solver_rhs10" localSheetId="6" hidden="1">'层次分析法 '!#REF!</definedName>
    <definedName name="solver_rhs10" localSheetId="3" hidden="1">运输问题!$H$9</definedName>
    <definedName name="solver_rhs10" localSheetId="4" hidden="1">最小费用最大流!#REF!</definedName>
    <definedName name="solver_rhs11" localSheetId="7" hidden="1">2</definedName>
    <definedName name="solver_rhs11" localSheetId="5" hidden="1">贝叶斯分析!#REF!</definedName>
    <definedName name="solver_rhs11" localSheetId="6" hidden="1">'层次分析法 '!#REF!</definedName>
    <definedName name="solver_rhs11" localSheetId="3" hidden="1">运输问题!#REF!</definedName>
    <definedName name="solver_rhs11" localSheetId="4" hidden="1">最小费用最大流!#REF!</definedName>
    <definedName name="solver_rhs12" localSheetId="7" hidden="1">0</definedName>
    <definedName name="solver_rhs12" localSheetId="5" hidden="1">贝叶斯分析!#REF!</definedName>
    <definedName name="solver_rhs12" localSheetId="6" hidden="1">'层次分析法 '!#REF!</definedName>
    <definedName name="solver_rhs12" localSheetId="3" hidden="1">运输问题!#REF!</definedName>
    <definedName name="solver_rhs12" localSheetId="4" hidden="1">最小费用最大流!#REF!</definedName>
    <definedName name="solver_rhs13" localSheetId="7" hidden="1">0</definedName>
    <definedName name="solver_rhs13" localSheetId="5" hidden="1">贝叶斯分析!#REF!</definedName>
    <definedName name="solver_rhs13" localSheetId="6" hidden="1">'层次分析法 '!#REF!</definedName>
    <definedName name="solver_rhs13" localSheetId="3" hidden="1">运输问题!#REF!</definedName>
    <definedName name="solver_rhs13" localSheetId="4" hidden="1">最小费用最大流!#REF!</definedName>
    <definedName name="solver_rhs14" localSheetId="7" hidden="1">"整数"</definedName>
    <definedName name="solver_rhs14" localSheetId="5" hidden="1">贝叶斯分析!#REF!</definedName>
    <definedName name="solver_rhs14" localSheetId="6" hidden="1">'层次分析法 '!#REF!</definedName>
    <definedName name="solver_rhs14" localSheetId="3" hidden="1">运输问题!#REF!</definedName>
    <definedName name="solver_rhs14" localSheetId="4" hidden="1">最小费用最大流!#REF!</definedName>
    <definedName name="solver_rhs15" localSheetId="7" hidden="1">0</definedName>
    <definedName name="solver_rhs15" localSheetId="5" hidden="1">贝叶斯分析!#REF!</definedName>
    <definedName name="solver_rhs15" localSheetId="6" hidden="1">'层次分析法 '!#REF!</definedName>
    <definedName name="solver_rhs15" localSheetId="3" hidden="1">运输问题!#REF!</definedName>
    <definedName name="solver_rhs15" localSheetId="4" hidden="1">最小费用最大流!#REF!</definedName>
    <definedName name="solver_rhs16" localSheetId="7" hidden="1">"整数"</definedName>
    <definedName name="solver_rhs16" localSheetId="5" hidden="1">贝叶斯分析!#REF!</definedName>
    <definedName name="solver_rhs16" localSheetId="6" hidden="1">'层次分析法 '!#REF!</definedName>
    <definedName name="solver_rhs16" localSheetId="3" hidden="1">运输问题!#REF!</definedName>
    <definedName name="solver_rhs16" localSheetId="4" hidden="1">最小费用最大流!#REF!</definedName>
    <definedName name="solver_rhs17" localSheetId="7" hidden="1">140</definedName>
    <definedName name="solver_rhs17" localSheetId="5" hidden="1">贝叶斯分析!#REF!</definedName>
    <definedName name="solver_rhs17" localSheetId="6" hidden="1">'层次分析法 '!#REF!</definedName>
    <definedName name="solver_rhs17" localSheetId="3" hidden="1">运输问题!#REF!</definedName>
    <definedName name="solver_rhs17" localSheetId="4" hidden="1">最小费用最大流!#REF!</definedName>
    <definedName name="solver_rhs18" localSheetId="7" hidden="1">"整数"</definedName>
    <definedName name="solver_rhs18" localSheetId="5" hidden="1">贝叶斯分析!#REF!</definedName>
    <definedName name="solver_rhs18" localSheetId="6" hidden="1">'层次分析法 '!#REF!</definedName>
    <definedName name="solver_rhs18" localSheetId="3" hidden="1">运输问题!#REF!</definedName>
    <definedName name="solver_rhs18" localSheetId="4" hidden="1">最小费用最大流!#REF!</definedName>
    <definedName name="solver_rhs19" localSheetId="7" hidden="1">"二进制"</definedName>
    <definedName name="solver_rhs19" localSheetId="5" hidden="1">贝叶斯分析!#REF!</definedName>
    <definedName name="solver_rhs19" localSheetId="6" hidden="1">'层次分析法 '!#REF!</definedName>
    <definedName name="solver_rhs19" localSheetId="3" hidden="1">运输问题!#REF!</definedName>
    <definedName name="solver_rhs19" localSheetId="4" hidden="1">最小费用最大流!#REF!</definedName>
    <definedName name="solver_rhs2" localSheetId="7" hidden="1">1</definedName>
    <definedName name="solver_rhs2" localSheetId="5" hidden="1">"整数"</definedName>
    <definedName name="solver_rhs2" localSheetId="6" hidden="1">"整数"</definedName>
    <definedName name="solver_rhs2" localSheetId="1" hidden="1">线性规划!$K$9</definedName>
    <definedName name="solver_rhs2" localSheetId="3" hidden="1">"整数"</definedName>
    <definedName name="solver_rhs2" localSheetId="4" hidden="1">"整数"</definedName>
    <definedName name="solver_rhs20" localSheetId="7" hidden="1">"二进制"</definedName>
    <definedName name="solver_rhs20" localSheetId="5" hidden="1">贝叶斯分析!#REF!</definedName>
    <definedName name="solver_rhs20" localSheetId="6" hidden="1">'层次分析法 '!#REF!</definedName>
    <definedName name="solver_rhs20" localSheetId="3" hidden="1">运输问题!#REF!</definedName>
    <definedName name="solver_rhs20" localSheetId="4" hidden="1">最小费用最大流!#REF!</definedName>
    <definedName name="solver_rhs21" localSheetId="7" hidden="1">"二进制"</definedName>
    <definedName name="solver_rhs21" localSheetId="5" hidden="1">贝叶斯分析!#REF!</definedName>
    <definedName name="solver_rhs21" localSheetId="6" hidden="1">'层次分析法 '!#REF!</definedName>
    <definedName name="solver_rhs21" localSheetId="3" hidden="1">运输问题!#REF!</definedName>
    <definedName name="solver_rhs21" localSheetId="4" hidden="1">最小费用最大流!#REF!</definedName>
    <definedName name="solver_rhs22" localSheetId="7" hidden="1">"二进制"</definedName>
    <definedName name="solver_rhs22" localSheetId="5" hidden="1">贝叶斯分析!#REF!</definedName>
    <definedName name="solver_rhs22" localSheetId="6" hidden="1">'层次分析法 '!#REF!</definedName>
    <definedName name="solver_rhs22" localSheetId="3" hidden="1">运输问题!#REF!</definedName>
    <definedName name="solver_rhs22" localSheetId="4" hidden="1">最小费用最大流!#REF!</definedName>
    <definedName name="solver_rhs23" localSheetId="7" hidden="1">"二进制"</definedName>
    <definedName name="solver_rhs23" localSheetId="5" hidden="1">贝叶斯分析!#REF!</definedName>
    <definedName name="solver_rhs23" localSheetId="6" hidden="1">'层次分析法 '!#REF!</definedName>
    <definedName name="solver_rhs23" localSheetId="3" hidden="1">运输问题!#REF!</definedName>
    <definedName name="solver_rhs23" localSheetId="4" hidden="1">最小费用最大流!#REF!</definedName>
    <definedName name="solver_rhs24" localSheetId="7" hidden="1">"二进制"</definedName>
    <definedName name="solver_rhs24" localSheetId="5" hidden="1">贝叶斯分析!#REF!</definedName>
    <definedName name="solver_rhs24" localSheetId="6" hidden="1">'层次分析法 '!#REF!</definedName>
    <definedName name="solver_rhs24" localSheetId="3" hidden="1">运输问题!#REF!</definedName>
    <definedName name="solver_rhs24" localSheetId="4" hidden="1">最小费用最大流!#REF!</definedName>
    <definedName name="solver_rhs25" localSheetId="7" hidden="1">"二进制"</definedName>
    <definedName name="solver_rhs25" localSheetId="5" hidden="1">贝叶斯分析!#REF!</definedName>
    <definedName name="solver_rhs25" localSheetId="6" hidden="1">'层次分析法 '!#REF!</definedName>
    <definedName name="solver_rhs25" localSheetId="3" hidden="1">运输问题!#REF!</definedName>
    <definedName name="solver_rhs25" localSheetId="4" hidden="1">最小费用最大流!#REF!</definedName>
    <definedName name="solver_rhs26" localSheetId="7" hidden="1">"二进制"</definedName>
    <definedName name="solver_rhs26" localSheetId="5" hidden="1">贝叶斯分析!#REF!</definedName>
    <definedName name="solver_rhs26" localSheetId="6" hidden="1">'层次分析法 '!#REF!</definedName>
    <definedName name="solver_rhs26" localSheetId="3" hidden="1">运输问题!#REF!</definedName>
    <definedName name="solver_rhs26" localSheetId="4" hidden="1">最小费用最大流!#REF!</definedName>
    <definedName name="solver_rhs27" localSheetId="7" hidden="1">"二进制"</definedName>
    <definedName name="solver_rhs27" localSheetId="5" hidden="1">贝叶斯分析!#REF!</definedName>
    <definedName name="solver_rhs27" localSheetId="6" hidden="1">'层次分析法 '!#REF!</definedName>
    <definedName name="solver_rhs27" localSheetId="3" hidden="1">运输问题!#REF!</definedName>
    <definedName name="solver_rhs27" localSheetId="4" hidden="1">最小费用最大流!#REF!</definedName>
    <definedName name="solver_rhs28" localSheetId="7" hidden="1">"二进制"</definedName>
    <definedName name="solver_rhs28" localSheetId="5" hidden="1">贝叶斯分析!#REF!</definedName>
    <definedName name="solver_rhs28" localSheetId="6" hidden="1">'层次分析法 '!#REF!</definedName>
    <definedName name="solver_rhs28" localSheetId="3" hidden="1">运输问题!#REF!</definedName>
    <definedName name="solver_rhs28" localSheetId="4" hidden="1">最小费用最大流!#REF!</definedName>
    <definedName name="solver_rhs29" localSheetId="7" hidden="1">"二进制"</definedName>
    <definedName name="solver_rhs29" localSheetId="5" hidden="1">贝叶斯分析!#REF!</definedName>
    <definedName name="solver_rhs29" localSheetId="6" hidden="1">'层次分析法 '!#REF!</definedName>
    <definedName name="solver_rhs29" localSheetId="3" hidden="1">运输问题!#REF!</definedName>
    <definedName name="solver_rhs29" localSheetId="4" hidden="1">最小费用最大流!#REF!</definedName>
    <definedName name="solver_rhs3" localSheetId="7" hidden="1">1</definedName>
    <definedName name="solver_rhs3" localSheetId="5" hidden="1">贝叶斯分析!#REF!</definedName>
    <definedName name="solver_rhs3" localSheetId="6" hidden="1">'层次分析法 '!#REF!</definedName>
    <definedName name="solver_rhs3" localSheetId="1" hidden="1">线性规划!$K$9</definedName>
    <definedName name="solver_rhs3" localSheetId="3" hidden="1">运输问题!$D$11</definedName>
    <definedName name="solver_rhs3" localSheetId="4" hidden="1">最小费用最大流!#REF!</definedName>
    <definedName name="solver_rhs30" localSheetId="7" hidden="1">"二进制"</definedName>
    <definedName name="solver_rhs30" localSheetId="5" hidden="1">贝叶斯分析!#REF!</definedName>
    <definedName name="solver_rhs30" localSheetId="6" hidden="1">'层次分析法 '!#REF!</definedName>
    <definedName name="solver_rhs30" localSheetId="3" hidden="1">运输问题!#REF!</definedName>
    <definedName name="solver_rhs30" localSheetId="4" hidden="1">最小费用最大流!#REF!</definedName>
    <definedName name="solver_rhs31" localSheetId="7" hidden="1">"二进制"</definedName>
    <definedName name="solver_rhs31" localSheetId="5" hidden="1">"整数"</definedName>
    <definedName name="solver_rhs31" localSheetId="6" hidden="1">"整数"</definedName>
    <definedName name="solver_rhs31" localSheetId="3" hidden="1">"整数"</definedName>
    <definedName name="solver_rhs31" localSheetId="4" hidden="1">"整数"</definedName>
    <definedName name="solver_rhs32" localSheetId="7" hidden="1">"二进制"</definedName>
    <definedName name="solver_rhs32" localSheetId="5" hidden="1">"整数"</definedName>
    <definedName name="solver_rhs32" localSheetId="6" hidden="1">"整数"</definedName>
    <definedName name="solver_rhs32" localSheetId="3" hidden="1">"整数"</definedName>
    <definedName name="solver_rhs32" localSheetId="4" hidden="1">"整数"</definedName>
    <definedName name="solver_rhs33" localSheetId="7" hidden="1">"二进制"</definedName>
    <definedName name="solver_rhs34" localSheetId="7" hidden="1">"二进制"</definedName>
    <definedName name="solver_rhs35" localSheetId="7" hidden="1">"二进制"</definedName>
    <definedName name="solver_rhs36" localSheetId="7" hidden="1">"二进制"</definedName>
    <definedName name="solver_rhs37" localSheetId="7" hidden="1">"二进制"</definedName>
    <definedName name="solver_rhs38" localSheetId="7" hidden="1">"二进制"</definedName>
    <definedName name="solver_rhs39" localSheetId="7" hidden="1">"二进制"</definedName>
    <definedName name="solver_rhs4" localSheetId="7" hidden="1">2</definedName>
    <definedName name="solver_rhs4" localSheetId="5" hidden="1">贝叶斯分析!#REF!</definedName>
    <definedName name="solver_rhs4" localSheetId="6" hidden="1">'层次分析法 '!#REF!</definedName>
    <definedName name="solver_rhs4" localSheetId="3" hidden="1">运输问题!$E$11</definedName>
    <definedName name="solver_rhs4" localSheetId="4" hidden="1">最小费用最大流!#REF!</definedName>
    <definedName name="solver_rhs40" localSheetId="7" hidden="1">"二进制"</definedName>
    <definedName name="solver_rhs41" localSheetId="7" hidden="1">"二进制"</definedName>
    <definedName name="solver_rhs5" localSheetId="7" hidden="1">4</definedName>
    <definedName name="solver_rhs5" localSheetId="5" hidden="1">贝叶斯分析!#REF!</definedName>
    <definedName name="solver_rhs5" localSheetId="6" hidden="1">'层次分析法 '!#REF!</definedName>
    <definedName name="solver_rhs5" localSheetId="3" hidden="1">运输问题!$F$11</definedName>
    <definedName name="solver_rhs5" localSheetId="4" hidden="1">最小费用最大流!#REF!</definedName>
    <definedName name="solver_rhs6" localSheetId="7" hidden="1">"整数"</definedName>
    <definedName name="solver_rhs6" localSheetId="5" hidden="1">贝叶斯分析!#REF!</definedName>
    <definedName name="solver_rhs6" localSheetId="6" hidden="1">'层次分析法 '!#REF!</definedName>
    <definedName name="solver_rhs6" localSheetId="3" hidden="1">运输问题!$G$11</definedName>
    <definedName name="solver_rhs6" localSheetId="4" hidden="1">最小费用最大流!#REF!</definedName>
    <definedName name="solver_rhs7" localSheetId="7" hidden="1">1</definedName>
    <definedName name="solver_rhs7" localSheetId="5" hidden="1">贝叶斯分析!#REF!</definedName>
    <definedName name="solver_rhs7" localSheetId="6" hidden="1">'层次分析法 '!#REF!</definedName>
    <definedName name="solver_rhs7" localSheetId="3" hidden="1">运输问题!$H$10</definedName>
    <definedName name="solver_rhs7" localSheetId="4" hidden="1">最小费用最大流!#REF!</definedName>
    <definedName name="solver_rhs8" localSheetId="7" hidden="1">0</definedName>
    <definedName name="solver_rhs8" localSheetId="5" hidden="1">贝叶斯分析!#REF!</definedName>
    <definedName name="solver_rhs8" localSheetId="6" hidden="1">'层次分析法 '!#REF!</definedName>
    <definedName name="solver_rhs8" localSheetId="3" hidden="1">运输问题!$H$7</definedName>
    <definedName name="solver_rhs8" localSheetId="4" hidden="1">最小费用最大流!#REF!</definedName>
    <definedName name="solver_rhs9" localSheetId="7" hidden="1">0</definedName>
    <definedName name="solver_rhs9" localSheetId="5" hidden="1">贝叶斯分析!#REF!</definedName>
    <definedName name="solver_rhs9" localSheetId="6" hidden="1">'层次分析法 '!#REF!</definedName>
    <definedName name="solver_rhs9" localSheetId="3" hidden="1">运输问题!$H$8</definedName>
    <definedName name="solver_rhs9" localSheetId="4" hidden="1">最小费用最大流!#REF!</definedName>
    <definedName name="solver_rlx" localSheetId="7" hidden="1">2</definedName>
    <definedName name="solver_rlx" localSheetId="5" hidden="1">2</definedName>
    <definedName name="solver_rlx" localSheetId="6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sd" localSheetId="7" hidden="1">0</definedName>
    <definedName name="solver_rsd" localSheetId="5" hidden="1">0</definedName>
    <definedName name="solver_rsd" localSheetId="6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scl" localSheetId="7" hidden="1">1</definedName>
    <definedName name="solver_scl" localSheetId="5" hidden="1">2</definedName>
    <definedName name="solver_scl" localSheetId="6" hidden="1">2</definedName>
    <definedName name="solver_scl" localSheetId="1" hidden="1">2</definedName>
    <definedName name="solver_scl" localSheetId="3" hidden="1">2</definedName>
    <definedName name="solver_scl" localSheetId="4" hidden="1">2</definedName>
    <definedName name="solver_sho" localSheetId="7" hidden="1">2</definedName>
    <definedName name="solver_sho" localSheetId="5" hidden="1">2</definedName>
    <definedName name="solver_sho" localSheetId="6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sz" localSheetId="7" hidden="1">100</definedName>
    <definedName name="solver_ssz" localSheetId="5" hidden="1">100</definedName>
    <definedName name="solver_ssz" localSheetId="6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tim" localSheetId="7" hidden="1">2147483647</definedName>
    <definedName name="solver_tim" localSheetId="5" hidden="1">2147483647</definedName>
    <definedName name="solver_tim" localSheetId="6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ol" localSheetId="7" hidden="1">0.01</definedName>
    <definedName name="solver_tol" localSheetId="5" hidden="1">0.01</definedName>
    <definedName name="solver_tol" localSheetId="6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yp" localSheetId="7" hidden="1">1</definedName>
    <definedName name="solver_typ" localSheetId="5" hidden="1">1</definedName>
    <definedName name="solver_typ" localSheetId="6" hidden="1">1</definedName>
    <definedName name="solver_typ" localSheetId="1" hidden="1">1</definedName>
    <definedName name="solver_typ" localSheetId="3" hidden="1">2</definedName>
    <definedName name="solver_typ" localSheetId="4" hidden="1">1</definedName>
    <definedName name="solver_val" localSheetId="7" hidden="1">0</definedName>
    <definedName name="solver_val" localSheetId="5" hidden="1">0</definedName>
    <definedName name="solver_val" localSheetId="6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er" localSheetId="7" hidden="1">3</definedName>
    <definedName name="solver_ver" localSheetId="5" hidden="1">3</definedName>
    <definedName name="solver_ver" localSheetId="6" hidden="1">3</definedName>
    <definedName name="solver_ver" localSheetId="1" hidden="1">3</definedName>
    <definedName name="solver_ver" localSheetId="3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yzh</author>
  </authors>
  <commentList>
    <comment ref="S18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目标函数最终计算结果</t>
        </r>
      </text>
    </comment>
  </commentList>
</comments>
</file>

<file path=xl/comments2.xml><?xml version="1.0" encoding="utf-8"?>
<comments xmlns="http://schemas.openxmlformats.org/spreadsheetml/2006/main">
  <authors>
    <author>yzh</author>
  </authors>
  <commentList>
    <comment ref="N17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填写公式</t>
        </r>
      </text>
    </comment>
    <comment ref="N18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填写公式</t>
        </r>
      </text>
    </comment>
    <comment ref="M20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期望收益计算公式</t>
        </r>
      </text>
    </comment>
    <comment ref="P20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期望收益计算结果</t>
        </r>
      </text>
    </comment>
    <comment ref="M21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包括是否选择调查，期望收益是多少？</t>
        </r>
      </text>
    </comment>
    <comment ref="D22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填写公式</t>
        </r>
      </text>
    </comment>
    <comment ref="H22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期望收益计算结果</t>
        </r>
      </text>
    </comment>
    <comment ref="D23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填写公式</t>
        </r>
      </text>
    </comment>
    <comment ref="H23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期望收益计算结果</t>
        </r>
      </text>
    </comment>
    <comment ref="M25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期望收益计算公式</t>
        </r>
      </text>
    </comment>
    <comment ref="P25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期望收益计算结果</t>
        </r>
      </text>
    </comment>
    <comment ref="M26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包括是否选择调查，期望收益是多少？</t>
        </r>
      </text>
    </comment>
    <comment ref="M30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期望收益计算公式</t>
        </r>
      </text>
    </comment>
    <comment ref="P30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期望收益计算结果</t>
        </r>
      </text>
    </comment>
    <comment ref="M31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包括是否选择调查，期望收益是多少？</t>
        </r>
      </text>
    </comment>
  </commentList>
</comments>
</file>

<file path=xl/comments3.xml><?xml version="1.0" encoding="utf-8"?>
<comments xmlns="http://schemas.openxmlformats.org/spreadsheetml/2006/main">
  <authors>
    <author>yzh</author>
  </authors>
  <commentList>
    <comment ref="G2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请填写13位学号</t>
        </r>
      </text>
    </comment>
  </commentList>
</comments>
</file>

<file path=xl/comments4.xml><?xml version="1.0" encoding="utf-8"?>
<comments xmlns="http://schemas.openxmlformats.org/spreadsheetml/2006/main">
  <authors>
    <author>yzh</author>
  </authors>
  <commentList>
    <comment ref="G2" authorId="0">
      <text>
        <r>
          <rPr>
            <b/>
            <sz val="9"/>
            <rFont val="宋体"/>
            <charset val="134"/>
          </rPr>
          <t>yzh:</t>
        </r>
        <r>
          <rPr>
            <sz val="9"/>
            <rFont val="宋体"/>
            <charset val="134"/>
          </rPr>
          <t xml:space="preserve">
请填写13位学号</t>
        </r>
      </text>
    </comment>
  </commentList>
</comments>
</file>

<file path=xl/sharedStrings.xml><?xml version="1.0" encoding="utf-8"?>
<sst xmlns="http://schemas.openxmlformats.org/spreadsheetml/2006/main" count="338" uniqueCount="211">
  <si>
    <t>学号</t>
  </si>
  <si>
    <t>姓名</t>
  </si>
  <si>
    <t>翁宇豪</t>
  </si>
  <si>
    <r>
      <rPr>
        <sz val="16"/>
        <color theme="1"/>
        <rFont val="等线"/>
        <charset val="134"/>
        <scheme val="minor"/>
      </rPr>
      <t>要求完成必做题，</t>
    </r>
    <r>
      <rPr>
        <sz val="16"/>
        <color rgb="FFFF0000"/>
        <rFont val="等线"/>
        <charset val="134"/>
        <scheme val="minor"/>
      </rPr>
      <t>完成其他题目不给分</t>
    </r>
    <r>
      <rPr>
        <sz val="16"/>
        <color theme="1"/>
        <rFont val="等线"/>
        <charset val="134"/>
        <scheme val="minor"/>
      </rPr>
      <t>。</t>
    </r>
  </si>
  <si>
    <t>试题序号</t>
  </si>
  <si>
    <t>试题题目</t>
  </si>
  <si>
    <t>代码要求</t>
  </si>
  <si>
    <t>分值</t>
  </si>
  <si>
    <t>必做题</t>
  </si>
  <si>
    <t>线性规划</t>
  </si>
  <si>
    <t>对偶单纯形法</t>
  </si>
  <si>
    <t>Dijkstra 算法</t>
  </si>
  <si>
    <t>运输问题</t>
  </si>
  <si>
    <t>代码完成</t>
  </si>
  <si>
    <t>最小费用最大流</t>
  </si>
  <si>
    <t>贝叶斯分析</t>
  </si>
  <si>
    <t>层次分析法</t>
  </si>
  <si>
    <t>0-1整数规划</t>
  </si>
  <si>
    <t>网络计划优化</t>
  </si>
  <si>
    <t>线性目标规划</t>
  </si>
  <si>
    <t>动态规划</t>
  </si>
  <si>
    <t>存储论</t>
  </si>
  <si>
    <t>对策论</t>
  </si>
  <si>
    <r>
      <rPr>
        <sz val="11"/>
        <color theme="1"/>
        <rFont val="等线"/>
        <charset val="134"/>
      </rPr>
      <t>姓名</t>
    </r>
  </si>
  <si>
    <r>
      <rPr>
        <sz val="14"/>
        <color theme="1"/>
        <rFont val="等线"/>
        <charset val="134"/>
      </rPr>
      <t>学号</t>
    </r>
  </si>
  <si>
    <t>答题区</t>
  </si>
  <si>
    <t>用单纯形法求解最优目标值</t>
  </si>
  <si>
    <t>s.t. 1</t>
  </si>
  <si>
    <t>x1+</t>
  </si>
  <si>
    <t>x2+</t>
  </si>
  <si>
    <t>x3+</t>
  </si>
  <si>
    <t>x4+</t>
  </si>
  <si>
    <t>x5+</t>
  </si>
  <si>
    <t>x6=</t>
  </si>
  <si>
    <t xml:space="preserve">Max  </t>
  </si>
  <si>
    <t>Z=</t>
  </si>
  <si>
    <r>
      <rPr>
        <i/>
        <sz val="18"/>
        <color theme="1"/>
        <rFont val="Times New Roman"/>
        <charset val="134"/>
      </rPr>
      <t>x</t>
    </r>
    <r>
      <rPr>
        <i/>
        <vertAlign val="subscript"/>
        <sz val="14"/>
        <color theme="1"/>
        <rFont val="Times New Roman"/>
        <charset val="134"/>
      </rPr>
      <t>1</t>
    </r>
    <r>
      <rPr>
        <i/>
        <sz val="18"/>
        <color theme="1"/>
        <rFont val="Times New Roman"/>
        <charset val="134"/>
      </rPr>
      <t>+</t>
    </r>
  </si>
  <si>
    <r>
      <rPr>
        <i/>
        <sz val="18"/>
        <color theme="1"/>
        <rFont val="Times New Roman"/>
        <charset val="134"/>
      </rPr>
      <t>x</t>
    </r>
    <r>
      <rPr>
        <i/>
        <vertAlign val="subscript"/>
        <sz val="14"/>
        <color theme="1"/>
        <rFont val="Times New Roman"/>
        <charset val="134"/>
      </rPr>
      <t>2</t>
    </r>
    <r>
      <rPr>
        <i/>
        <sz val="18"/>
        <color theme="1"/>
        <rFont val="Times New Roman"/>
        <charset val="134"/>
      </rPr>
      <t>+</t>
    </r>
  </si>
  <si>
    <r>
      <rPr>
        <i/>
        <sz val="18"/>
        <color theme="1"/>
        <rFont val="Times New Roman"/>
        <charset val="134"/>
      </rPr>
      <t>x</t>
    </r>
    <r>
      <rPr>
        <i/>
        <vertAlign val="subscript"/>
        <sz val="14"/>
        <color theme="1"/>
        <rFont val="Times New Roman"/>
        <charset val="134"/>
      </rPr>
      <t>3</t>
    </r>
  </si>
  <si>
    <t>s.t. 2</t>
  </si>
  <si>
    <t>≤</t>
  </si>
  <si>
    <t>s.t. 3</t>
  </si>
  <si>
    <r>
      <rPr>
        <sz val="18"/>
        <color theme="1"/>
        <rFont val="HGB1_CNKI"/>
        <charset val="134"/>
      </rPr>
      <t>x</t>
    </r>
    <r>
      <rPr>
        <i/>
        <sz val="18"/>
        <color theme="1"/>
        <rFont val="HGB1_CNKI"/>
        <charset val="134"/>
      </rPr>
      <t>i</t>
    </r>
    <r>
      <rPr>
        <sz val="18"/>
        <color theme="1"/>
        <rFont val="HGB1_CNKI"/>
        <charset val="134"/>
      </rPr>
      <t>≥0</t>
    </r>
  </si>
  <si>
    <t>≥</t>
  </si>
  <si>
    <r>
      <rPr>
        <i/>
        <sz val="16"/>
        <color theme="1"/>
        <rFont val="等线"/>
        <charset val="134"/>
        <scheme val="minor"/>
      </rPr>
      <t>c</t>
    </r>
    <r>
      <rPr>
        <i/>
        <vertAlign val="subscript"/>
        <sz val="16"/>
        <color theme="1"/>
        <rFont val="等线"/>
        <charset val="134"/>
        <scheme val="minor"/>
      </rPr>
      <t>j</t>
    </r>
  </si>
  <si>
    <r>
      <rPr>
        <i/>
        <sz val="18"/>
        <color theme="1"/>
        <rFont val="Times New Roman"/>
        <charset val="134"/>
      </rPr>
      <t>x</t>
    </r>
    <r>
      <rPr>
        <i/>
        <vertAlign val="subscript"/>
        <sz val="18"/>
        <color theme="1"/>
        <rFont val="Times New Roman"/>
        <charset val="134"/>
      </rPr>
      <t>i</t>
    </r>
    <r>
      <rPr>
        <i/>
        <sz val="18"/>
        <color theme="1"/>
        <rFont val="宋体"/>
        <charset val="134"/>
      </rPr>
      <t>≥</t>
    </r>
    <r>
      <rPr>
        <i/>
        <sz val="18"/>
        <color theme="1"/>
        <rFont val="Times New Roman"/>
        <charset val="134"/>
      </rPr>
      <t>0</t>
    </r>
  </si>
  <si>
    <r>
      <rPr>
        <sz val="16"/>
        <color theme="1"/>
        <rFont val="等线"/>
        <charset val="134"/>
        <scheme val="minor"/>
      </rPr>
      <t>C</t>
    </r>
    <r>
      <rPr>
        <vertAlign val="subscript"/>
        <sz val="16"/>
        <color theme="1"/>
        <rFont val="等线"/>
        <charset val="134"/>
        <scheme val="minor"/>
      </rPr>
      <t>B</t>
    </r>
  </si>
  <si>
    <r>
      <rPr>
        <sz val="16"/>
        <color theme="1"/>
        <rFont val="等线"/>
        <charset val="134"/>
        <scheme val="minor"/>
      </rPr>
      <t>X</t>
    </r>
    <r>
      <rPr>
        <vertAlign val="subscript"/>
        <sz val="16"/>
        <color theme="1"/>
        <rFont val="等线"/>
        <charset val="134"/>
        <scheme val="minor"/>
      </rPr>
      <t>B</t>
    </r>
  </si>
  <si>
    <t>b</t>
  </si>
  <si>
    <r>
      <rPr>
        <i/>
        <sz val="16"/>
        <color theme="1"/>
        <rFont val="Times New Roman"/>
        <charset val="134"/>
      </rPr>
      <t>x</t>
    </r>
    <r>
      <rPr>
        <i/>
        <vertAlign val="subscript"/>
        <sz val="16"/>
        <color theme="1"/>
        <rFont val="Times New Roman"/>
        <charset val="134"/>
      </rPr>
      <t>1</t>
    </r>
  </si>
  <si>
    <r>
      <rPr>
        <i/>
        <sz val="16"/>
        <color theme="1"/>
        <rFont val="Times New Roman"/>
        <charset val="134"/>
      </rPr>
      <t>x</t>
    </r>
    <r>
      <rPr>
        <i/>
        <vertAlign val="subscript"/>
        <sz val="16"/>
        <color theme="1"/>
        <rFont val="Times New Roman"/>
        <charset val="134"/>
      </rPr>
      <t>2</t>
    </r>
  </si>
  <si>
    <r>
      <rPr>
        <i/>
        <sz val="16"/>
        <color theme="1"/>
        <rFont val="Times New Roman"/>
        <charset val="134"/>
      </rPr>
      <t>x</t>
    </r>
    <r>
      <rPr>
        <i/>
        <vertAlign val="subscript"/>
        <sz val="16"/>
        <color theme="1"/>
        <rFont val="Times New Roman"/>
        <charset val="134"/>
      </rPr>
      <t>3</t>
    </r>
  </si>
  <si>
    <r>
      <rPr>
        <i/>
        <sz val="16"/>
        <color theme="1"/>
        <rFont val="Times New Roman"/>
        <charset val="134"/>
      </rPr>
      <t>x</t>
    </r>
    <r>
      <rPr>
        <i/>
        <vertAlign val="subscript"/>
        <sz val="16"/>
        <color theme="1"/>
        <rFont val="Times New Roman"/>
        <charset val="134"/>
      </rPr>
      <t>4</t>
    </r>
  </si>
  <si>
    <r>
      <rPr>
        <i/>
        <sz val="16"/>
        <color theme="1"/>
        <rFont val="Times New Roman"/>
        <charset val="134"/>
      </rPr>
      <t>x</t>
    </r>
    <r>
      <rPr>
        <i/>
        <vertAlign val="subscript"/>
        <sz val="16"/>
        <color theme="1"/>
        <rFont val="Times New Roman"/>
        <charset val="134"/>
      </rPr>
      <t>5</t>
    </r>
  </si>
  <si>
    <r>
      <rPr>
        <i/>
        <sz val="16"/>
        <color theme="1"/>
        <rFont val="Times New Roman"/>
        <charset val="134"/>
      </rPr>
      <t>x</t>
    </r>
    <r>
      <rPr>
        <i/>
        <vertAlign val="subscript"/>
        <sz val="16"/>
        <color theme="1"/>
        <rFont val="Times New Roman"/>
        <charset val="134"/>
      </rPr>
      <t>6</t>
    </r>
  </si>
  <si>
    <r>
      <rPr>
        <sz val="16"/>
        <color theme="1"/>
        <rFont val="Calibri"/>
        <charset val="161"/>
      </rPr>
      <t>θ</t>
    </r>
    <r>
      <rPr>
        <sz val="16"/>
        <color theme="1"/>
        <rFont val="等线"/>
        <charset val="134"/>
      </rPr>
      <t>i</t>
    </r>
  </si>
  <si>
    <r>
      <rPr>
        <sz val="17"/>
        <color theme="1"/>
        <rFont val="宋体"/>
        <charset val="134"/>
      </rPr>
      <t>请把计算结果填入以下黄色空格和蓝色空格中。注意：结算结果四舍五入，保留2位小数，</t>
    </r>
    <r>
      <rPr>
        <b/>
        <sz val="17"/>
        <color rgb="FFFF0000"/>
        <rFont val="宋体"/>
        <charset val="134"/>
      </rPr>
      <t>灰色空格不用填写</t>
    </r>
    <r>
      <rPr>
        <sz val="17"/>
        <color theme="1"/>
        <rFont val="宋体"/>
        <charset val="134"/>
      </rPr>
      <t>。</t>
    </r>
  </si>
  <si>
    <t>cj-zj</t>
  </si>
  <si>
    <r>
      <rPr>
        <sz val="16"/>
        <color theme="1"/>
        <rFont val="宋体"/>
        <charset val="134"/>
      </rPr>
      <t>2、城市连通图如图所示。节点代表城市，连线代表城市间的公路运输线，线上数字代表公路里程，试用Dijkstra 算法求解城市1到各城市的最短路径及路长。</t>
    </r>
    <r>
      <rPr>
        <sz val="16"/>
        <color rgb="FFFF0000"/>
        <rFont val="宋体"/>
        <charset val="134"/>
      </rPr>
      <t>（20分）</t>
    </r>
    <r>
      <rPr>
        <sz val="16"/>
        <color theme="1"/>
        <rFont val="宋体"/>
        <charset val="134"/>
      </rPr>
      <t xml:space="preserve">
要求：
(1)在交通网络图中，填写城市P标号值，同时填写在表格；</t>
    </r>
    <r>
      <rPr>
        <sz val="16"/>
        <color rgb="FFFF0000"/>
        <rFont val="宋体"/>
        <charset val="134"/>
      </rPr>
      <t>（每城市2分）</t>
    </r>
    <r>
      <rPr>
        <sz val="16"/>
        <color theme="1"/>
        <rFont val="宋体"/>
        <charset val="134"/>
      </rPr>
      <t xml:space="preserve">
(2) 将v1--&gt;v5,v1--&gt;v6,v1--&gt;v7的最短路径按顺序填入表格即可。</t>
    </r>
    <r>
      <rPr>
        <sz val="16"/>
        <color rgb="FFFF0000"/>
        <rFont val="宋体"/>
        <charset val="134"/>
      </rPr>
      <t>（每条路径2分）</t>
    </r>
  </si>
  <si>
    <t>双向交通网络</t>
  </si>
  <si>
    <t>学号：</t>
  </si>
  <si>
    <t>姓名：</t>
  </si>
  <si>
    <r>
      <rPr>
        <i/>
        <sz val="18"/>
        <color theme="1"/>
        <rFont val="Times New Roman"/>
        <charset val="134"/>
      </rPr>
      <t>v</t>
    </r>
    <r>
      <rPr>
        <i/>
        <vertAlign val="subscript"/>
        <sz val="18"/>
        <color theme="1"/>
        <rFont val="Times New Roman"/>
        <charset val="134"/>
      </rPr>
      <t>i</t>
    </r>
  </si>
  <si>
    <t>P值</t>
  </si>
  <si>
    <t>拷贝行</t>
  </si>
  <si>
    <t>v1--&gt;v5路径：</t>
  </si>
  <si>
    <t>v1</t>
  </si>
  <si>
    <t>v1--&gt;v6路径：</t>
  </si>
  <si>
    <t>v1--&gt;v7路径：</t>
  </si>
  <si>
    <t xml:space="preserve"> </t>
  </si>
  <si>
    <t>运输问题的产销量及单位运费表见下表，试用MATLAB仿真确定最佳调运方案</t>
  </si>
  <si>
    <t>求解最优方案，填入下表中，非基变量不用填写，每个运量1分，总运费1分，共9分</t>
  </si>
  <si>
    <t xml:space="preserve">    销地   产地     </t>
  </si>
  <si>
    <t>产量</t>
  </si>
  <si>
    <t>运费</t>
  </si>
  <si>
    <t>运量</t>
  </si>
  <si>
    <t>销量</t>
  </si>
  <si>
    <t>运输费用</t>
  </si>
  <si>
    <t>用西北角法，找出初始方案，填入下表中，非基变量不用填写，每空1分</t>
  </si>
  <si>
    <t>判定0基变量</t>
  </si>
  <si>
    <t>1、根据题目给定的数据，运用MATLAB，作出网络图，要求：(1) 网络图完整，顶点及顶点名称、连线；(2)路径上用成本和容量)的形式将表中数据标识出来，可用两个图分别表示。</t>
  </si>
  <si>
    <t>题：存在某网络图，其各顶点之间的路径单位运费见表1、各路径的容量见下表2。</t>
  </si>
  <si>
    <t>表1  各顶点之间的路径单位运费</t>
  </si>
  <si>
    <t>顶点</t>
  </si>
  <si>
    <r>
      <rPr>
        <i/>
        <sz val="22"/>
        <color theme="1"/>
        <rFont val="Times New Roman"/>
        <charset val="134"/>
      </rPr>
      <t>v</t>
    </r>
    <r>
      <rPr>
        <sz val="11"/>
        <color theme="1"/>
        <rFont val="宋体"/>
        <charset val="134"/>
      </rPr>
      <t>1</t>
    </r>
  </si>
  <si>
    <r>
      <rPr>
        <i/>
        <sz val="22"/>
        <color theme="1"/>
        <rFont val="Times New Roman"/>
        <charset val="134"/>
      </rPr>
      <t>v</t>
    </r>
    <r>
      <rPr>
        <sz val="11"/>
        <color theme="1"/>
        <rFont val="宋体"/>
        <charset val="134"/>
      </rPr>
      <t>2</t>
    </r>
  </si>
  <si>
    <r>
      <rPr>
        <i/>
        <sz val="22"/>
        <color theme="1"/>
        <rFont val="Times New Roman"/>
        <charset val="134"/>
      </rPr>
      <t>v</t>
    </r>
    <r>
      <rPr>
        <sz val="11"/>
        <color theme="1"/>
        <rFont val="宋体"/>
        <charset val="134"/>
      </rPr>
      <t>3</t>
    </r>
  </si>
  <si>
    <r>
      <rPr>
        <i/>
        <sz val="22"/>
        <color theme="1"/>
        <rFont val="Times New Roman"/>
        <charset val="134"/>
      </rPr>
      <t>v</t>
    </r>
    <r>
      <rPr>
        <sz val="11"/>
        <color theme="1"/>
        <rFont val="宋体"/>
        <charset val="134"/>
      </rPr>
      <t>4</t>
    </r>
  </si>
  <si>
    <r>
      <rPr>
        <i/>
        <sz val="22"/>
        <color theme="1"/>
        <rFont val="Times New Roman"/>
        <charset val="134"/>
      </rPr>
      <t>v</t>
    </r>
    <r>
      <rPr>
        <sz val="11"/>
        <color theme="1"/>
        <rFont val="宋体"/>
        <charset val="134"/>
      </rPr>
      <t>5</t>
    </r>
  </si>
  <si>
    <r>
      <rPr>
        <i/>
        <sz val="22"/>
        <color theme="1"/>
        <rFont val="Times New Roman"/>
        <charset val="134"/>
      </rPr>
      <t>v</t>
    </r>
    <r>
      <rPr>
        <sz val="11"/>
        <color theme="1"/>
        <rFont val="宋体"/>
        <charset val="134"/>
      </rPr>
      <t>6</t>
    </r>
  </si>
  <si>
    <r>
      <rPr>
        <sz val="16"/>
        <color theme="1"/>
        <rFont val="宋体"/>
        <charset val="134"/>
      </rPr>
      <t>2、根据表中数据，求解该网络从</t>
    </r>
    <r>
      <rPr>
        <i/>
        <sz val="20"/>
        <color theme="1"/>
        <rFont val="Times New Roman"/>
        <charset val="134"/>
      </rPr>
      <t>v</t>
    </r>
    <r>
      <rPr>
        <sz val="12"/>
        <color theme="1"/>
        <rFont val="宋体"/>
        <charset val="134"/>
      </rPr>
      <t>1</t>
    </r>
    <r>
      <rPr>
        <sz val="16"/>
        <color theme="1"/>
        <rFont val="宋体"/>
        <charset val="134"/>
      </rPr>
      <t>到</t>
    </r>
    <r>
      <rPr>
        <i/>
        <sz val="20"/>
        <color theme="1"/>
        <rFont val="Times New Roman"/>
        <charset val="134"/>
      </rPr>
      <t>v</t>
    </r>
    <r>
      <rPr>
        <sz val="11"/>
        <color theme="1"/>
        <rFont val="宋体"/>
        <charset val="134"/>
      </rPr>
      <t>6</t>
    </r>
    <r>
      <rPr>
        <sz val="16"/>
        <color theme="1"/>
        <rFont val="宋体"/>
        <charset val="134"/>
      </rPr>
      <t>最低成本最大流,将各路径流量填入表3中(要求为整数)，将网络最大流与最低成本填入红色表格中</t>
    </r>
    <r>
      <rPr>
        <b/>
        <sz val="16"/>
        <color rgb="FFFF0000"/>
        <rFont val="宋体"/>
        <charset val="134"/>
      </rPr>
      <t>（结果矩阵为非对称矩阵）</t>
    </r>
    <r>
      <rPr>
        <sz val="16"/>
        <color theme="1"/>
        <rFont val="宋体"/>
        <charset val="134"/>
      </rPr>
      <t>。</t>
    </r>
  </si>
  <si>
    <t>表2  各路径容量</t>
  </si>
  <si>
    <t>表3  各路径流量</t>
  </si>
  <si>
    <t xml:space="preserve">       到点  起点</t>
  </si>
  <si>
    <t>网络最大流:</t>
  </si>
  <si>
    <t>最低成本:</t>
  </si>
  <si>
    <t>先验概率</t>
  </si>
  <si>
    <t>条件概率</t>
  </si>
  <si>
    <t>联合概率</t>
  </si>
  <si>
    <t>全概率(边缘概率)</t>
  </si>
  <si>
    <t>后验概率</t>
  </si>
  <si>
    <t>某企业设计出一种新产品，有两种方案可供选择：—是进行批量生产，二是出售专利。这种新产品投放市场，估计有3种可能：畅销、中等、滞销，这3种情况发生的可能性依次估计见下表。各方案在各种情况下的利润及期望利润如下表(万元)。</t>
  </si>
  <si>
    <r>
      <rPr>
        <sz val="16"/>
        <color theme="1"/>
        <rFont val="宋体"/>
        <charset val="134"/>
      </rPr>
      <t>p(</t>
    </r>
    <r>
      <rPr>
        <sz val="16"/>
        <color theme="1"/>
        <rFont val="Segoe UI"/>
        <charset val="238"/>
      </rPr>
      <t>Ɵ</t>
    </r>
    <r>
      <rPr>
        <sz val="16"/>
        <color theme="1"/>
        <rFont val="宋体"/>
        <charset val="134"/>
      </rPr>
      <t>1|z1)=</t>
    </r>
  </si>
  <si>
    <t>p(z1)=</t>
  </si>
  <si>
    <r>
      <rPr>
        <sz val="16"/>
        <color theme="1"/>
        <rFont val="宋体"/>
        <charset val="134"/>
      </rPr>
      <t>p(</t>
    </r>
    <r>
      <rPr>
        <sz val="16"/>
        <color theme="1"/>
        <rFont val="Segoe UI"/>
        <charset val="238"/>
      </rPr>
      <t>Ɵ</t>
    </r>
    <r>
      <rPr>
        <sz val="16"/>
        <color theme="1"/>
        <rFont val="宋体"/>
        <charset val="134"/>
      </rPr>
      <t>2|z1)=</t>
    </r>
  </si>
  <si>
    <r>
      <rPr>
        <sz val="16"/>
        <color theme="1"/>
        <rFont val="宋体"/>
        <charset val="134"/>
      </rPr>
      <t>p(</t>
    </r>
    <r>
      <rPr>
        <sz val="16"/>
        <color theme="1"/>
        <rFont val="Segoe UI"/>
        <charset val="238"/>
      </rPr>
      <t>Ɵ</t>
    </r>
    <r>
      <rPr>
        <sz val="16"/>
        <color theme="1"/>
        <rFont val="宋体"/>
        <charset val="134"/>
      </rPr>
      <t>3|z1)=</t>
    </r>
  </si>
  <si>
    <t>状态</t>
  </si>
  <si>
    <r>
      <rPr>
        <sz val="16"/>
        <color theme="1"/>
        <rFont val="宋体"/>
        <charset val="134"/>
      </rPr>
      <t>畅销</t>
    </r>
    <r>
      <rPr>
        <sz val="16"/>
        <color theme="1"/>
        <rFont val="Calibri"/>
        <charset val="161"/>
      </rPr>
      <t>θ</t>
    </r>
    <r>
      <rPr>
        <sz val="16"/>
        <color theme="1"/>
        <rFont val="宋体"/>
        <charset val="134"/>
      </rPr>
      <t>1</t>
    </r>
  </si>
  <si>
    <r>
      <rPr>
        <sz val="16"/>
        <color theme="1"/>
        <rFont val="宋体"/>
        <charset val="134"/>
      </rPr>
      <t>中等</t>
    </r>
    <r>
      <rPr>
        <sz val="16"/>
        <color theme="1"/>
        <rFont val="Calibri"/>
        <charset val="161"/>
      </rPr>
      <t>θ</t>
    </r>
    <r>
      <rPr>
        <sz val="16"/>
        <color theme="1"/>
        <rFont val="宋体"/>
        <charset val="134"/>
      </rPr>
      <t>2</t>
    </r>
  </si>
  <si>
    <r>
      <rPr>
        <sz val="16"/>
        <color theme="1"/>
        <rFont val="宋体"/>
        <charset val="134"/>
      </rPr>
      <t>滞销</t>
    </r>
    <r>
      <rPr>
        <sz val="16"/>
        <color theme="1"/>
        <rFont val="Calibri"/>
        <charset val="161"/>
      </rPr>
      <t>θ</t>
    </r>
    <r>
      <rPr>
        <sz val="16"/>
        <color theme="1"/>
        <rFont val="宋体"/>
        <charset val="134"/>
      </rPr>
      <t>3</t>
    </r>
  </si>
  <si>
    <r>
      <rPr>
        <sz val="16"/>
        <color theme="1"/>
        <rFont val="宋体"/>
        <charset val="134"/>
      </rPr>
      <t>p(</t>
    </r>
    <r>
      <rPr>
        <sz val="16"/>
        <color theme="1"/>
        <rFont val="Segoe UI"/>
        <charset val="238"/>
      </rPr>
      <t>Ɵ</t>
    </r>
    <r>
      <rPr>
        <sz val="16"/>
        <color theme="1"/>
        <rFont val="宋体"/>
        <charset val="134"/>
      </rPr>
      <t>1|z2)=</t>
    </r>
  </si>
  <si>
    <t>批量生产 a1</t>
  </si>
  <si>
    <t>p(z2)=</t>
  </si>
  <si>
    <r>
      <rPr>
        <sz val="16"/>
        <color theme="1"/>
        <rFont val="宋体"/>
        <charset val="134"/>
      </rPr>
      <t>p(</t>
    </r>
    <r>
      <rPr>
        <sz val="16"/>
        <color theme="1"/>
        <rFont val="Segoe UI"/>
        <charset val="238"/>
      </rPr>
      <t>Ɵ</t>
    </r>
    <r>
      <rPr>
        <sz val="16"/>
        <color theme="1"/>
        <rFont val="宋体"/>
        <charset val="134"/>
      </rPr>
      <t>2|z2)=</t>
    </r>
  </si>
  <si>
    <t>出售专利 a2</t>
  </si>
  <si>
    <r>
      <rPr>
        <sz val="16"/>
        <color theme="1"/>
        <rFont val="宋体"/>
        <charset val="134"/>
      </rPr>
      <t>p(</t>
    </r>
    <r>
      <rPr>
        <sz val="16"/>
        <color theme="1"/>
        <rFont val="Segoe UI"/>
        <charset val="238"/>
      </rPr>
      <t>Ɵ</t>
    </r>
    <r>
      <rPr>
        <sz val="16"/>
        <color theme="1"/>
        <rFont val="宋体"/>
        <charset val="134"/>
      </rPr>
      <t>3|z2)=</t>
    </r>
  </si>
  <si>
    <t>企业可以以1000元的成本委托专利市场调查机构调查该产品销售前景,调查结果见下表。问：企业是否委托专利市场调查机构进行调查？</t>
  </si>
  <si>
    <r>
      <rPr>
        <sz val="16"/>
        <color theme="1"/>
        <rFont val="宋体"/>
        <charset val="134"/>
      </rPr>
      <t>p(</t>
    </r>
    <r>
      <rPr>
        <sz val="16"/>
        <color theme="1"/>
        <rFont val="Segoe UI"/>
        <charset val="238"/>
      </rPr>
      <t>Ɵ</t>
    </r>
    <r>
      <rPr>
        <sz val="16"/>
        <color theme="1"/>
        <rFont val="宋体"/>
        <charset val="134"/>
      </rPr>
      <t>1|z3)=</t>
    </r>
  </si>
  <si>
    <t>p(z3)=</t>
  </si>
  <si>
    <r>
      <rPr>
        <sz val="16"/>
        <color theme="1"/>
        <rFont val="宋体"/>
        <charset val="134"/>
      </rPr>
      <t>p(</t>
    </r>
    <r>
      <rPr>
        <sz val="16"/>
        <color theme="1"/>
        <rFont val="Segoe UI"/>
        <charset val="238"/>
      </rPr>
      <t>Ɵ</t>
    </r>
    <r>
      <rPr>
        <sz val="16"/>
        <color theme="1"/>
        <rFont val="宋体"/>
        <charset val="134"/>
      </rPr>
      <t>2|z3)=</t>
    </r>
  </si>
  <si>
    <r>
      <rPr>
        <sz val="16"/>
        <color theme="1"/>
        <rFont val="宋体"/>
        <charset val="134"/>
      </rPr>
      <t>p(</t>
    </r>
    <r>
      <rPr>
        <sz val="16"/>
        <color theme="1"/>
        <rFont val="Segoe UI"/>
        <charset val="238"/>
      </rPr>
      <t>Ɵ</t>
    </r>
    <r>
      <rPr>
        <sz val="16"/>
        <color theme="1"/>
        <rFont val="宋体"/>
        <charset val="134"/>
      </rPr>
      <t>3|z3)=</t>
    </r>
  </si>
  <si>
    <t xml:space="preserve">     先验概率   调查结果</t>
  </si>
  <si>
    <t>验后分析：</t>
  </si>
  <si>
    <t>调查结果为畅销：</t>
  </si>
  <si>
    <t>E(a1)=</t>
  </si>
  <si>
    <t>畅销  z1</t>
  </si>
  <si>
    <t>E(a2)=</t>
  </si>
  <si>
    <t>中等  z2</t>
  </si>
  <si>
    <t>应选择方案为：</t>
  </si>
  <si>
    <t>滞销  z3</t>
  </si>
  <si>
    <t>计算期望收益值：</t>
  </si>
  <si>
    <t>结论1：</t>
  </si>
  <si>
    <t>验前分析：</t>
  </si>
  <si>
    <t>调查结果为中等：</t>
  </si>
  <si>
    <t>结论2：</t>
  </si>
  <si>
    <t>调查结果为滞销：</t>
  </si>
  <si>
    <t>结论3：</t>
  </si>
  <si>
    <t>单位拟在暑假期间组织优秀员工出去旅游，经过几轮讨论，确定在三亚、张家界、北戴河三个地点选一个，综合部针对以上三个地点分别了一套旅游方案P1、P2、P3，，方案主要考虑景色(C1)、费用(C2)、居住环境(C3)三个影响因素，并对此分别作出了相关的判断矩阵，见下表：RI(3)=0.58</t>
  </si>
  <si>
    <r>
      <rPr>
        <sz val="16"/>
        <color theme="1"/>
        <rFont val="宋体"/>
        <charset val="134"/>
      </rPr>
      <t>根据以上判断矩阵，运用层次分析法，分别计算各判断矩阵的几何平均值、特征向量、最大特征值，一致性指标CI，一致性比率CR，并根据各因素的权重和各路线的得分优选出假期旅游线路。(</t>
    </r>
    <r>
      <rPr>
        <sz val="16"/>
        <color rgb="FFFF0000"/>
        <rFont val="宋体"/>
        <charset val="134"/>
      </rPr>
      <t>数值误差不超过5%</t>
    </r>
    <r>
      <rPr>
        <sz val="16"/>
        <color theme="1"/>
        <rFont val="宋体"/>
        <charset val="134"/>
      </rPr>
      <t>)</t>
    </r>
  </si>
  <si>
    <t>几何平均</t>
  </si>
  <si>
    <t>归一化</t>
  </si>
  <si>
    <t>G-C</t>
  </si>
  <si>
    <t>景色 C1</t>
  </si>
  <si>
    <t>费用 C2</t>
  </si>
  <si>
    <t>居住 C3</t>
  </si>
  <si>
    <r>
      <rPr>
        <sz val="16"/>
        <color theme="1"/>
        <rFont val="宋体"/>
        <charset val="134"/>
      </rPr>
      <t>W</t>
    </r>
    <r>
      <rPr>
        <i/>
        <sz val="16"/>
        <color theme="1"/>
        <rFont val="宋体"/>
        <charset val="134"/>
      </rPr>
      <t>i-</t>
    </r>
    <r>
      <rPr>
        <sz val="16"/>
        <color theme="1"/>
        <rFont val="宋体"/>
        <charset val="134"/>
      </rPr>
      <t>特征向量</t>
    </r>
  </si>
  <si>
    <t>A*Wi</t>
  </si>
  <si>
    <r>
      <rPr>
        <sz val="16"/>
        <color theme="1"/>
        <rFont val="Calibri"/>
        <charset val="134"/>
      </rPr>
      <t>λ</t>
    </r>
    <r>
      <rPr>
        <vertAlign val="subscript"/>
        <sz val="16"/>
        <color theme="1"/>
        <rFont val="宋体"/>
        <charset val="134"/>
      </rPr>
      <t>max</t>
    </r>
  </si>
  <si>
    <t>CI</t>
  </si>
  <si>
    <t>CR</t>
  </si>
  <si>
    <t>综合得分</t>
  </si>
  <si>
    <t>一致性结论：</t>
  </si>
  <si>
    <t>C1-P</t>
  </si>
  <si>
    <t>P1</t>
  </si>
  <si>
    <t>P2</t>
  </si>
  <si>
    <t>P3</t>
  </si>
  <si>
    <t>三亚 P1</t>
  </si>
  <si>
    <t>张家界 P2</t>
  </si>
  <si>
    <t>北戴河 P3</t>
  </si>
  <si>
    <t>方案决策：</t>
  </si>
  <si>
    <t>C2-P</t>
  </si>
  <si>
    <t>C3-P</t>
  </si>
  <si>
    <t>.</t>
  </si>
  <si>
    <t>2021年8月，国家教育部颁发“双减”规定，倒逼教育培训机构由基础学科培训专项素质教育培训。长沙某教育培训机构拟在芙蓉区、天心区、雨花区、开福区增开四个素质教育中心。拟选地点有10个位置Ai(i=1,2,…,7)可供选择。各位置布局及限制条件如下：</t>
  </si>
  <si>
    <t>各项目投资需求表           单元：万元</t>
  </si>
  <si>
    <t>各项目收益预测表           单元：万元</t>
  </si>
  <si>
    <t xml:space="preserve">    编号   所在区</t>
  </si>
  <si>
    <t>芙蓉区</t>
  </si>
  <si>
    <t>天心区</t>
  </si>
  <si>
    <t>雨花区</t>
  </si>
  <si>
    <t>开福区</t>
  </si>
  <si>
    <t>因外部因素限制，选址必须满足以下条件：</t>
  </si>
  <si>
    <t>1、在开福区、芙蓉区每个区域最多选两个；</t>
  </si>
  <si>
    <t>2、天心区、雨花区至少每个区域有一个；</t>
  </si>
  <si>
    <t>3、总投资不超过140万。</t>
  </si>
  <si>
    <t>请你运用0-1整数规划方法，求解：需要选择哪4个拟选点，请在黄色区域填写相应的拟选点标记4个选择点并标记1，使得最终利润总额最大，并计算最终的投资总额和利润总额。</t>
  </si>
  <si>
    <t>投资总额：</t>
  </si>
  <si>
    <t>利润总额：</t>
  </si>
  <si>
    <t>工序</t>
  </si>
  <si>
    <t>正常工期</t>
  </si>
  <si>
    <t>直接费用</t>
  </si>
  <si>
    <t>最短工期</t>
  </si>
  <si>
    <t>是否关键工序</t>
  </si>
  <si>
    <t>工作最早开始时间</t>
  </si>
  <si>
    <t>工作最早结束时间</t>
  </si>
  <si>
    <t>工作最迟开始时间</t>
  </si>
  <si>
    <t>工作最迟结束时间</t>
  </si>
  <si>
    <t>工作总时差</t>
  </si>
  <si>
    <t>工作自由时差</t>
  </si>
  <si>
    <t>(天)</t>
  </si>
  <si>
    <t>(元/天)</t>
  </si>
  <si>
    <t>ES</t>
  </si>
  <si>
    <t>EF</t>
  </si>
  <si>
    <t>LS</t>
  </si>
  <si>
    <t>LF</t>
  </si>
  <si>
    <t>TF</t>
  </si>
  <si>
    <t>FF</t>
  </si>
  <si>
    <t>A</t>
  </si>
  <si>
    <t>D</t>
  </si>
  <si>
    <t>B</t>
  </si>
  <si>
    <t>C</t>
  </si>
  <si>
    <t xml:space="preserve">A  </t>
  </si>
  <si>
    <t>H</t>
  </si>
  <si>
    <t>E</t>
  </si>
  <si>
    <t>F</t>
  </si>
  <si>
    <t>G   (0)</t>
  </si>
  <si>
    <t>G</t>
  </si>
  <si>
    <t xml:space="preserve">E  </t>
  </si>
  <si>
    <t>I</t>
  </si>
  <si>
    <t xml:space="preserve">B  </t>
  </si>
  <si>
    <t>关键工序：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</si>
</sst>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\(#\)"/>
    <numFmt numFmtId="178" formatCode="#\ ?/?"/>
    <numFmt numFmtId="179" formatCode="0_);[Red]\(0\)"/>
    <numFmt numFmtId="180" formatCode="0.0000_);[Red]\(0.0000\)"/>
    <numFmt numFmtId="181" formatCode="0.00_ "/>
    <numFmt numFmtId="182" formatCode="0.0000_ "/>
    <numFmt numFmtId="183" formatCode="&quot;M&quot;"/>
    <numFmt numFmtId="184" formatCode="0.00_);[Red]\(0.00\)"/>
    <numFmt numFmtId="185" formatCode="0.00_ ;[Red]\-0.00\ "/>
  </numFmts>
  <fonts count="9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3"/>
      <color theme="1"/>
      <name val="等线"/>
      <charset val="134"/>
      <scheme val="minor"/>
    </font>
    <font>
      <sz val="14"/>
      <color theme="1"/>
      <name val="宋体"/>
      <charset val="134"/>
    </font>
    <font>
      <b/>
      <sz val="16"/>
      <color theme="1"/>
      <name val="宋体"/>
      <charset val="134"/>
    </font>
    <font>
      <sz val="16"/>
      <color theme="1"/>
      <name val="宋体"/>
      <charset val="134"/>
    </font>
    <font>
      <sz val="14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3"/>
      <color theme="1"/>
      <name val="宋体"/>
      <charset val="134"/>
    </font>
    <font>
      <b/>
      <sz val="13"/>
      <color theme="0"/>
      <name val="宋体"/>
      <charset val="134"/>
    </font>
    <font>
      <sz val="13"/>
      <color theme="1"/>
      <name val="宋体"/>
      <charset val="134"/>
    </font>
    <font>
      <sz val="13"/>
      <color theme="1"/>
      <name val="Times New Roman"/>
      <charset val="134"/>
    </font>
    <font>
      <b/>
      <sz val="14"/>
      <color rgb="FFFF0000"/>
      <name val="宋体"/>
      <charset val="134"/>
    </font>
    <font>
      <b/>
      <sz val="16"/>
      <color rgb="FFFF0000"/>
      <name val="等线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b/>
      <sz val="18"/>
      <color theme="0"/>
      <name val="宋体"/>
      <charset val="134"/>
    </font>
    <font>
      <b/>
      <sz val="26"/>
      <color theme="1"/>
      <name val="宋体"/>
      <charset val="134"/>
    </font>
    <font>
      <b/>
      <sz val="20"/>
      <color rgb="FFFF0000"/>
      <name val="宋体"/>
      <charset val="134"/>
    </font>
    <font>
      <i/>
      <sz val="18"/>
      <color theme="1"/>
      <name val="Times New Roman"/>
      <charset val="134"/>
    </font>
    <font>
      <i/>
      <sz val="14"/>
      <color theme="1"/>
      <name val="Times New Roman"/>
      <charset val="134"/>
    </font>
    <font>
      <sz val="14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12"/>
      <color rgb="FFFFFFFF"/>
      <name val="宋体"/>
      <charset val="134"/>
    </font>
    <font>
      <b/>
      <sz val="16"/>
      <color rgb="FFFF0000"/>
      <name val="Times New Roman"/>
      <charset val="134"/>
    </font>
    <font>
      <b/>
      <sz val="18"/>
      <color theme="1"/>
      <name val="黑体"/>
      <charset val="134"/>
    </font>
    <font>
      <b/>
      <sz val="16"/>
      <color rgb="FFFF0000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rgb="FFFF0000"/>
      <name val="宋体"/>
      <charset val="134"/>
    </font>
    <font>
      <b/>
      <sz val="18"/>
      <color theme="1"/>
      <name val="Times New Roman"/>
      <charset val="134"/>
    </font>
    <font>
      <sz val="11"/>
      <color theme="0"/>
      <name val="等线"/>
      <charset val="134"/>
      <scheme val="minor"/>
    </font>
    <font>
      <sz val="14"/>
      <color theme="0"/>
      <name val="宋体"/>
      <charset val="134"/>
    </font>
    <font>
      <b/>
      <sz val="16"/>
      <color theme="1"/>
      <name val="Times New Roman"/>
      <charset val="134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8"/>
      <color theme="1"/>
      <name val="Times New Roman"/>
      <charset val="134"/>
    </font>
    <font>
      <sz val="14"/>
      <color rgb="FFFF0000"/>
      <name val="Times New Roman"/>
      <charset val="134"/>
    </font>
    <font>
      <sz val="11"/>
      <color theme="1"/>
      <name val="Times New Roman"/>
      <charset val="134"/>
    </font>
    <font>
      <sz val="18"/>
      <color theme="1"/>
      <name val="宋体"/>
      <charset val="134"/>
    </font>
    <font>
      <sz val="18"/>
      <color theme="1"/>
      <name val="宋体"/>
      <charset val="134"/>
    </font>
    <font>
      <sz val="17"/>
      <color theme="1"/>
      <name val="宋体"/>
      <charset val="134"/>
    </font>
    <font>
      <sz val="16"/>
      <color theme="0"/>
      <name val="等线"/>
      <charset val="134"/>
      <scheme val="minor"/>
    </font>
    <font>
      <sz val="18"/>
      <color theme="1"/>
      <name val="HGB1_CNKI"/>
      <charset val="134"/>
    </font>
    <font>
      <i/>
      <sz val="16"/>
      <color theme="1"/>
      <name val="等线"/>
      <charset val="134"/>
      <scheme val="minor"/>
    </font>
    <font>
      <i/>
      <sz val="16"/>
      <color theme="1"/>
      <name val="Times New Roman"/>
      <charset val="134"/>
    </font>
    <font>
      <sz val="16"/>
      <color theme="1"/>
      <name val="等线"/>
      <charset val="161"/>
    </font>
    <font>
      <sz val="16"/>
      <color rgb="FFFF0000"/>
      <name val="Times New Roman"/>
      <charset val="134"/>
    </font>
    <font>
      <sz val="14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6"/>
      <color rgb="FFFF0000"/>
      <name val="宋体"/>
      <charset val="134"/>
    </font>
    <font>
      <i/>
      <sz val="16"/>
      <color theme="1"/>
      <name val="宋体"/>
      <charset val="134"/>
    </font>
    <font>
      <sz val="16"/>
      <color theme="1"/>
      <name val="Calibri"/>
      <charset val="134"/>
    </font>
    <font>
      <vertAlign val="subscript"/>
      <sz val="16"/>
      <color theme="1"/>
      <name val="宋体"/>
      <charset val="134"/>
    </font>
    <font>
      <sz val="16"/>
      <color theme="1"/>
      <name val="Segoe UI"/>
      <charset val="238"/>
    </font>
    <font>
      <sz val="16"/>
      <color theme="1"/>
      <name val="Calibri"/>
      <charset val="161"/>
    </font>
    <font>
      <i/>
      <sz val="22"/>
      <color theme="1"/>
      <name val="Times New Roman"/>
      <charset val="134"/>
    </font>
    <font>
      <i/>
      <sz val="20"/>
      <color theme="1"/>
      <name val="Times New Roman"/>
      <charset val="134"/>
    </font>
    <font>
      <i/>
      <vertAlign val="subscript"/>
      <sz val="18"/>
      <color theme="1"/>
      <name val="Times New Roman"/>
      <charset val="134"/>
    </font>
    <font>
      <sz val="11"/>
      <color theme="1"/>
      <name val="等线"/>
      <charset val="134"/>
    </font>
    <font>
      <sz val="14"/>
      <color theme="1"/>
      <name val="等线"/>
      <charset val="134"/>
    </font>
    <font>
      <i/>
      <vertAlign val="subscript"/>
      <sz val="14"/>
      <color theme="1"/>
      <name val="Times New Roman"/>
      <charset val="134"/>
    </font>
    <font>
      <i/>
      <sz val="18"/>
      <color theme="1"/>
      <name val="HGB1_CNKI"/>
      <charset val="134"/>
    </font>
    <font>
      <i/>
      <vertAlign val="subscript"/>
      <sz val="16"/>
      <color theme="1"/>
      <name val="等线"/>
      <charset val="134"/>
      <scheme val="minor"/>
    </font>
    <font>
      <i/>
      <sz val="18"/>
      <color theme="1"/>
      <name val="宋体"/>
      <charset val="134"/>
    </font>
    <font>
      <vertAlign val="subscript"/>
      <sz val="16"/>
      <color theme="1"/>
      <name val="等线"/>
      <charset val="134"/>
      <scheme val="minor"/>
    </font>
    <font>
      <i/>
      <vertAlign val="subscript"/>
      <sz val="16"/>
      <color theme="1"/>
      <name val="Times New Roman"/>
      <charset val="134"/>
    </font>
    <font>
      <sz val="16"/>
      <color theme="1"/>
      <name val="等线"/>
      <charset val="134"/>
    </font>
    <font>
      <b/>
      <sz val="17"/>
      <color rgb="FFFF0000"/>
      <name val="宋体"/>
      <charset val="134"/>
    </font>
    <font>
      <sz val="16"/>
      <color rgb="FFFF000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785E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/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52" fillId="0" borderId="0" applyFont="0" applyFill="0" applyBorder="0" applyAlignment="0" applyProtection="0">
      <alignment vertical="center"/>
    </xf>
    <xf numFmtId="44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2" fontId="52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21" borderId="19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9" fillId="0" borderId="20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22" borderId="22" applyNumberFormat="0" applyAlignment="0" applyProtection="0">
      <alignment vertical="center"/>
    </xf>
    <xf numFmtId="0" fontId="62" fillId="23" borderId="23" applyNumberFormat="0" applyAlignment="0" applyProtection="0">
      <alignment vertical="center"/>
    </xf>
    <xf numFmtId="0" fontId="63" fillId="23" borderId="22" applyNumberFormat="0" applyAlignment="0" applyProtection="0">
      <alignment vertical="center"/>
    </xf>
    <xf numFmtId="0" fontId="64" fillId="24" borderId="24" applyNumberFormat="0" applyAlignment="0" applyProtection="0">
      <alignment vertical="center"/>
    </xf>
    <xf numFmtId="0" fontId="65" fillId="0" borderId="25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68" fillId="26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70" fillId="28" borderId="0" applyNumberFormat="0" applyBorder="0" applyAlignment="0" applyProtection="0">
      <alignment vertical="center"/>
    </xf>
    <xf numFmtId="0" fontId="71" fillId="29" borderId="0" applyNumberFormat="0" applyBorder="0" applyAlignment="0" applyProtection="0">
      <alignment vertical="center"/>
    </xf>
    <xf numFmtId="0" fontId="71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2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  <xf numFmtId="0" fontId="70" fillId="35" borderId="0" applyNumberFormat="0" applyBorder="0" applyAlignment="0" applyProtection="0">
      <alignment vertical="center"/>
    </xf>
    <xf numFmtId="0" fontId="70" fillId="36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2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71" fillId="45" borderId="0" applyNumberFormat="0" applyBorder="0" applyAlignment="0" applyProtection="0">
      <alignment vertical="center"/>
    </xf>
    <xf numFmtId="0" fontId="71" fillId="4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48" borderId="0" applyNumberFormat="0" applyBorder="0" applyAlignment="0" applyProtection="0">
      <alignment vertical="center"/>
    </xf>
    <xf numFmtId="0" fontId="71" fillId="49" borderId="0" applyNumberFormat="0" applyBorder="0" applyAlignment="0" applyProtection="0">
      <alignment vertical="center"/>
    </xf>
    <xf numFmtId="0" fontId="71" fillId="50" borderId="0" applyNumberFormat="0" applyBorder="0" applyAlignment="0" applyProtection="0">
      <alignment vertical="center"/>
    </xf>
    <xf numFmtId="0" fontId="70" fillId="5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2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4" fillId="2" borderId="0" xfId="49" applyFont="1" applyFill="1" applyAlignment="1">
      <alignment horizontal="center" vertical="center"/>
    </xf>
    <xf numFmtId="0" fontId="5" fillId="0" borderId="0" xfId="49" applyFont="1" applyAlignment="1">
      <alignment horizontal="center" vertical="center"/>
    </xf>
    <xf numFmtId="176" fontId="4" fillId="2" borderId="0" xfId="49" applyNumberFormat="1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6" fillId="3" borderId="0" xfId="0" applyFont="1" applyFill="1" applyAlignment="1">
      <alignment horizontal="right" vertical="center"/>
    </xf>
    <xf numFmtId="177" fontId="7" fillId="3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177" fontId="7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176" fontId="4" fillId="0" borderId="0" xfId="49" applyNumberFormat="1" applyFont="1" applyFill="1" applyAlignment="1">
      <alignment vertical="center"/>
    </xf>
    <xf numFmtId="176" fontId="9" fillId="0" borderId="0" xfId="49" applyNumberFormat="1" applyFont="1" applyFill="1" applyAlignment="1">
      <alignment vertical="center"/>
    </xf>
    <xf numFmtId="176" fontId="9" fillId="0" borderId="0" xfId="49" applyNumberFormat="1" applyFont="1" applyFill="1" applyAlignment="1">
      <alignment horizontal="center" vertical="center"/>
    </xf>
    <xf numFmtId="176" fontId="10" fillId="0" borderId="0" xfId="49" applyNumberFormat="1" applyFont="1" applyFill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7" fillId="0" borderId="0" xfId="0" applyNumberFormat="1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2" fillId="5" borderId="7" xfId="0" applyFont="1" applyFill="1" applyBorder="1"/>
    <xf numFmtId="0" fontId="2" fillId="5" borderId="7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2" fillId="0" borderId="7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0" fillId="0" borderId="0" xfId="50">
      <alignment vertical="center"/>
    </xf>
    <xf numFmtId="0" fontId="3" fillId="0" borderId="0" xfId="50" applyFont="1" applyAlignment="1">
      <alignment horizontal="left" vertical="center" wrapText="1"/>
    </xf>
    <xf numFmtId="0" fontId="0" fillId="0" borderId="0" xfId="50" applyAlignment="1">
      <alignment horizontal="left" vertical="center" wrapText="1"/>
    </xf>
    <xf numFmtId="0" fontId="3" fillId="6" borderId="8" xfId="50" applyFont="1" applyFill="1" applyBorder="1" applyAlignment="1">
      <alignment vertical="center" wrapText="1"/>
    </xf>
    <xf numFmtId="0" fontId="3" fillId="6" borderId="7" xfId="50" applyFont="1" applyFill="1" applyBorder="1" applyAlignment="1">
      <alignment horizontal="center" vertical="center"/>
    </xf>
    <xf numFmtId="0" fontId="3" fillId="0" borderId="7" xfId="50" applyFont="1" applyBorder="1" applyAlignment="1">
      <alignment horizontal="center" vertical="center"/>
    </xf>
    <xf numFmtId="0" fontId="3" fillId="0" borderId="0" xfId="50" applyFont="1" applyAlignment="1">
      <alignment horizontal="left" vertical="center"/>
    </xf>
    <xf numFmtId="0" fontId="3" fillId="7" borderId="8" xfId="50" applyFont="1" applyFill="1" applyBorder="1" applyAlignment="1">
      <alignment vertical="center" wrapText="1"/>
    </xf>
    <xf numFmtId="0" fontId="3" fillId="7" borderId="7" xfId="50" applyFont="1" applyFill="1" applyBorder="1" applyAlignment="1">
      <alignment horizontal="center" vertical="center"/>
    </xf>
    <xf numFmtId="0" fontId="3" fillId="3" borderId="7" xfId="50" applyFont="1" applyFill="1" applyBorder="1" applyAlignment="1">
      <alignment horizontal="center" vertical="center"/>
    </xf>
    <xf numFmtId="0" fontId="13" fillId="0" borderId="0" xfId="50" applyFont="1">
      <alignment vertical="center"/>
    </xf>
    <xf numFmtId="0" fontId="14" fillId="3" borderId="9" xfId="50" applyFont="1" applyFill="1" applyBorder="1" applyAlignment="1">
      <alignment horizontal="center" vertical="center"/>
    </xf>
    <xf numFmtId="0" fontId="3" fillId="0" borderId="10" xfId="50" applyFont="1" applyBorder="1" applyAlignment="1">
      <alignment horizontal="right" vertical="center" wrapText="1"/>
    </xf>
    <xf numFmtId="0" fontId="3" fillId="8" borderId="8" xfId="50" applyFont="1" applyFill="1" applyBorder="1" applyAlignment="1">
      <alignment vertical="center" wrapText="1"/>
    </xf>
    <xf numFmtId="0" fontId="3" fillId="8" borderId="7" xfId="50" applyFont="1" applyFill="1" applyBorder="1" applyAlignment="1">
      <alignment horizontal="center" vertical="center"/>
    </xf>
    <xf numFmtId="176" fontId="3" fillId="0" borderId="0" xfId="50" applyNumberFormat="1" applyFont="1" applyAlignment="1">
      <alignment horizontal="center" vertical="center"/>
    </xf>
    <xf numFmtId="0" fontId="0" fillId="0" borderId="0" xfId="50" applyAlignment="1">
      <alignment horizontal="center" vertical="center"/>
    </xf>
    <xf numFmtId="0" fontId="3" fillId="0" borderId="0" xfId="50" applyFont="1">
      <alignment vertical="center"/>
    </xf>
    <xf numFmtId="0" fontId="3" fillId="0" borderId="0" xfId="50" applyFont="1" applyAlignment="1">
      <alignment vertical="center" wrapText="1"/>
    </xf>
    <xf numFmtId="0" fontId="3" fillId="9" borderId="8" xfId="50" applyFont="1" applyFill="1" applyBorder="1" applyAlignment="1">
      <alignment vertical="center" wrapText="1"/>
    </xf>
    <xf numFmtId="0" fontId="3" fillId="9" borderId="7" xfId="5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8" fontId="5" fillId="0" borderId="7" xfId="0" applyNumberFormat="1" applyFont="1" applyBorder="1" applyAlignment="1">
      <alignment horizontal="right" vertical="center"/>
    </xf>
    <xf numFmtId="178" fontId="5" fillId="0" borderId="12" xfId="0" applyNumberFormat="1" applyFont="1" applyBorder="1" applyAlignment="1">
      <alignment horizontal="right" vertical="center"/>
    </xf>
    <xf numFmtId="178" fontId="5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10" borderId="0" xfId="0" applyFont="1" applyFill="1" applyAlignment="1">
      <alignment horizontal="center" vertical="center"/>
    </xf>
    <xf numFmtId="178" fontId="5" fillId="0" borderId="12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80" fontId="5" fillId="0" borderId="0" xfId="0" applyNumberFormat="1" applyFont="1" applyAlignment="1">
      <alignment horizontal="center" vertical="center"/>
    </xf>
    <xf numFmtId="180" fontId="5" fillId="0" borderId="7" xfId="0" applyNumberFormat="1" applyFont="1" applyBorder="1" applyAlignment="1">
      <alignment horizontal="center" vertical="center"/>
    </xf>
    <xf numFmtId="180" fontId="15" fillId="0" borderId="7" xfId="0" applyNumberFormat="1" applyFont="1" applyBorder="1" applyAlignment="1">
      <alignment horizontal="center" vertical="center"/>
    </xf>
    <xf numFmtId="180" fontId="5" fillId="3" borderId="13" xfId="0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11" borderId="0" xfId="0" applyFont="1" applyFill="1" applyAlignment="1">
      <alignment horizontal="left" vertical="center"/>
    </xf>
    <xf numFmtId="0" fontId="5" fillId="12" borderId="1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81" fontId="5" fillId="0" borderId="10" xfId="0" applyNumberFormat="1" applyFont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5" fillId="10" borderId="10" xfId="0" applyFont="1" applyFill="1" applyBorder="1" applyAlignment="1">
      <alignment horizontal="center" vertical="center"/>
    </xf>
    <xf numFmtId="182" fontId="5" fillId="3" borderId="10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right" vertical="center"/>
    </xf>
    <xf numFmtId="0" fontId="5" fillId="1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14" borderId="1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14" borderId="1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14" borderId="0" xfId="0" applyFont="1" applyFill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left" vertical="center" wrapText="1"/>
    </xf>
    <xf numFmtId="0" fontId="18" fillId="15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8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center" vertical="center"/>
    </xf>
    <xf numFmtId="183" fontId="3" fillId="0" borderId="7" xfId="0" applyNumberFormat="1" applyFont="1" applyBorder="1" applyAlignment="1">
      <alignment horizontal="center" vertical="center"/>
    </xf>
    <xf numFmtId="0" fontId="3" fillId="16" borderId="0" xfId="0" applyFont="1" applyFill="1" applyAlignment="1">
      <alignment horizontal="left" vertical="center" wrapText="1"/>
    </xf>
    <xf numFmtId="0" fontId="3" fillId="17" borderId="7" xfId="0" applyFont="1" applyFill="1" applyBorder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19" fillId="16" borderId="1" xfId="0" applyFont="1" applyFill="1" applyBorder="1" applyAlignment="1">
      <alignment horizontal="center" vertical="center"/>
    </xf>
    <xf numFmtId="0" fontId="19" fillId="16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19" fillId="16" borderId="3" xfId="0" applyFont="1" applyFill="1" applyBorder="1" applyAlignment="1">
      <alignment horizontal="center" vertical="center"/>
    </xf>
    <xf numFmtId="0" fontId="19" fillId="16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0" fillId="3" borderId="0" xfId="0" applyFont="1" applyFill="1" applyAlignment="1">
      <alignment horizontal="center" vertical="center" wrapText="1"/>
    </xf>
    <xf numFmtId="0" fontId="21" fillId="10" borderId="7" xfId="0" applyFont="1" applyFill="1" applyBorder="1" applyAlignment="1">
      <alignment horizontal="center" vertical="center"/>
    </xf>
    <xf numFmtId="0" fontId="22" fillId="10" borderId="7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 wrapText="1"/>
    </xf>
    <xf numFmtId="0" fontId="3" fillId="18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4" fillId="10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179" fontId="25" fillId="3" borderId="0" xfId="0" applyNumberFormat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0" fillId="3" borderId="0" xfId="0" applyFill="1"/>
    <xf numFmtId="0" fontId="23" fillId="3" borderId="0" xfId="0" applyFont="1" applyFill="1" applyAlignment="1">
      <alignment horizontal="right" vertical="center"/>
    </xf>
    <xf numFmtId="179" fontId="27" fillId="3" borderId="0" xfId="0" applyNumberFormat="1" applyFont="1" applyFill="1" applyAlignment="1">
      <alignment horizontal="center" vertical="center"/>
    </xf>
    <xf numFmtId="0" fontId="23" fillId="3" borderId="10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22" fillId="10" borderId="7" xfId="0" applyFont="1" applyFill="1" applyBorder="1" applyAlignment="1">
      <alignment vertical="center"/>
    </xf>
    <xf numFmtId="0" fontId="28" fillId="4" borderId="7" xfId="0" applyFont="1" applyFill="1" applyBorder="1" applyAlignment="1">
      <alignment horizontal="center" vertical="center"/>
    </xf>
    <xf numFmtId="179" fontId="28" fillId="4" borderId="7" xfId="0" applyNumberFormat="1" applyFont="1" applyFill="1" applyBorder="1" applyAlignment="1">
      <alignment horizontal="center" vertical="center"/>
    </xf>
    <xf numFmtId="179" fontId="28" fillId="4" borderId="7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5" fillId="3" borderId="0" xfId="0" applyFont="1" applyFill="1" applyAlignment="1">
      <alignment horizontal="center" vertical="center"/>
    </xf>
    <xf numFmtId="0" fontId="25" fillId="3" borderId="0" xfId="0" applyFont="1" applyFill="1" applyAlignment="1">
      <alignment vertical="center"/>
    </xf>
    <xf numFmtId="0" fontId="0" fillId="0" borderId="0" xfId="0" applyFill="1"/>
    <xf numFmtId="0" fontId="22" fillId="10" borderId="12" xfId="0" applyFont="1" applyFill="1" applyBorder="1" applyAlignment="1">
      <alignment vertical="center"/>
    </xf>
    <xf numFmtId="0" fontId="30" fillId="0" borderId="18" xfId="0" applyFont="1" applyFill="1" applyBorder="1"/>
    <xf numFmtId="0" fontId="0" fillId="0" borderId="0" xfId="0" applyBorder="1"/>
    <xf numFmtId="0" fontId="28" fillId="4" borderId="12" xfId="0" applyFont="1" applyFill="1" applyBorder="1" applyAlignment="1">
      <alignment horizontal="center" vertical="center"/>
    </xf>
    <xf numFmtId="0" fontId="31" fillId="0" borderId="18" xfId="0" applyFont="1" applyFill="1" applyBorder="1" applyAlignment="1">
      <alignment horizontal="center" vertical="center" wrapText="1"/>
    </xf>
    <xf numFmtId="0" fontId="32" fillId="0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0" fillId="0" borderId="18" xfId="0" applyFill="1" applyBorder="1"/>
    <xf numFmtId="0" fontId="32" fillId="0" borderId="0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36" fillId="0" borderId="0" xfId="0" applyFont="1" applyAlignment="1">
      <alignment horizontal="center" vertical="center"/>
    </xf>
    <xf numFmtId="0" fontId="37" fillId="0" borderId="0" xfId="0" applyFont="1"/>
    <xf numFmtId="0" fontId="38" fillId="0" borderId="0" xfId="0" applyFont="1" applyAlignment="1">
      <alignment horizontal="center"/>
    </xf>
    <xf numFmtId="0" fontId="36" fillId="0" borderId="0" xfId="0" applyFont="1"/>
    <xf numFmtId="0" fontId="0" fillId="0" borderId="0" xfId="0" applyAlignment="1">
      <alignment vertical="center"/>
    </xf>
    <xf numFmtId="0" fontId="3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3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179" fontId="39" fillId="2" borderId="0" xfId="0" applyNumberFormat="1" applyFont="1" applyFill="1" applyAlignment="1">
      <alignment horizontal="center" vertical="center"/>
    </xf>
    <xf numFmtId="0" fontId="42" fillId="19" borderId="0" xfId="0" applyFont="1" applyFill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39" fillId="0" borderId="0" xfId="0" applyFont="1" applyAlignment="1">
      <alignment horizontal="right" vertical="center"/>
    </xf>
    <xf numFmtId="0" fontId="21" fillId="0" borderId="0" xfId="0" applyFont="1" applyAlignment="1">
      <alignment horizontal="left"/>
    </xf>
    <xf numFmtId="1" fontId="43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left"/>
    </xf>
    <xf numFmtId="0" fontId="43" fillId="0" borderId="0" xfId="0" applyFont="1" applyAlignment="1">
      <alignment horizontal="right" vertical="center"/>
    </xf>
    <xf numFmtId="179" fontId="43" fillId="0" borderId="0" xfId="0" applyNumberFormat="1" applyFont="1" applyAlignment="1">
      <alignment vertical="center"/>
    </xf>
    <xf numFmtId="0" fontId="43" fillId="0" borderId="0" xfId="0" applyFont="1" applyAlignment="1">
      <alignment horizontal="center" vertical="center"/>
    </xf>
    <xf numFmtId="1" fontId="43" fillId="0" borderId="0" xfId="0" applyNumberFormat="1" applyFont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44" fillId="11" borderId="0" xfId="0" applyFont="1" applyFill="1" applyAlignment="1">
      <alignment horizontal="left" vertical="center" wrapText="1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horizontal="left"/>
    </xf>
    <xf numFmtId="0" fontId="39" fillId="0" borderId="0" xfId="0" applyFont="1" applyAlignment="1">
      <alignment horizontal="left" vertical="center"/>
    </xf>
    <xf numFmtId="0" fontId="39" fillId="14" borderId="0" xfId="0" applyFont="1" applyFill="1" applyAlignment="1">
      <alignment horizontal="center" vertical="center"/>
    </xf>
    <xf numFmtId="179" fontId="39" fillId="0" borderId="0" xfId="0" applyNumberFormat="1" applyFont="1" applyAlignment="1">
      <alignment horizontal="left" vertical="center"/>
    </xf>
    <xf numFmtId="179" fontId="39" fillId="0" borderId="0" xfId="0" applyNumberFormat="1" applyFont="1" applyAlignment="1">
      <alignment horizontal="center" vertical="center"/>
    </xf>
    <xf numFmtId="184" fontId="45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39" fillId="3" borderId="0" xfId="0" applyFont="1" applyFill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0" borderId="7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3" borderId="7" xfId="0" applyFont="1" applyFill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7" fillId="0" borderId="12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185" fontId="38" fillId="20" borderId="7" xfId="0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9" fontId="50" fillId="3" borderId="0" xfId="0" applyNumberFormat="1" applyFont="1" applyFill="1" applyAlignment="1">
      <alignment horizontal="center" vertical="center"/>
    </xf>
    <xf numFmtId="179" fontId="51" fillId="3" borderId="0" xfId="0" applyNumberFormat="1" applyFont="1" applyFill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theme="0"/>
      </font>
    </dxf>
    <dxf>
      <font>
        <color theme="0" tint="-0.14996795556505"/>
      </font>
    </dxf>
    <dxf>
      <font>
        <color rgb="FFFF0000"/>
      </font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99FF"/>
      </font>
    </dxf>
    <dxf>
      <font>
        <color rgb="FFFFFF00"/>
      </font>
    </dxf>
  </dxfs>
  <tableStyles count="0" defaultTableStyle="TableStyleMedium2" defaultPivotStyle="PivotStyleLight16"/>
  <colors>
    <mruColors>
      <color rgb="00FF7C80"/>
      <color rgb="00FF99FF"/>
      <color rgb="00F977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76201</xdr:colOff>
      <xdr:row>19</xdr:row>
      <xdr:rowOff>1</xdr:rowOff>
    </xdr:from>
    <xdr:to>
      <xdr:col>3</xdr:col>
      <xdr:colOff>76201</xdr:colOff>
      <xdr:row>20</xdr:row>
      <xdr:rowOff>66676</xdr:rowOff>
    </xdr:to>
    <xdr:sp>
      <xdr:nvSpPr>
        <xdr:cNvPr id="2" name="椭圆 1"/>
        <xdr:cNvSpPr/>
      </xdr:nvSpPr>
      <xdr:spPr>
        <a:xfrm>
          <a:off x="876300" y="7054850"/>
          <a:ext cx="450850" cy="361950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1600">
              <a:solidFill>
                <a:schemeClr val="tx1"/>
              </a:solidFill>
            </a:rPr>
            <a:t>1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180976</xdr:colOff>
      <xdr:row>16</xdr:row>
      <xdr:rowOff>9526</xdr:rowOff>
    </xdr:from>
    <xdr:to>
      <xdr:col>6</xdr:col>
      <xdr:colOff>180976</xdr:colOff>
      <xdr:row>17</xdr:row>
      <xdr:rowOff>76201</xdr:rowOff>
    </xdr:to>
    <xdr:sp>
      <xdr:nvSpPr>
        <xdr:cNvPr id="3" name="椭圆 2"/>
        <xdr:cNvSpPr/>
      </xdr:nvSpPr>
      <xdr:spPr>
        <a:xfrm>
          <a:off x="2333625" y="5864225"/>
          <a:ext cx="450850" cy="466725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1600">
              <a:solidFill>
                <a:schemeClr val="tx1"/>
              </a:solidFill>
            </a:rPr>
            <a:t>2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142876</xdr:colOff>
      <xdr:row>22</xdr:row>
      <xdr:rowOff>114301</xdr:rowOff>
    </xdr:from>
    <xdr:to>
      <xdr:col>6</xdr:col>
      <xdr:colOff>142876</xdr:colOff>
      <xdr:row>23</xdr:row>
      <xdr:rowOff>180976</xdr:rowOff>
    </xdr:to>
    <xdr:sp>
      <xdr:nvSpPr>
        <xdr:cNvPr id="4" name="椭圆 3"/>
        <xdr:cNvSpPr/>
      </xdr:nvSpPr>
      <xdr:spPr>
        <a:xfrm>
          <a:off x="2295525" y="8054975"/>
          <a:ext cx="450850" cy="466725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1600">
              <a:solidFill>
                <a:schemeClr val="tx1"/>
              </a:solidFill>
            </a:rPr>
            <a:t>3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</xdr:colOff>
      <xdr:row>16</xdr:row>
      <xdr:rowOff>9526</xdr:rowOff>
    </xdr:from>
    <xdr:to>
      <xdr:col>11</xdr:col>
      <xdr:colOff>1</xdr:colOff>
      <xdr:row>17</xdr:row>
      <xdr:rowOff>76201</xdr:rowOff>
    </xdr:to>
    <xdr:sp>
      <xdr:nvSpPr>
        <xdr:cNvPr id="5" name="椭圆 4"/>
        <xdr:cNvSpPr/>
      </xdr:nvSpPr>
      <xdr:spPr>
        <a:xfrm>
          <a:off x="4406900" y="5864225"/>
          <a:ext cx="501650" cy="466725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1600">
              <a:solidFill>
                <a:schemeClr val="tx1"/>
              </a:solidFill>
            </a:rPr>
            <a:t>5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323851</xdr:colOff>
      <xdr:row>22</xdr:row>
      <xdr:rowOff>114301</xdr:rowOff>
    </xdr:from>
    <xdr:to>
      <xdr:col>10</xdr:col>
      <xdr:colOff>323851</xdr:colOff>
      <xdr:row>23</xdr:row>
      <xdr:rowOff>180976</xdr:rowOff>
    </xdr:to>
    <xdr:sp>
      <xdr:nvSpPr>
        <xdr:cNvPr id="6" name="椭圆 5"/>
        <xdr:cNvSpPr/>
      </xdr:nvSpPr>
      <xdr:spPr>
        <a:xfrm>
          <a:off x="4279900" y="8054975"/>
          <a:ext cx="450850" cy="466725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1600">
              <a:solidFill>
                <a:schemeClr val="tx1"/>
              </a:solidFill>
            </a:rPr>
            <a:t>6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352426</xdr:colOff>
      <xdr:row>18</xdr:row>
      <xdr:rowOff>285751</xdr:rowOff>
    </xdr:from>
    <xdr:to>
      <xdr:col>14</xdr:col>
      <xdr:colOff>352426</xdr:colOff>
      <xdr:row>20</xdr:row>
      <xdr:rowOff>57151</xdr:rowOff>
    </xdr:to>
    <xdr:sp>
      <xdr:nvSpPr>
        <xdr:cNvPr id="7" name="椭圆 6"/>
        <xdr:cNvSpPr/>
      </xdr:nvSpPr>
      <xdr:spPr>
        <a:xfrm>
          <a:off x="6264275" y="6940550"/>
          <a:ext cx="450850" cy="466725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1600">
              <a:solidFill>
                <a:schemeClr val="tx1"/>
              </a:solidFill>
            </a:rPr>
            <a:t>7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19051</xdr:colOff>
      <xdr:row>18</xdr:row>
      <xdr:rowOff>285751</xdr:rowOff>
    </xdr:from>
    <xdr:to>
      <xdr:col>9</xdr:col>
      <xdr:colOff>19051</xdr:colOff>
      <xdr:row>20</xdr:row>
      <xdr:rowOff>57151</xdr:rowOff>
    </xdr:to>
    <xdr:sp>
      <xdr:nvSpPr>
        <xdr:cNvPr id="8" name="椭圆 7"/>
        <xdr:cNvSpPr/>
      </xdr:nvSpPr>
      <xdr:spPr>
        <a:xfrm>
          <a:off x="3524250" y="6940550"/>
          <a:ext cx="450850" cy="466725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1600">
              <a:solidFill>
                <a:schemeClr val="tx1"/>
              </a:solidFill>
            </a:rPr>
            <a:t>4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23195</xdr:colOff>
      <xdr:row>16</xdr:row>
      <xdr:rowOff>190501</xdr:rowOff>
    </xdr:from>
    <xdr:to>
      <xdr:col>5</xdr:col>
      <xdr:colOff>180976</xdr:colOff>
      <xdr:row>19</xdr:row>
      <xdr:rowOff>53007</xdr:rowOff>
    </xdr:to>
    <xdr:cxnSp>
      <xdr:nvCxnSpPr>
        <xdr:cNvPr id="9" name="直接连接符 8"/>
        <xdr:cNvCxnSpPr>
          <a:stCxn id="2" idx="7"/>
          <a:endCxn id="3" idx="2"/>
        </xdr:cNvCxnSpPr>
      </xdr:nvCxnSpPr>
      <xdr:spPr>
        <a:xfrm flipV="1">
          <a:off x="1273810" y="6045200"/>
          <a:ext cx="1059815" cy="1062355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180976</xdr:colOff>
      <xdr:row>16</xdr:row>
      <xdr:rowOff>190501</xdr:rowOff>
    </xdr:from>
    <xdr:to>
      <xdr:col>10</xdr:col>
      <xdr:colOff>1</xdr:colOff>
      <xdr:row>16</xdr:row>
      <xdr:rowOff>190501</xdr:rowOff>
    </xdr:to>
    <xdr:cxnSp>
      <xdr:nvCxnSpPr>
        <xdr:cNvPr id="10" name="直接连接符 9"/>
        <xdr:cNvCxnSpPr>
          <a:stCxn id="3" idx="6"/>
          <a:endCxn id="5" idx="2"/>
        </xdr:cNvCxnSpPr>
      </xdr:nvCxnSpPr>
      <xdr:spPr>
        <a:xfrm>
          <a:off x="2784475" y="6045200"/>
          <a:ext cx="1622425" cy="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23195</xdr:colOff>
      <xdr:row>20</xdr:row>
      <xdr:rowOff>13670</xdr:rowOff>
    </xdr:from>
    <xdr:to>
      <xdr:col>5</xdr:col>
      <xdr:colOff>142876</xdr:colOff>
      <xdr:row>23</xdr:row>
      <xdr:rowOff>1</xdr:rowOff>
    </xdr:to>
    <xdr:cxnSp>
      <xdr:nvCxnSpPr>
        <xdr:cNvPr id="11" name="直接连接符 10"/>
        <xdr:cNvCxnSpPr>
          <a:stCxn id="2" idx="5"/>
          <a:endCxn id="4" idx="2"/>
        </xdr:cNvCxnSpPr>
      </xdr:nvCxnSpPr>
      <xdr:spPr>
        <a:xfrm>
          <a:off x="1273810" y="7363460"/>
          <a:ext cx="1021715" cy="977265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39653</xdr:colOff>
      <xdr:row>20</xdr:row>
      <xdr:rowOff>5075</xdr:rowOff>
    </xdr:from>
    <xdr:to>
      <xdr:col>8</xdr:col>
      <xdr:colOff>115764</xdr:colOff>
      <xdr:row>22</xdr:row>
      <xdr:rowOff>166842</xdr:rowOff>
    </xdr:to>
    <xdr:cxnSp>
      <xdr:nvCxnSpPr>
        <xdr:cNvPr id="12" name="直接连接符 11"/>
        <xdr:cNvCxnSpPr>
          <a:stCxn id="4" idx="7"/>
          <a:endCxn id="8" idx="3"/>
        </xdr:cNvCxnSpPr>
      </xdr:nvCxnSpPr>
      <xdr:spPr>
        <a:xfrm flipV="1">
          <a:off x="2642870" y="7354570"/>
          <a:ext cx="977900" cy="752475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77753</xdr:colOff>
      <xdr:row>17</xdr:row>
      <xdr:rowOff>23660</xdr:rowOff>
    </xdr:from>
    <xdr:to>
      <xdr:col>8</xdr:col>
      <xdr:colOff>19051</xdr:colOff>
      <xdr:row>19</xdr:row>
      <xdr:rowOff>171451</xdr:rowOff>
    </xdr:to>
    <xdr:cxnSp>
      <xdr:nvCxnSpPr>
        <xdr:cNvPr id="13" name="直接连接符 12"/>
        <xdr:cNvCxnSpPr>
          <a:stCxn id="3" idx="5"/>
          <a:endCxn id="8" idx="2"/>
        </xdr:cNvCxnSpPr>
      </xdr:nvCxnSpPr>
      <xdr:spPr>
        <a:xfrm>
          <a:off x="2680970" y="6278245"/>
          <a:ext cx="843280" cy="948055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16</xdr:row>
      <xdr:rowOff>188914</xdr:rowOff>
    </xdr:from>
    <xdr:to>
      <xdr:col>14</xdr:col>
      <xdr:colOff>47626</xdr:colOff>
      <xdr:row>18</xdr:row>
      <xdr:rowOff>285751</xdr:rowOff>
    </xdr:to>
    <xdr:cxnSp>
      <xdr:nvCxnSpPr>
        <xdr:cNvPr id="14" name="直接连接符 13"/>
        <xdr:cNvCxnSpPr>
          <a:stCxn id="5" idx="6"/>
          <a:endCxn id="7" idx="0"/>
        </xdr:cNvCxnSpPr>
      </xdr:nvCxnSpPr>
      <xdr:spPr>
        <a:xfrm>
          <a:off x="4908550" y="6043295"/>
          <a:ext cx="1501775" cy="897255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19</xdr:row>
      <xdr:rowOff>171451</xdr:rowOff>
    </xdr:from>
    <xdr:to>
      <xdr:col>13</xdr:col>
      <xdr:colOff>352426</xdr:colOff>
      <xdr:row>19</xdr:row>
      <xdr:rowOff>171451</xdr:rowOff>
    </xdr:to>
    <xdr:cxnSp>
      <xdr:nvCxnSpPr>
        <xdr:cNvPr id="15" name="直接连接符 14"/>
        <xdr:cNvCxnSpPr>
          <a:stCxn id="8" idx="6"/>
          <a:endCxn id="7" idx="2"/>
        </xdr:cNvCxnSpPr>
      </xdr:nvCxnSpPr>
      <xdr:spPr>
        <a:xfrm>
          <a:off x="3975100" y="7226300"/>
          <a:ext cx="2289175" cy="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349251</xdr:colOff>
      <xdr:row>20</xdr:row>
      <xdr:rowOff>57151</xdr:rowOff>
    </xdr:from>
    <xdr:to>
      <xdr:col>9</xdr:col>
      <xdr:colOff>428004</xdr:colOff>
      <xdr:row>22</xdr:row>
      <xdr:rowOff>166842</xdr:rowOff>
    </xdr:to>
    <xdr:cxnSp>
      <xdr:nvCxnSpPr>
        <xdr:cNvPr id="16" name="直接连接符 15"/>
        <xdr:cNvCxnSpPr>
          <a:stCxn id="8" idx="4"/>
          <a:endCxn id="6" idx="1"/>
        </xdr:cNvCxnSpPr>
      </xdr:nvCxnSpPr>
      <xdr:spPr>
        <a:xfrm>
          <a:off x="3854450" y="7407275"/>
          <a:ext cx="529590" cy="69977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323851</xdr:colOff>
      <xdr:row>20</xdr:row>
      <xdr:rowOff>57151</xdr:rowOff>
    </xdr:from>
    <xdr:to>
      <xdr:col>14</xdr:col>
      <xdr:colOff>47626</xdr:colOff>
      <xdr:row>23</xdr:row>
      <xdr:rowOff>1589</xdr:rowOff>
    </xdr:to>
    <xdr:cxnSp>
      <xdr:nvCxnSpPr>
        <xdr:cNvPr id="17" name="直接连接符 16"/>
        <xdr:cNvCxnSpPr>
          <a:stCxn id="6" idx="6"/>
          <a:endCxn id="7" idx="4"/>
        </xdr:cNvCxnSpPr>
      </xdr:nvCxnSpPr>
      <xdr:spPr>
        <a:xfrm flipV="1">
          <a:off x="4730750" y="7407275"/>
          <a:ext cx="1679575" cy="93472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23</xdr:row>
      <xdr:rowOff>1</xdr:rowOff>
    </xdr:from>
    <xdr:to>
      <xdr:col>9</xdr:col>
      <xdr:colOff>323851</xdr:colOff>
      <xdr:row>23</xdr:row>
      <xdr:rowOff>1</xdr:rowOff>
    </xdr:to>
    <xdr:cxnSp>
      <xdr:nvCxnSpPr>
        <xdr:cNvPr id="18" name="直接连接符 17"/>
        <xdr:cNvCxnSpPr>
          <a:stCxn id="4" idx="6"/>
          <a:endCxn id="6" idx="2"/>
        </xdr:cNvCxnSpPr>
      </xdr:nvCxnSpPr>
      <xdr:spPr>
        <a:xfrm>
          <a:off x="2746375" y="8340725"/>
          <a:ext cx="1533525" cy="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350837</xdr:colOff>
      <xdr:row>7</xdr:row>
      <xdr:rowOff>38101</xdr:rowOff>
    </xdr:from>
    <xdr:ext cx="220663" cy="254685"/>
    <mc:AlternateContent xmlns:mc="http://schemas.openxmlformats.org/markup-compatibility/2006">
      <mc:Choice xmlns:a14="http://schemas.microsoft.com/office/drawing/2010/main" Requires="a14">
        <xdr:sp>
          <xdr:nvSpPr>
            <xdr:cNvPr id="2" name="文本框 1"/>
            <xdr:cNvSpPr txBox="1"/>
          </xdr:nvSpPr>
          <xdr:spPr>
            <a:xfrm>
              <a:off x="5652770" y="1905000"/>
              <a:ext cx="220980" cy="2546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6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acc>
                  </m:oMath>
                </m:oMathPara>
              </a14:m>
              <a:endParaRPr lang="zh-CN" altLang="en-US" sz="1600"/>
            </a:p>
          </xdr:txBody>
        </xdr:sp>
      </mc:Choice>
      <mc:Fallback>
        <xdr:sp>
          <xdr:nvSpPr>
            <xdr:cNvPr id="2" name="文本框 1"/>
            <xdr:cNvSpPr txBox="1"/>
          </xdr:nvSpPr>
          <xdr:spPr>
            <a:xfrm>
              <a:off x="5652770" y="1905000"/>
              <a:ext cx="220980" cy="2546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600" b="0">
                  <a:latin typeface="Cambria Math" panose="02040503050406030204" pitchFamily="18" charset="0"/>
                </a:rPr>
                <a:t>𝑊</a:t>
              </a:r>
              <a:r>
                <a:rPr lang="zh-CN" altLang="en-US" sz="1600">
                  <a:latin typeface="Cambria Math" panose="02040503050406030204" pitchFamily="18" charset="0"/>
                </a:rPr>
                <a:t> ̅</a:t>
              </a:r>
              <a:endParaRPr lang="zh-CN" altLang="en-US" sz="16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361950</xdr:colOff>
      <xdr:row>10</xdr:row>
      <xdr:rowOff>34925</xdr:rowOff>
    </xdr:from>
    <xdr:to>
      <xdr:col>2</xdr:col>
      <xdr:colOff>208725</xdr:colOff>
      <xdr:row>11</xdr:row>
      <xdr:rowOff>243650</xdr:rowOff>
    </xdr:to>
    <xdr:sp>
      <xdr:nvSpPr>
        <xdr:cNvPr id="2" name="椭圆 1"/>
        <xdr:cNvSpPr/>
      </xdr:nvSpPr>
      <xdr:spPr>
        <a:xfrm>
          <a:off x="1047750" y="3089275"/>
          <a:ext cx="532130" cy="487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168275</xdr:colOff>
      <xdr:row>5</xdr:row>
      <xdr:rowOff>28575</xdr:rowOff>
    </xdr:from>
    <xdr:to>
      <xdr:col>5</xdr:col>
      <xdr:colOff>18225</xdr:colOff>
      <xdr:row>6</xdr:row>
      <xdr:rowOff>270491</xdr:rowOff>
    </xdr:to>
    <xdr:sp>
      <xdr:nvSpPr>
        <xdr:cNvPr id="4" name="椭圆 3"/>
        <xdr:cNvSpPr/>
      </xdr:nvSpPr>
      <xdr:spPr>
        <a:xfrm>
          <a:off x="2911475" y="1685925"/>
          <a:ext cx="535305" cy="5207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161925</xdr:colOff>
      <xdr:row>15</xdr:row>
      <xdr:rowOff>25410</xdr:rowOff>
    </xdr:from>
    <xdr:to>
      <xdr:col>5</xdr:col>
      <xdr:colOff>2350</xdr:colOff>
      <xdr:row>16</xdr:row>
      <xdr:rowOff>275401</xdr:rowOff>
    </xdr:to>
    <xdr:sp>
      <xdr:nvSpPr>
        <xdr:cNvPr id="5" name="椭圆 4"/>
        <xdr:cNvSpPr/>
      </xdr:nvSpPr>
      <xdr:spPr>
        <a:xfrm>
          <a:off x="2905125" y="4476750"/>
          <a:ext cx="525780" cy="52895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5</xdr:row>
      <xdr:rowOff>28575</xdr:rowOff>
    </xdr:from>
    <xdr:to>
      <xdr:col>7</xdr:col>
      <xdr:colOff>611950</xdr:colOff>
      <xdr:row>7</xdr:row>
      <xdr:rowOff>0</xdr:rowOff>
    </xdr:to>
    <xdr:sp>
      <xdr:nvSpPr>
        <xdr:cNvPr id="6" name="椭圆 5"/>
        <xdr:cNvSpPr/>
      </xdr:nvSpPr>
      <xdr:spPr>
        <a:xfrm>
          <a:off x="4902200" y="1685925"/>
          <a:ext cx="509905" cy="53022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2000">
              <a:solidFill>
                <a:schemeClr val="tx1"/>
              </a:solidFill>
            </a:rPr>
            <a:t>4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114300</xdr:colOff>
      <xdr:row>15</xdr:row>
      <xdr:rowOff>28575</xdr:rowOff>
    </xdr:from>
    <xdr:to>
      <xdr:col>7</xdr:col>
      <xdr:colOff>611950</xdr:colOff>
      <xdr:row>16</xdr:row>
      <xdr:rowOff>254000</xdr:rowOff>
    </xdr:to>
    <xdr:sp>
      <xdr:nvSpPr>
        <xdr:cNvPr id="7" name="椭圆 6"/>
        <xdr:cNvSpPr/>
      </xdr:nvSpPr>
      <xdr:spPr>
        <a:xfrm>
          <a:off x="4914900" y="4479925"/>
          <a:ext cx="497205" cy="50482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2000">
              <a:solidFill>
                <a:schemeClr val="tx1"/>
              </a:solidFill>
            </a:rPr>
            <a:t>5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647700</xdr:colOff>
      <xdr:row>10</xdr:row>
      <xdr:rowOff>25400</xdr:rowOff>
    </xdr:from>
    <xdr:to>
      <xdr:col>10</xdr:col>
      <xdr:colOff>494475</xdr:colOff>
      <xdr:row>11</xdr:row>
      <xdr:rowOff>234125</xdr:rowOff>
    </xdr:to>
    <xdr:sp>
      <xdr:nvSpPr>
        <xdr:cNvPr id="8" name="椭圆 7"/>
        <xdr:cNvSpPr/>
      </xdr:nvSpPr>
      <xdr:spPr>
        <a:xfrm>
          <a:off x="6819900" y="3079750"/>
          <a:ext cx="532130" cy="48768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zh-CN" sz="2000">
              <a:solidFill>
                <a:schemeClr val="tx1"/>
              </a:solidFill>
            </a:rPr>
            <a:t>6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134916</xdr:colOff>
      <xdr:row>6</xdr:row>
      <xdr:rowOff>11421</xdr:rowOff>
    </xdr:from>
    <xdr:to>
      <xdr:col>4</xdr:col>
      <xdr:colOff>168275</xdr:colOff>
      <xdr:row>10</xdr:row>
      <xdr:rowOff>105479</xdr:rowOff>
    </xdr:to>
    <xdr:cxnSp>
      <xdr:nvCxnSpPr>
        <xdr:cNvPr id="10" name="直接箭头连接符 9"/>
        <xdr:cNvCxnSpPr>
          <a:stCxn id="2" idx="7"/>
          <a:endCxn id="4" idx="2"/>
        </xdr:cNvCxnSpPr>
      </xdr:nvCxnSpPr>
      <xdr:spPr>
        <a:xfrm flipV="1">
          <a:off x="1506220" y="1947545"/>
          <a:ext cx="1405255" cy="121221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134916</xdr:colOff>
      <xdr:row>11</xdr:row>
      <xdr:rowOff>169921</xdr:rowOff>
    </xdr:from>
    <xdr:to>
      <xdr:col>4</xdr:col>
      <xdr:colOff>158750</xdr:colOff>
      <xdr:row>16</xdr:row>
      <xdr:rowOff>15468</xdr:rowOff>
    </xdr:to>
    <xdr:cxnSp>
      <xdr:nvCxnSpPr>
        <xdr:cNvPr id="12" name="直接箭头连接符 11"/>
        <xdr:cNvCxnSpPr>
          <a:stCxn id="2" idx="5"/>
          <a:endCxn id="5" idx="2"/>
        </xdr:cNvCxnSpPr>
      </xdr:nvCxnSpPr>
      <xdr:spPr>
        <a:xfrm>
          <a:off x="1506220" y="3503295"/>
          <a:ext cx="1395730" cy="124269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409163</xdr:colOff>
      <xdr:row>6</xdr:row>
      <xdr:rowOff>273666</xdr:rowOff>
    </xdr:from>
    <xdr:to>
      <xdr:col>4</xdr:col>
      <xdr:colOff>421863</xdr:colOff>
      <xdr:row>15</xdr:row>
      <xdr:rowOff>28585</xdr:rowOff>
    </xdr:to>
    <xdr:cxnSp>
      <xdr:nvCxnSpPr>
        <xdr:cNvPr id="14" name="直接箭头连接符 13"/>
        <xdr:cNvCxnSpPr>
          <a:stCxn id="4" idx="4"/>
          <a:endCxn id="5" idx="0"/>
        </xdr:cNvCxnSpPr>
      </xdr:nvCxnSpPr>
      <xdr:spPr>
        <a:xfrm flipH="1">
          <a:off x="3152140" y="2209800"/>
          <a:ext cx="12700" cy="22701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2350</xdr:colOff>
      <xdr:row>16</xdr:row>
      <xdr:rowOff>3175</xdr:rowOff>
    </xdr:from>
    <xdr:to>
      <xdr:col>7</xdr:col>
      <xdr:colOff>114300</xdr:colOff>
      <xdr:row>16</xdr:row>
      <xdr:rowOff>15468</xdr:rowOff>
    </xdr:to>
    <xdr:cxnSp>
      <xdr:nvCxnSpPr>
        <xdr:cNvPr id="16" name="直接箭头连接符 15"/>
        <xdr:cNvCxnSpPr>
          <a:stCxn id="5" idx="6"/>
          <a:endCxn id="7" idx="2"/>
        </xdr:cNvCxnSpPr>
      </xdr:nvCxnSpPr>
      <xdr:spPr>
        <a:xfrm flipV="1">
          <a:off x="3430905" y="4733925"/>
          <a:ext cx="1483995" cy="1206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18225</xdr:colOff>
      <xdr:row>6</xdr:row>
      <xdr:rowOff>11421</xdr:rowOff>
    </xdr:from>
    <xdr:to>
      <xdr:col>7</xdr:col>
      <xdr:colOff>104775</xdr:colOff>
      <xdr:row>6</xdr:row>
      <xdr:rowOff>12700</xdr:rowOff>
    </xdr:to>
    <xdr:cxnSp>
      <xdr:nvCxnSpPr>
        <xdr:cNvPr id="18" name="直接箭头连接符 17"/>
        <xdr:cNvCxnSpPr>
          <a:stCxn id="4" idx="6"/>
          <a:endCxn id="6" idx="2"/>
        </xdr:cNvCxnSpPr>
      </xdr:nvCxnSpPr>
      <xdr:spPr>
        <a:xfrm>
          <a:off x="3446780" y="1947545"/>
          <a:ext cx="1458595" cy="190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586231</xdr:colOff>
      <xdr:row>6</xdr:row>
      <xdr:rowOff>199040</xdr:rowOff>
    </xdr:from>
    <xdr:to>
      <xdr:col>7</xdr:col>
      <xdr:colOff>179049</xdr:colOff>
      <xdr:row>15</xdr:row>
      <xdr:rowOff>105648</xdr:rowOff>
    </xdr:to>
    <xdr:cxnSp>
      <xdr:nvCxnSpPr>
        <xdr:cNvPr id="20" name="直接箭头连接符 19"/>
        <xdr:cNvCxnSpPr>
          <a:stCxn id="5" idx="7"/>
          <a:endCxn id="6" idx="3"/>
        </xdr:cNvCxnSpPr>
      </xdr:nvCxnSpPr>
      <xdr:spPr>
        <a:xfrm flipV="1">
          <a:off x="3329305" y="2135505"/>
          <a:ext cx="1649730" cy="242125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611950</xdr:colOff>
      <xdr:row>6</xdr:row>
      <xdr:rowOff>12700</xdr:rowOff>
    </xdr:from>
    <xdr:to>
      <xdr:col>10</xdr:col>
      <xdr:colOff>64284</xdr:colOff>
      <xdr:row>10</xdr:row>
      <xdr:rowOff>99594</xdr:rowOff>
    </xdr:to>
    <xdr:cxnSp>
      <xdr:nvCxnSpPr>
        <xdr:cNvPr id="22" name="直接箭头连接符 21"/>
        <xdr:cNvCxnSpPr>
          <a:stCxn id="6" idx="6"/>
          <a:endCxn id="8" idx="1"/>
        </xdr:cNvCxnSpPr>
      </xdr:nvCxnSpPr>
      <xdr:spPr>
        <a:xfrm>
          <a:off x="5412105" y="1949450"/>
          <a:ext cx="1510030" cy="120396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611950</xdr:colOff>
      <xdr:row>11</xdr:row>
      <xdr:rowOff>166281</xdr:rowOff>
    </xdr:from>
    <xdr:to>
      <xdr:col>10</xdr:col>
      <xdr:colOff>64284</xdr:colOff>
      <xdr:row>16</xdr:row>
      <xdr:rowOff>3175</xdr:rowOff>
    </xdr:to>
    <xdr:cxnSp>
      <xdr:nvCxnSpPr>
        <xdr:cNvPr id="24" name="直接箭头连接符 23"/>
        <xdr:cNvCxnSpPr>
          <a:stCxn id="7" idx="6"/>
          <a:endCxn id="8" idx="3"/>
        </xdr:cNvCxnSpPr>
      </xdr:nvCxnSpPr>
      <xdr:spPr>
        <a:xfrm flipV="1">
          <a:off x="5412105" y="3499485"/>
          <a:ext cx="1510030" cy="123444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358363</xdr:colOff>
      <xdr:row>7</xdr:row>
      <xdr:rowOff>0</xdr:rowOff>
    </xdr:from>
    <xdr:to>
      <xdr:col>7</xdr:col>
      <xdr:colOff>363125</xdr:colOff>
      <xdr:row>15</xdr:row>
      <xdr:rowOff>25400</xdr:rowOff>
    </xdr:to>
    <xdr:cxnSp>
      <xdr:nvCxnSpPr>
        <xdr:cNvPr id="26" name="直接箭头连接符 25"/>
        <xdr:cNvCxnSpPr>
          <a:stCxn id="6" idx="4"/>
          <a:endCxn id="7" idx="0"/>
        </xdr:cNvCxnSpPr>
      </xdr:nvCxnSpPr>
      <xdr:spPr>
        <a:xfrm>
          <a:off x="5158740" y="2216150"/>
          <a:ext cx="4445" cy="2260600"/>
        </a:xfrm>
        <a:prstGeom prst="straightConnector1">
          <a:avLst/>
        </a:prstGeom>
        <a:ln w="2857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9"/>
  <sheetViews>
    <sheetView workbookViewId="0">
      <selection activeCell="G3" sqref="G3"/>
    </sheetView>
  </sheetViews>
  <sheetFormatPr defaultColWidth="9" defaultRowHeight="14"/>
  <cols>
    <col min="2" max="2" width="11.0833333333333" customWidth="1"/>
    <col min="3" max="3" width="22.8333333333333" customWidth="1"/>
    <col min="4" max="4" width="14.4166666666667" customWidth="1"/>
    <col min="5" max="5" width="20.9166666666667" customWidth="1"/>
    <col min="6" max="6" width="22.9166666666667" customWidth="1"/>
  </cols>
  <sheetData>
    <row r="2" ht="28.5" customHeight="1"/>
    <row r="3" ht="30.5" customHeight="1" spans="2:10">
      <c r="B3" s="11" t="s">
        <v>0</v>
      </c>
      <c r="C3" s="224">
        <v>40130</v>
      </c>
      <c r="D3" s="11" t="s">
        <v>1</v>
      </c>
      <c r="E3" s="225" t="s">
        <v>2</v>
      </c>
      <c r="G3" s="137"/>
      <c r="H3" s="137"/>
      <c r="I3" s="137"/>
      <c r="J3" s="137"/>
    </row>
    <row r="4" ht="31.5" customHeight="1" spans="3:3">
      <c r="C4" s="226" t="s">
        <v>3</v>
      </c>
    </row>
    <row r="5" ht="30" customHeight="1" spans="2:6">
      <c r="B5" s="227" t="s">
        <v>4</v>
      </c>
      <c r="C5" s="227" t="s">
        <v>5</v>
      </c>
      <c r="D5" s="227" t="s">
        <v>6</v>
      </c>
      <c r="E5" s="227" t="s">
        <v>7</v>
      </c>
      <c r="F5" s="227" t="s">
        <v>8</v>
      </c>
    </row>
    <row r="6" ht="30" customHeight="1" spans="2:8">
      <c r="B6" s="228">
        <v>1</v>
      </c>
      <c r="C6" s="228" t="s">
        <v>9</v>
      </c>
      <c r="D6" s="228"/>
      <c r="E6" s="228">
        <v>20</v>
      </c>
      <c r="F6" s="228" t="str">
        <f>IF(MOD(C3+LEN(E3),4)&lt;2,"是","否")</f>
        <v>是</v>
      </c>
      <c r="G6" s="11"/>
      <c r="H6" s="223"/>
    </row>
    <row r="7" ht="30" customHeight="1" spans="2:8">
      <c r="B7" s="228">
        <v>2</v>
      </c>
      <c r="C7" s="228" t="s">
        <v>10</v>
      </c>
      <c r="D7" s="228"/>
      <c r="E7" s="228">
        <v>20</v>
      </c>
      <c r="F7" s="228"/>
      <c r="G7" s="11"/>
      <c r="H7" s="223"/>
    </row>
    <row r="8" ht="30" customHeight="1" spans="2:7">
      <c r="B8" s="228">
        <v>3</v>
      </c>
      <c r="C8" s="228" t="s">
        <v>11</v>
      </c>
      <c r="D8" s="228"/>
      <c r="E8" s="228">
        <v>20</v>
      </c>
      <c r="F8" s="228" t="str">
        <f>IF(F6="是","否","是")</f>
        <v>否</v>
      </c>
      <c r="G8" s="11"/>
    </row>
    <row r="9" ht="30" customHeight="1" spans="2:8">
      <c r="B9" s="228">
        <v>4</v>
      </c>
      <c r="C9" s="228" t="s">
        <v>12</v>
      </c>
      <c r="D9" s="228" t="s">
        <v>13</v>
      </c>
      <c r="E9" s="228">
        <v>30</v>
      </c>
      <c r="F9" s="228" t="str">
        <f>F8</f>
        <v>否</v>
      </c>
      <c r="G9" s="11"/>
      <c r="H9" s="223"/>
    </row>
    <row r="10" ht="28" customHeight="1" spans="2:8">
      <c r="B10" s="228">
        <v>5</v>
      </c>
      <c r="C10" s="228" t="s">
        <v>14</v>
      </c>
      <c r="D10" s="228" t="s">
        <v>13</v>
      </c>
      <c r="E10" s="228">
        <v>30</v>
      </c>
      <c r="F10" s="228" t="str">
        <f>IF(F9="是","否","是")</f>
        <v>是</v>
      </c>
      <c r="G10" s="11"/>
      <c r="H10" s="223"/>
    </row>
    <row r="11" ht="30" customHeight="1" spans="2:8">
      <c r="B11" s="228">
        <v>6</v>
      </c>
      <c r="C11" s="228" t="s">
        <v>15</v>
      </c>
      <c r="D11" s="228"/>
      <c r="E11" s="229">
        <v>20</v>
      </c>
      <c r="F11" s="228" t="str">
        <f>IF(MOD(ROUND(C$3/7*100,0),4)&lt;2,"是","否")</f>
        <v>否</v>
      </c>
      <c r="G11" s="11"/>
      <c r="H11" s="223"/>
    </row>
    <row r="12" ht="30" customHeight="1" spans="2:8">
      <c r="B12" s="228">
        <v>7</v>
      </c>
      <c r="C12" s="228" t="s">
        <v>16</v>
      </c>
      <c r="D12" s="228"/>
      <c r="E12" s="229">
        <v>20</v>
      </c>
      <c r="F12" s="228" t="str">
        <f>IF(MOD(ROUND(C$3/7*100,0),4)&gt;1,"是","否")</f>
        <v>是</v>
      </c>
      <c r="G12" s="11"/>
      <c r="H12" s="223"/>
    </row>
    <row r="13" ht="30" customHeight="1" spans="2:8">
      <c r="B13" s="228">
        <v>8</v>
      </c>
      <c r="C13" s="228" t="s">
        <v>17</v>
      </c>
      <c r="D13" s="228"/>
      <c r="E13" s="229">
        <v>30</v>
      </c>
      <c r="F13" s="228" t="str">
        <f>IF(MOD(ROUND(C$3/7*100,0),3)=2,"是","否")</f>
        <v>否</v>
      </c>
      <c r="G13" s="11"/>
      <c r="H13" s="223"/>
    </row>
    <row r="14" ht="30" customHeight="1" spans="2:8">
      <c r="B14" s="228">
        <v>9</v>
      </c>
      <c r="C14" s="228" t="s">
        <v>18</v>
      </c>
      <c r="D14" s="228"/>
      <c r="E14" s="228">
        <v>30</v>
      </c>
      <c r="F14" s="228" t="str">
        <f>IF(MOD(ROUND(C$3/7*100,0),3)=2,"否","是")</f>
        <v>是</v>
      </c>
      <c r="G14" s="11"/>
      <c r="H14" s="223"/>
    </row>
    <row r="15" ht="30" customHeight="1" spans="2:8">
      <c r="B15" s="228">
        <v>10</v>
      </c>
      <c r="C15" s="228" t="s">
        <v>19</v>
      </c>
      <c r="D15" s="228"/>
      <c r="E15" s="228">
        <v>30</v>
      </c>
      <c r="F15" s="228"/>
      <c r="G15" s="11"/>
      <c r="H15" s="223"/>
    </row>
    <row r="16" ht="30" customHeight="1" spans="2:8">
      <c r="B16" s="228">
        <v>11</v>
      </c>
      <c r="C16" s="228" t="s">
        <v>20</v>
      </c>
      <c r="D16" s="228"/>
      <c r="E16" s="228">
        <v>30</v>
      </c>
      <c r="F16" s="228"/>
      <c r="G16" s="11"/>
      <c r="H16" s="223"/>
    </row>
    <row r="17" ht="30" customHeight="1" spans="2:8">
      <c r="B17" s="228">
        <v>12</v>
      </c>
      <c r="C17" s="228" t="s">
        <v>21</v>
      </c>
      <c r="D17" s="228"/>
      <c r="E17" s="228">
        <v>30</v>
      </c>
      <c r="F17" s="228"/>
      <c r="G17" s="11"/>
      <c r="H17" s="223"/>
    </row>
    <row r="18" ht="30" customHeight="1" spans="2:7">
      <c r="B18" s="228">
        <v>13</v>
      </c>
      <c r="C18" s="228" t="s">
        <v>22</v>
      </c>
      <c r="D18" s="228"/>
      <c r="E18" s="228">
        <v>30</v>
      </c>
      <c r="F18" s="228"/>
      <c r="G18" s="11"/>
    </row>
    <row r="19" ht="30" customHeight="1" spans="2:6">
      <c r="B19" s="11"/>
      <c r="C19" s="11"/>
      <c r="D19" s="11"/>
      <c r="E19" s="11"/>
      <c r="F19" s="11"/>
    </row>
  </sheetData>
  <conditionalFormatting sqref="C8:C9">
    <cfRule type="cellIs" dxfId="0" priority="1" operator="equal">
      <formula>"$F$6=""是"""</formula>
    </cfRule>
  </conditionalFormatting>
  <conditionalFormatting sqref="F6:F18">
    <cfRule type="cellIs" dxfId="1" priority="4" operator="equal">
      <formula>"否"</formula>
    </cfRule>
  </conditionalFormatting>
  <conditionalFormatting sqref="B6:E7">
    <cfRule type="cellIs" dxfId="0" priority="3" operator="equal">
      <formula>"$F$6=""是"""</formula>
    </cfRule>
  </conditionalFormatting>
  <conditionalFormatting sqref="D8:E8 B7:B8">
    <cfRule type="cellIs" dxfId="0" priority="2" operator="equal">
      <formula>"$F$7=""是"""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9"/>
  <sheetViews>
    <sheetView workbookViewId="0">
      <selection activeCell="S20" sqref="S20"/>
    </sheetView>
  </sheetViews>
  <sheetFormatPr defaultColWidth="9" defaultRowHeight="23"/>
  <cols>
    <col min="1" max="1" width="8.66666666666667" style="185"/>
    <col min="2" max="2" width="9.16666666666667" style="186" customWidth="1"/>
    <col min="3" max="3" width="4.16666666666667" style="186" customWidth="1"/>
    <col min="4" max="4" width="7.66666666666667" style="186" customWidth="1"/>
    <col min="5" max="9" width="5.5" style="186" customWidth="1"/>
    <col min="10" max="10" width="4" style="186" customWidth="1"/>
    <col min="11" max="11" width="6.58333333333333" style="186" customWidth="1"/>
    <col min="12" max="12" width="5" style="186" customWidth="1"/>
    <col min="13" max="13" width="5.83333333333333" style="186" customWidth="1"/>
    <col min="14" max="14" width="6.91666666666667" style="185" customWidth="1"/>
    <col min="15" max="15" width="6" style="185" customWidth="1"/>
    <col min="16" max="16" width="6.91666666666667" style="185" customWidth="1"/>
    <col min="17" max="17" width="7" style="184" customWidth="1"/>
    <col min="18" max="18" width="9" style="184" customWidth="1"/>
    <col min="19" max="25" width="10.3333333333333" style="184" customWidth="1"/>
    <col min="26" max="28" width="7" customWidth="1"/>
    <col min="29" max="29" width="5.91666666666667" customWidth="1"/>
  </cols>
  <sheetData>
    <row r="1" ht="20" spans="2:25">
      <c r="B1" s="187" t="str">
        <f>IF(MOD(ROUND(1/(MOD(F2,7)+LEN(B2))*100,0),4)&lt;2,"请选择：单纯形法、运输问题、最小费用最大流等题作答","请选择：单纯形法、层次分析法、最小费用最大流等题作答")</f>
        <v>请选择：单纯形法、层次分析法、最小费用最大流等题作答</v>
      </c>
      <c r="C1" s="187"/>
      <c r="D1" s="187"/>
      <c r="E1" s="187"/>
      <c r="F1" s="187"/>
      <c r="G1" s="187"/>
      <c r="H1" s="187"/>
      <c r="I1" s="187"/>
      <c r="J1" s="187"/>
      <c r="K1" s="187"/>
      <c r="L1" s="187"/>
      <c r="R1" s="210">
        <f>T10*T1+U10*U1+V10*V1+W10*W1+X10*X1+Y10*Y1</f>
        <v>199.214285714286</v>
      </c>
      <c r="S1" s="211"/>
      <c r="T1" s="211">
        <v>13.2142857142857</v>
      </c>
      <c r="U1" s="211">
        <v>13.7142857142857</v>
      </c>
      <c r="V1" s="211">
        <v>0</v>
      </c>
      <c r="W1" s="211">
        <v>0</v>
      </c>
      <c r="X1" s="211">
        <v>0</v>
      </c>
      <c r="Y1" s="211">
        <v>0</v>
      </c>
    </row>
    <row r="2" spans="1:30">
      <c r="A2" s="188" t="s">
        <v>23</v>
      </c>
      <c r="B2" s="189" t="str">
        <f>试题选择!E3</f>
        <v>翁宇豪</v>
      </c>
      <c r="C2" s="190"/>
      <c r="D2" s="190"/>
      <c r="E2" s="185" t="s">
        <v>24</v>
      </c>
      <c r="F2" s="191">
        <f>试题选择!C3</f>
        <v>40130</v>
      </c>
      <c r="G2" s="191"/>
      <c r="H2" s="191"/>
      <c r="I2" s="191"/>
      <c r="J2" s="191"/>
      <c r="K2" s="191"/>
      <c r="L2" s="191"/>
      <c r="P2" s="121" t="s">
        <v>25</v>
      </c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186"/>
    </row>
    <row r="3" spans="30:30">
      <c r="AD3" s="186"/>
    </row>
    <row r="4" ht="22.5" customHeight="1" spans="2:30">
      <c r="B4" s="192" t="s">
        <v>26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P4" s="186" t="s">
        <v>27</v>
      </c>
      <c r="Q4" s="186">
        <f>D7</f>
        <v>4</v>
      </c>
      <c r="R4" s="186" t="s">
        <v>28</v>
      </c>
      <c r="S4" s="186">
        <f>F7</f>
        <v>7</v>
      </c>
      <c r="T4" s="186" t="s">
        <v>29</v>
      </c>
      <c r="U4" s="186">
        <f>H7</f>
        <v>3</v>
      </c>
      <c r="V4" s="186" t="s">
        <v>30</v>
      </c>
      <c r="W4" s="213">
        <v>1</v>
      </c>
      <c r="X4" s="186" t="s">
        <v>31</v>
      </c>
      <c r="Y4" s="213">
        <v>0</v>
      </c>
      <c r="Z4" s="186" t="s">
        <v>32</v>
      </c>
      <c r="AA4" s="213">
        <v>0</v>
      </c>
      <c r="AB4" s="186" t="s">
        <v>33</v>
      </c>
      <c r="AC4" s="186">
        <f>K7</f>
        <v>84</v>
      </c>
      <c r="AD4" s="186"/>
    </row>
    <row r="5" spans="2:30">
      <c r="B5" s="193" t="s">
        <v>34</v>
      </c>
      <c r="C5" s="194" t="s">
        <v>35</v>
      </c>
      <c r="D5" s="194">
        <f>MOD(F2,3)+11</f>
        <v>13</v>
      </c>
      <c r="E5" s="195" t="s">
        <v>36</v>
      </c>
      <c r="F5" s="194">
        <f>MOD(F2,5)+2</f>
        <v>2</v>
      </c>
      <c r="G5" s="195" t="s">
        <v>37</v>
      </c>
      <c r="H5" s="194">
        <f>MOD(F2,2)+6</f>
        <v>6</v>
      </c>
      <c r="I5" s="195" t="s">
        <v>38</v>
      </c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</row>
    <row r="6" s="183" customFormat="1" spans="1:30">
      <c r="A6" s="185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5"/>
      <c r="O6" s="185"/>
      <c r="P6" s="186" t="s">
        <v>39</v>
      </c>
      <c r="Q6" s="186">
        <f>D9</f>
        <v>-2</v>
      </c>
      <c r="R6" s="186" t="s">
        <v>28</v>
      </c>
      <c r="S6" s="186">
        <f>F9</f>
        <v>3</v>
      </c>
      <c r="T6" s="186" t="s">
        <v>29</v>
      </c>
      <c r="U6" s="186">
        <f>H9</f>
        <v>-3</v>
      </c>
      <c r="V6" s="186" t="s">
        <v>30</v>
      </c>
      <c r="W6" s="213">
        <v>0</v>
      </c>
      <c r="X6" s="186" t="s">
        <v>31</v>
      </c>
      <c r="Y6" s="213">
        <v>1</v>
      </c>
      <c r="Z6" s="186" t="s">
        <v>32</v>
      </c>
      <c r="AA6" s="213">
        <v>-1</v>
      </c>
      <c r="AB6" s="186" t="s">
        <v>33</v>
      </c>
      <c r="AC6" s="186">
        <f>K9</f>
        <v>1</v>
      </c>
      <c r="AD6" s="185"/>
    </row>
    <row r="7" spans="2:29">
      <c r="B7" s="186" t="s">
        <v>27</v>
      </c>
      <c r="D7" s="196">
        <f>MOD(F2,7)-2</f>
        <v>4</v>
      </c>
      <c r="E7" s="197" t="str">
        <f>IF(D7=0,"","x1+")</f>
        <v>x1+</v>
      </c>
      <c r="F7" s="198">
        <v>7</v>
      </c>
      <c r="G7" s="197" t="str">
        <f>IF(F7=0,"","x2+")</f>
        <v>x2+</v>
      </c>
      <c r="H7" s="199">
        <v>3</v>
      </c>
      <c r="I7" s="197" t="str">
        <f>IF(H7=0,"","x3")</f>
        <v>x3</v>
      </c>
      <c r="J7" s="205" t="s">
        <v>40</v>
      </c>
      <c r="K7" s="206">
        <f>ROUNDUP((D5+F5+H5)*4,0)</f>
        <v>84</v>
      </c>
      <c r="M7" s="207">
        <f>T$1*D7+U$1*F7+V$1*H7</f>
        <v>148.857142857143</v>
      </c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</row>
    <row r="8" spans="4:29">
      <c r="D8" s="200"/>
      <c r="E8" s="200"/>
      <c r="F8" s="200"/>
      <c r="G8" s="200"/>
      <c r="H8" s="198"/>
      <c r="I8" s="200"/>
      <c r="K8" s="206"/>
      <c r="P8" s="186" t="s">
        <v>41</v>
      </c>
      <c r="Q8" s="186"/>
      <c r="R8" s="214" t="s">
        <v>42</v>
      </c>
      <c r="S8" s="186"/>
      <c r="T8" s="186"/>
      <c r="U8" s="186"/>
      <c r="V8" s="186"/>
      <c r="W8" s="186"/>
      <c r="X8" s="186"/>
      <c r="Y8" s="186"/>
      <c r="Z8" s="186"/>
      <c r="AA8" s="185"/>
      <c r="AB8" s="185"/>
      <c r="AC8" s="185"/>
    </row>
    <row r="9" spans="2:13">
      <c r="B9" s="186" t="s">
        <v>39</v>
      </c>
      <c r="D9" s="198">
        <v>-2</v>
      </c>
      <c r="E9" s="197" t="str">
        <f>IF(D9=0,"","x1+")</f>
        <v>x1+</v>
      </c>
      <c r="F9" s="201">
        <f>MOD(F2,3)+1</f>
        <v>3</v>
      </c>
      <c r="G9" s="197" t="str">
        <f>IF(F9=0,"","x2+")</f>
        <v>x2+</v>
      </c>
      <c r="H9" s="198">
        <v>-3</v>
      </c>
      <c r="I9" s="197" t="str">
        <f>IF(H9=0,"","x3")</f>
        <v>x3</v>
      </c>
      <c r="J9" s="200" t="s">
        <v>43</v>
      </c>
      <c r="K9" s="208">
        <f>ROUNDUP(MOD(F2,2)+1,0)</f>
        <v>1</v>
      </c>
      <c r="M9" s="207">
        <f>T$1*D9+U$1*F9+V$1*H9</f>
        <v>14.7142857142857</v>
      </c>
    </row>
    <row r="10" ht="24.5" spans="4:25">
      <c r="D10" s="200"/>
      <c r="E10" s="200"/>
      <c r="F10" s="200"/>
      <c r="G10" s="200"/>
      <c r="H10" s="198"/>
      <c r="I10" s="200"/>
      <c r="Q10" s="215" t="s">
        <v>44</v>
      </c>
      <c r="R10" s="215"/>
      <c r="S10" s="215"/>
      <c r="T10" s="216">
        <f>D5</f>
        <v>13</v>
      </c>
      <c r="U10" s="216">
        <f>F5</f>
        <v>2</v>
      </c>
      <c r="V10" s="216">
        <f>H5</f>
        <v>6</v>
      </c>
      <c r="W10" s="217">
        <v>0</v>
      </c>
      <c r="X10" s="217">
        <v>0</v>
      </c>
      <c r="Y10" s="217">
        <v>0</v>
      </c>
    </row>
    <row r="11" ht="30" customHeight="1" spans="2:26">
      <c r="B11" s="186" t="s">
        <v>41</v>
      </c>
      <c r="D11" s="200"/>
      <c r="E11" s="202" t="s">
        <v>45</v>
      </c>
      <c r="F11" s="202"/>
      <c r="G11" s="202"/>
      <c r="H11" s="201"/>
      <c r="I11" s="195"/>
      <c r="J11" s="205"/>
      <c r="K11" s="209"/>
      <c r="P11" s="204"/>
      <c r="Q11" s="216" t="s">
        <v>46</v>
      </c>
      <c r="R11" s="216" t="s">
        <v>47</v>
      </c>
      <c r="S11" s="215" t="s">
        <v>48</v>
      </c>
      <c r="T11" s="218" t="s">
        <v>49</v>
      </c>
      <c r="U11" s="218" t="s">
        <v>50</v>
      </c>
      <c r="V11" s="218" t="s">
        <v>51</v>
      </c>
      <c r="W11" s="218" t="s">
        <v>52</v>
      </c>
      <c r="X11" s="218" t="s">
        <v>53</v>
      </c>
      <c r="Y11" s="218" t="s">
        <v>54</v>
      </c>
      <c r="Z11" s="222" t="s">
        <v>55</v>
      </c>
    </row>
    <row r="12" ht="30" customHeight="1" spans="16:27">
      <c r="P12" s="204"/>
      <c r="Q12" s="216">
        <f>W10</f>
        <v>0</v>
      </c>
      <c r="R12" s="216" t="str">
        <f>W11</f>
        <v>x4</v>
      </c>
      <c r="S12" s="216">
        <f>AC4</f>
        <v>84</v>
      </c>
      <c r="T12" s="216">
        <f>Q4</f>
        <v>4</v>
      </c>
      <c r="U12" s="216">
        <f>S4</f>
        <v>7</v>
      </c>
      <c r="V12" s="216">
        <f>U4</f>
        <v>3</v>
      </c>
      <c r="W12" s="216">
        <f>W4</f>
        <v>1</v>
      </c>
      <c r="X12" s="216">
        <f>Y4</f>
        <v>0</v>
      </c>
      <c r="Y12" s="216">
        <f>AA4</f>
        <v>0</v>
      </c>
      <c r="AA12" s="11"/>
    </row>
    <row r="13" ht="30" customHeight="1" spans="2:27">
      <c r="B13" s="203" t="s">
        <v>56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Q13" s="216">
        <f>Y10</f>
        <v>0</v>
      </c>
      <c r="R13" s="216" t="str">
        <f>Y11</f>
        <v>x6</v>
      </c>
      <c r="S13" s="216">
        <f>AC6</f>
        <v>1</v>
      </c>
      <c r="T13" s="216">
        <f>Q6</f>
        <v>-2</v>
      </c>
      <c r="U13" s="216">
        <f>S6</f>
        <v>3</v>
      </c>
      <c r="V13" s="216">
        <f>U6</f>
        <v>-3</v>
      </c>
      <c r="W13" s="216">
        <f>W6</f>
        <v>0</v>
      </c>
      <c r="X13" s="216">
        <f>Y6</f>
        <v>1</v>
      </c>
      <c r="Y13" s="216">
        <f>AA6</f>
        <v>-1</v>
      </c>
      <c r="AA13" s="11"/>
    </row>
    <row r="14" ht="30" customHeight="1" spans="2:25"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P14" s="184"/>
      <c r="Q14" s="219" t="s">
        <v>57</v>
      </c>
      <c r="R14" s="220"/>
      <c r="S14" s="217">
        <v>0</v>
      </c>
      <c r="T14" s="216">
        <f t="shared" ref="T14:Y14" si="0">T$10-($Q12*T12+$Q13*T13)</f>
        <v>13</v>
      </c>
      <c r="U14" s="216">
        <f t="shared" si="0"/>
        <v>2</v>
      </c>
      <c r="V14" s="216">
        <f t="shared" si="0"/>
        <v>6</v>
      </c>
      <c r="W14" s="217">
        <v>0</v>
      </c>
      <c r="X14" s="217">
        <v>0</v>
      </c>
      <c r="Y14" s="217">
        <v>0</v>
      </c>
    </row>
    <row r="15" s="184" customFormat="1" ht="30" customHeight="1" spans="1:29">
      <c r="A15" s="185"/>
      <c r="B15" s="203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185"/>
      <c r="O15" s="204"/>
      <c r="Q15" s="216">
        <f>T10</f>
        <v>13</v>
      </c>
      <c r="R15" s="216" t="str">
        <f>T11</f>
        <v>x1</v>
      </c>
      <c r="S15" s="221">
        <v>44</v>
      </c>
      <c r="T15" s="216"/>
      <c r="U15" s="216"/>
      <c r="V15" s="216"/>
      <c r="W15" s="216"/>
      <c r="X15" s="216"/>
      <c r="Y15" s="216"/>
      <c r="Z15"/>
      <c r="AA15" s="223"/>
      <c r="AB15"/>
      <c r="AC15"/>
    </row>
    <row r="16" s="184" customFormat="1" ht="30" customHeight="1" spans="1:27">
      <c r="A16" s="185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4"/>
      <c r="O16" s="204"/>
      <c r="Q16" s="216">
        <f>U10</f>
        <v>2</v>
      </c>
      <c r="R16" s="216" t="str">
        <f>U11</f>
        <v>x2</v>
      </c>
      <c r="S16" s="221">
        <v>0</v>
      </c>
      <c r="T16" s="216"/>
      <c r="U16" s="216"/>
      <c r="V16" s="216"/>
      <c r="W16" s="216"/>
      <c r="X16" s="216"/>
      <c r="Y16" s="216"/>
      <c r="Z16"/>
      <c r="AA16" s="223"/>
    </row>
    <row r="17" s="184" customFormat="1" ht="30" customHeight="1" spans="1:27">
      <c r="A17" s="185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186"/>
      <c r="Q17" s="216">
        <f>V10</f>
        <v>6</v>
      </c>
      <c r="R17" s="216" t="str">
        <f>V11</f>
        <v>x3</v>
      </c>
      <c r="S17" s="221">
        <v>0</v>
      </c>
      <c r="T17" s="216"/>
      <c r="U17" s="216"/>
      <c r="V17" s="216"/>
      <c r="W17" s="216"/>
      <c r="X17" s="216"/>
      <c r="Y17" s="216"/>
      <c r="Z17"/>
      <c r="AA17" s="223"/>
    </row>
    <row r="18" s="184" customFormat="1" ht="30" customHeight="1" spans="1:27">
      <c r="A18" s="185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185"/>
      <c r="Q18" s="219" t="s">
        <v>57</v>
      </c>
      <c r="R18" s="220"/>
      <c r="S18" s="221">
        <v>484</v>
      </c>
      <c r="T18" s="216"/>
      <c r="U18" s="216"/>
      <c r="V18" s="216"/>
      <c r="W18" s="216"/>
      <c r="X18" s="216"/>
      <c r="Y18" s="216"/>
      <c r="Z18"/>
      <c r="AA18"/>
    </row>
    <row r="19" spans="2:29"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AC19" s="184"/>
    </row>
  </sheetData>
  <mergeCells count="9">
    <mergeCell ref="B1:L1"/>
    <mergeCell ref="B2:D2"/>
    <mergeCell ref="F2:L2"/>
    <mergeCell ref="P2:AC2"/>
    <mergeCell ref="B4:L4"/>
    <mergeCell ref="Q10:S10"/>
    <mergeCell ref="E11:G11"/>
    <mergeCell ref="Q14:R14"/>
    <mergeCell ref="B13:M16"/>
  </mergeCells>
  <conditionalFormatting sqref="D7:M11">
    <cfRule type="cellIs" dxfId="1" priority="1" operator="equal">
      <formula>0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5"/>
  <sheetViews>
    <sheetView topLeftCell="A9" workbookViewId="0">
      <selection activeCell="U12" sqref="U12"/>
    </sheetView>
  </sheetViews>
  <sheetFormatPr defaultColWidth="9" defaultRowHeight="17.5"/>
  <cols>
    <col min="1" max="1" width="4.58333333333333" customWidth="1"/>
    <col min="2" max="9" width="5.91666666666667" customWidth="1"/>
    <col min="10" max="10" width="5.91666666666667" style="11" customWidth="1"/>
    <col min="11" max="13" width="6.58333333333333" style="137" customWidth="1"/>
    <col min="14" max="14" width="5.91666666666667" style="137" customWidth="1"/>
    <col min="15" max="16" width="5.16666666666667" style="137" customWidth="1"/>
    <col min="17" max="17" width="6.41666666666667" style="137" customWidth="1"/>
    <col min="18" max="18" width="5.66666666666667" customWidth="1"/>
    <col min="19" max="19" width="5.75" customWidth="1"/>
    <col min="20" max="26" width="6.25" customWidth="1"/>
    <col min="27" max="27" width="5.5" customWidth="1"/>
    <col min="28" max="35" width="5.91666666666667" customWidth="1"/>
    <col min="36" max="36" width="5.66666666666667" customWidth="1"/>
    <col min="37" max="37" width="6" customWidth="1"/>
    <col min="38" max="44" width="6.66666666666667" customWidth="1"/>
    <col min="45" max="45" width="6.25" customWidth="1"/>
    <col min="46" max="46" width="5.91666666666667" customWidth="1"/>
    <col min="47" max="53" width="6" customWidth="1"/>
    <col min="54" max="54" width="6.25" customWidth="1"/>
    <col min="55" max="55" width="6.66666666666667" customWidth="1"/>
    <col min="56" max="62" width="5.66666666666667" customWidth="1"/>
    <col min="63" max="63" width="6" customWidth="1"/>
    <col min="64" max="73" width="6.66666666666667" customWidth="1"/>
    <col min="74" max="80" width="6.83333333333333" customWidth="1"/>
  </cols>
  <sheetData>
    <row r="1" ht="28" customHeight="1" spans="2:17">
      <c r="B1" s="138" t="s">
        <v>11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Q1" s="137">
        <f>MAX(K5:Q10)*100</f>
        <v>1200</v>
      </c>
    </row>
    <row r="2" ht="24" customHeight="1" spans="1:17">
      <c r="A2" s="63" t="s">
        <v>58</v>
      </c>
      <c r="B2" s="63"/>
      <c r="C2" s="63"/>
      <c r="D2" s="63"/>
      <c r="E2" s="63"/>
      <c r="F2" s="63"/>
      <c r="G2" s="63"/>
      <c r="H2" s="63"/>
      <c r="J2" s="11" t="s">
        <v>59</v>
      </c>
      <c r="K2" s="11"/>
      <c r="L2" s="11"/>
      <c r="M2" s="11"/>
      <c r="N2" s="11"/>
      <c r="O2" s="11"/>
      <c r="P2" s="11"/>
      <c r="Q2" s="11"/>
    </row>
    <row r="3" ht="32.25" customHeight="1" spans="1:18">
      <c r="A3" s="63"/>
      <c r="B3" s="63"/>
      <c r="C3" s="63"/>
      <c r="D3" s="63"/>
      <c r="E3" s="63"/>
      <c r="F3" s="63"/>
      <c r="G3" s="63"/>
      <c r="H3" s="63"/>
      <c r="I3" s="149"/>
      <c r="J3" s="150" t="s">
        <v>60</v>
      </c>
      <c r="K3" s="151">
        <f>试题选择!C3</f>
        <v>40130</v>
      </c>
      <c r="L3" s="151"/>
      <c r="M3" s="151"/>
      <c r="N3" s="152" t="s">
        <v>61</v>
      </c>
      <c r="O3" s="152"/>
      <c r="P3" s="153" t="str">
        <f>试题选择!E3</f>
        <v>翁宇豪</v>
      </c>
      <c r="Q3" s="153"/>
      <c r="R3" s="163"/>
    </row>
    <row r="4" ht="25" customHeight="1" spans="1:20">
      <c r="A4" s="63"/>
      <c r="B4" s="63"/>
      <c r="C4" s="63"/>
      <c r="D4" s="63"/>
      <c r="E4" s="63"/>
      <c r="F4" s="63"/>
      <c r="G4" s="63"/>
      <c r="H4" s="63"/>
      <c r="J4" s="139" t="s">
        <v>62</v>
      </c>
      <c r="K4" s="154">
        <v>1</v>
      </c>
      <c r="L4" s="154">
        <v>2</v>
      </c>
      <c r="M4" s="154">
        <v>3</v>
      </c>
      <c r="N4" s="154">
        <v>4</v>
      </c>
      <c r="O4" s="154">
        <v>5</v>
      </c>
      <c r="P4" s="154">
        <v>6</v>
      </c>
      <c r="Q4" s="164">
        <v>7</v>
      </c>
      <c r="R4" s="165"/>
      <c r="S4" s="166"/>
      <c r="T4" s="166"/>
    </row>
    <row r="5" ht="33" customHeight="1" spans="1:20">
      <c r="A5" s="63"/>
      <c r="B5" s="63"/>
      <c r="C5" s="63"/>
      <c r="D5" s="63"/>
      <c r="E5" s="63"/>
      <c r="F5" s="63"/>
      <c r="G5" s="63"/>
      <c r="H5" s="63"/>
      <c r="J5" s="140">
        <v>1</v>
      </c>
      <c r="K5" s="155"/>
      <c r="L5" s="156">
        <f>5-MOD(RIGHT(K3,3),3)</f>
        <v>4</v>
      </c>
      <c r="M5" s="156">
        <f>L5+3</f>
        <v>7</v>
      </c>
      <c r="N5" s="155"/>
      <c r="O5" s="155"/>
      <c r="P5" s="155"/>
      <c r="Q5" s="167"/>
      <c r="R5" s="168"/>
      <c r="S5" s="166"/>
      <c r="T5" s="166"/>
    </row>
    <row r="6" ht="33" customHeight="1" spans="1:20">
      <c r="A6" s="63"/>
      <c r="B6" s="63"/>
      <c r="C6" s="63"/>
      <c r="D6" s="63"/>
      <c r="E6" s="63"/>
      <c r="F6" s="63"/>
      <c r="G6" s="63"/>
      <c r="H6" s="63"/>
      <c r="J6" s="140">
        <v>2</v>
      </c>
      <c r="K6" s="156">
        <f>L5</f>
        <v>4</v>
      </c>
      <c r="L6" s="155"/>
      <c r="M6" s="155"/>
      <c r="N6" s="156">
        <f>MOD(K3,3)+1</f>
        <v>3</v>
      </c>
      <c r="O6" s="155">
        <f>ROUND((MOD(K3,7)+1)/13*23,0)</f>
        <v>12</v>
      </c>
      <c r="P6" s="155"/>
      <c r="Q6" s="167"/>
      <c r="R6" s="165"/>
      <c r="S6" s="166"/>
      <c r="T6" s="166"/>
    </row>
    <row r="7" ht="32" customHeight="1" spans="1:20">
      <c r="A7" s="63"/>
      <c r="B7" s="63"/>
      <c r="C7" s="63"/>
      <c r="D7" s="63"/>
      <c r="E7" s="63"/>
      <c r="F7" s="63"/>
      <c r="G7" s="63"/>
      <c r="H7" s="63"/>
      <c r="J7" s="140">
        <v>3</v>
      </c>
      <c r="K7" s="156">
        <f>M5</f>
        <v>7</v>
      </c>
      <c r="L7" s="155">
        <f>M6</f>
        <v>0</v>
      </c>
      <c r="M7" s="155"/>
      <c r="N7" s="155">
        <f>ROUND(O6/2,0)+1</f>
        <v>7</v>
      </c>
      <c r="O7" s="155"/>
      <c r="P7" s="155">
        <f>IF(MOD(RIGHT(K3,3),3)=0,7,IF(MOD(RIGHT(K3,3),3)=1,8,9))</f>
        <v>8</v>
      </c>
      <c r="Q7" s="167"/>
      <c r="R7" s="169"/>
      <c r="S7" s="166"/>
      <c r="T7" s="166"/>
    </row>
    <row r="8" ht="25" customHeight="1" spans="1:20">
      <c r="A8" s="63"/>
      <c r="B8" s="63"/>
      <c r="C8" s="63"/>
      <c r="D8" s="63"/>
      <c r="E8" s="63"/>
      <c r="F8" s="63"/>
      <c r="G8" s="63"/>
      <c r="H8" s="63"/>
      <c r="J8" s="140">
        <v>4</v>
      </c>
      <c r="K8" s="155">
        <f>N5</f>
        <v>0</v>
      </c>
      <c r="L8" s="156">
        <f>N6</f>
        <v>3</v>
      </c>
      <c r="M8" s="155">
        <f>N7</f>
        <v>7</v>
      </c>
      <c r="N8" s="155"/>
      <c r="O8" s="155"/>
      <c r="P8" s="156">
        <f>MOD(K3,3)+1</f>
        <v>3</v>
      </c>
      <c r="Q8" s="167">
        <f>ROUND(O6*3/5,0)</f>
        <v>7</v>
      </c>
      <c r="R8" s="170"/>
      <c r="S8" s="166"/>
      <c r="T8" s="166"/>
    </row>
    <row r="9" ht="25" customHeight="1" spans="1:20">
      <c r="A9" s="63"/>
      <c r="B9" s="63"/>
      <c r="C9" s="63"/>
      <c r="D9" s="63"/>
      <c r="E9" s="63"/>
      <c r="F9" s="63"/>
      <c r="G9" s="63"/>
      <c r="H9" s="63"/>
      <c r="J9" s="140">
        <v>5</v>
      </c>
      <c r="K9" s="155">
        <f>O5</f>
        <v>0</v>
      </c>
      <c r="L9" s="155">
        <f>O6</f>
        <v>12</v>
      </c>
      <c r="M9" s="155"/>
      <c r="N9" s="155">
        <f>O8</f>
        <v>0</v>
      </c>
      <c r="O9" s="155"/>
      <c r="P9" s="155"/>
      <c r="Q9" s="167">
        <f>IF(MOD(RIGHT(K3,3),3)=0,4,IF(MOD(RIGHT(K3,3),3)=1,3,2))</f>
        <v>3</v>
      </c>
      <c r="R9" s="165"/>
      <c r="S9" s="166"/>
      <c r="T9" s="166"/>
    </row>
    <row r="10" ht="31" customHeight="1" spans="1:20">
      <c r="A10" s="63"/>
      <c r="B10" s="63"/>
      <c r="C10" s="63"/>
      <c r="D10" s="63"/>
      <c r="E10" s="63"/>
      <c r="F10" s="63"/>
      <c r="G10" s="63"/>
      <c r="H10" s="63"/>
      <c r="J10" s="140">
        <v>6</v>
      </c>
      <c r="K10" s="155">
        <f>P5</f>
        <v>0</v>
      </c>
      <c r="L10" s="155">
        <f>P6</f>
        <v>0</v>
      </c>
      <c r="M10" s="155">
        <f>P7</f>
        <v>8</v>
      </c>
      <c r="N10" s="157">
        <f>P8</f>
        <v>3</v>
      </c>
      <c r="O10" s="155"/>
      <c r="P10" s="155"/>
      <c r="Q10" s="167">
        <f>IF(MOD(RIGHT(K3,3),3)=0,2,IF(MOD(RIGHT(K3,3),3)=1,3,4))</f>
        <v>3</v>
      </c>
      <c r="R10" s="171"/>
      <c r="S10" s="166"/>
      <c r="T10" s="166"/>
    </row>
    <row r="11" ht="25" customHeight="1" spans="1:20">
      <c r="A11" s="63"/>
      <c r="B11" s="63"/>
      <c r="C11" s="63"/>
      <c r="D11" s="63"/>
      <c r="E11" s="63"/>
      <c r="F11" s="63"/>
      <c r="G11" s="63"/>
      <c r="H11" s="63"/>
      <c r="J11" s="140">
        <v>7</v>
      </c>
      <c r="K11" s="155">
        <f>Q5</f>
        <v>0</v>
      </c>
      <c r="L11" s="155">
        <f>Q6</f>
        <v>0</v>
      </c>
      <c r="M11" s="155"/>
      <c r="N11" s="155">
        <f>Q8</f>
        <v>7</v>
      </c>
      <c r="O11" s="155">
        <f>Q9</f>
        <v>3</v>
      </c>
      <c r="P11" s="155">
        <f>Q10</f>
        <v>3</v>
      </c>
      <c r="Q11" s="167"/>
      <c r="R11" s="165"/>
      <c r="S11" s="166"/>
      <c r="T11" s="166"/>
    </row>
    <row r="12" ht="32" customHeight="1" spans="1:20">
      <c r="A12" s="139" t="s">
        <v>62</v>
      </c>
      <c r="B12" s="140">
        <v>1</v>
      </c>
      <c r="C12" s="140">
        <v>2</v>
      </c>
      <c r="D12" s="140">
        <v>3</v>
      </c>
      <c r="E12" s="140">
        <v>4</v>
      </c>
      <c r="F12" s="140">
        <v>5</v>
      </c>
      <c r="G12" s="140">
        <v>6</v>
      </c>
      <c r="H12" s="140">
        <v>7</v>
      </c>
      <c r="R12" s="172"/>
      <c r="S12" s="166"/>
      <c r="T12" s="166"/>
    </row>
    <row r="13" ht="33.5" customHeight="1" spans="1:18">
      <c r="A13" s="141" t="s">
        <v>63</v>
      </c>
      <c r="B13" s="141"/>
      <c r="C13" s="141"/>
      <c r="D13" s="141"/>
      <c r="E13" s="141"/>
      <c r="F13" s="141"/>
      <c r="G13" s="141"/>
      <c r="H13" s="141"/>
      <c r="I13" s="144"/>
      <c r="J13" s="158"/>
      <c r="K13" s="159"/>
      <c r="L13" s="160"/>
      <c r="M13" s="160"/>
      <c r="N13" s="160"/>
      <c r="O13" s="160"/>
      <c r="P13" s="160"/>
      <c r="Q13" s="160"/>
      <c r="R13" s="144"/>
    </row>
    <row r="14" ht="31.5" customHeight="1" spans="1:16">
      <c r="A14" s="142" t="s">
        <v>64</v>
      </c>
      <c r="B14" s="143"/>
      <c r="C14" s="143"/>
      <c r="D14" s="143"/>
      <c r="E14" s="143"/>
      <c r="F14" s="143"/>
      <c r="G14" s="143"/>
      <c r="H14" s="143"/>
      <c r="I14" s="144"/>
      <c r="J14" s="144"/>
      <c r="K14" s="160"/>
      <c r="L14" s="160"/>
      <c r="M14" s="160"/>
      <c r="N14" s="160"/>
      <c r="O14" s="160"/>
      <c r="P14" s="160"/>
    </row>
    <row r="15" ht="27.5" customHeight="1" spans="2:26">
      <c r="B15" s="144"/>
      <c r="C15" s="144"/>
      <c r="D15" s="144"/>
      <c r="E15" s="144"/>
      <c r="F15" s="144"/>
      <c r="G15" s="144"/>
      <c r="H15" s="144"/>
      <c r="I15" s="144"/>
      <c r="J15" s="144"/>
      <c r="K15" s="160"/>
      <c r="L15" s="160"/>
      <c r="M15" s="160"/>
      <c r="N15" s="160"/>
      <c r="O15" s="160"/>
      <c r="P15" s="160"/>
      <c r="S15" s="173"/>
      <c r="T15" s="173"/>
      <c r="U15" s="174"/>
      <c r="V15" s="174"/>
      <c r="W15" s="174"/>
      <c r="X15" s="174"/>
      <c r="Y15" s="174"/>
      <c r="Z15" s="174"/>
    </row>
    <row r="16" ht="23.25" customHeight="1" spans="3:26">
      <c r="C16" s="137"/>
      <c r="D16" s="137"/>
      <c r="F16" s="145"/>
      <c r="G16" s="145"/>
      <c r="J16"/>
      <c r="K16" s="145"/>
      <c r="L16" s="145"/>
      <c r="M16"/>
      <c r="N16"/>
      <c r="O16"/>
      <c r="P16"/>
      <c r="S16" s="173"/>
      <c r="T16" s="173"/>
      <c r="U16" s="175"/>
      <c r="V16" s="175"/>
      <c r="W16" s="175"/>
      <c r="X16" s="175"/>
      <c r="Y16" s="175"/>
      <c r="Z16" s="175"/>
    </row>
    <row r="17" ht="31.5" customHeight="1" spans="9:31">
      <c r="I17" s="161">
        <f>O6</f>
        <v>12</v>
      </c>
      <c r="J17"/>
      <c r="K17"/>
      <c r="L17"/>
      <c r="M17"/>
      <c r="N17"/>
      <c r="O17"/>
      <c r="P17"/>
      <c r="S17" s="173"/>
      <c r="T17" s="173"/>
      <c r="U17" s="176"/>
      <c r="V17" s="177"/>
      <c r="W17" s="178" t="s">
        <v>65</v>
      </c>
      <c r="X17" s="179" t="s">
        <v>66</v>
      </c>
      <c r="Y17" s="179"/>
      <c r="Z17" s="179"/>
      <c r="AA17" s="179"/>
      <c r="AB17" s="179"/>
      <c r="AC17" s="179"/>
      <c r="AD17" s="179"/>
      <c r="AE17" s="182"/>
    </row>
    <row r="18" ht="31.5" customHeight="1" spans="10:31">
      <c r="J18"/>
      <c r="K18"/>
      <c r="L18"/>
      <c r="M18"/>
      <c r="N18"/>
      <c r="O18"/>
      <c r="P18"/>
      <c r="S18" s="173"/>
      <c r="T18" s="173"/>
      <c r="W18" s="178" t="s">
        <v>67</v>
      </c>
      <c r="X18" s="179" t="s">
        <v>66</v>
      </c>
      <c r="Y18" s="179"/>
      <c r="Z18" s="179"/>
      <c r="AA18" s="179"/>
      <c r="AB18" s="179"/>
      <c r="AC18" s="179"/>
      <c r="AD18" s="179"/>
      <c r="AE18" s="182"/>
    </row>
    <row r="19" ht="31.5" customHeight="1" spans="2:31">
      <c r="B19" s="146"/>
      <c r="C19" s="146"/>
      <c r="E19" s="147">
        <f>L5</f>
        <v>4</v>
      </c>
      <c r="H19" s="147">
        <f>N6</f>
        <v>3</v>
      </c>
      <c r="I19" s="145"/>
      <c r="J19" s="145"/>
      <c r="K19"/>
      <c r="L19"/>
      <c r="M19" s="162">
        <f>Q9</f>
        <v>3</v>
      </c>
      <c r="N19"/>
      <c r="O19" s="145"/>
      <c r="P19" s="145"/>
      <c r="S19" s="173"/>
      <c r="T19" s="173"/>
      <c r="W19" s="178" t="s">
        <v>68</v>
      </c>
      <c r="X19" s="179" t="s">
        <v>66</v>
      </c>
      <c r="Y19" s="179"/>
      <c r="Z19" s="179"/>
      <c r="AA19" s="179"/>
      <c r="AB19" s="179"/>
      <c r="AC19" s="179"/>
      <c r="AD19" s="179"/>
      <c r="AE19" s="182"/>
    </row>
    <row r="20" ht="23.25" customHeight="1" spans="10:30">
      <c r="J20"/>
      <c r="K20"/>
      <c r="L20" s="162">
        <f>Q8</f>
        <v>7</v>
      </c>
      <c r="M20"/>
      <c r="N20"/>
      <c r="O20"/>
      <c r="P20"/>
      <c r="S20" s="173"/>
      <c r="T20" s="173"/>
      <c r="X20" s="180"/>
      <c r="Y20" s="180"/>
      <c r="Z20" s="180"/>
      <c r="AA20" s="180"/>
      <c r="AB20" s="180"/>
      <c r="AC20" s="180"/>
      <c r="AD20" s="180"/>
    </row>
    <row r="21" ht="23.25" customHeight="1" spans="10:30">
      <c r="J21"/>
      <c r="K21"/>
      <c r="L21"/>
      <c r="M21"/>
      <c r="N21"/>
      <c r="O21"/>
      <c r="P21"/>
      <c r="S21" s="173"/>
      <c r="T21" s="173"/>
      <c r="X21" s="180"/>
      <c r="Y21" s="180"/>
      <c r="Z21" s="180"/>
      <c r="AA21" s="180"/>
      <c r="AB21" s="180"/>
      <c r="AC21" s="180"/>
      <c r="AD21" s="180"/>
    </row>
    <row r="22" ht="23.25" customHeight="1" spans="4:20">
      <c r="D22" s="147">
        <f>M5</f>
        <v>7</v>
      </c>
      <c r="H22" s="147">
        <f>N7</f>
        <v>7</v>
      </c>
      <c r="J22" s="147">
        <f>P8</f>
        <v>3</v>
      </c>
      <c r="K22"/>
      <c r="L22"/>
      <c r="M22" s="162">
        <f>Q10</f>
        <v>3</v>
      </c>
      <c r="N22"/>
      <c r="O22"/>
      <c r="P22"/>
      <c r="S22" s="181"/>
      <c r="T22" s="181"/>
    </row>
    <row r="23" ht="31.5" customHeight="1" spans="10:16">
      <c r="J23"/>
      <c r="K23"/>
      <c r="L23"/>
      <c r="M23"/>
      <c r="N23"/>
      <c r="O23"/>
      <c r="P23"/>
    </row>
    <row r="24" ht="31.5" customHeight="1" spans="9:16">
      <c r="I24" s="161">
        <f>P7</f>
        <v>8</v>
      </c>
      <c r="J24"/>
      <c r="K24"/>
      <c r="L24" s="145"/>
      <c r="M24" s="145"/>
      <c r="N24"/>
      <c r="O24"/>
      <c r="P24"/>
    </row>
    <row r="25" ht="23.25" customHeight="1" spans="2:16">
      <c r="B25" s="148"/>
      <c r="E25" s="145"/>
      <c r="F25" s="145"/>
      <c r="J25"/>
      <c r="K25"/>
      <c r="L25"/>
      <c r="M25"/>
      <c r="N25"/>
      <c r="O25"/>
      <c r="P25"/>
    </row>
    <row r="26" ht="21" customHeight="1" spans="10:16">
      <c r="J26"/>
      <c r="K26"/>
      <c r="L26"/>
      <c r="M26"/>
      <c r="N26"/>
      <c r="O26"/>
      <c r="P26"/>
    </row>
    <row r="27" ht="14" spans="10:16">
      <c r="J27"/>
      <c r="K27"/>
      <c r="L27"/>
      <c r="M27"/>
      <c r="N27"/>
      <c r="O27"/>
      <c r="P27"/>
    </row>
    <row r="28" ht="14" spans="10:16">
      <c r="J28"/>
      <c r="K28"/>
      <c r="L28"/>
      <c r="M28"/>
      <c r="N28"/>
      <c r="O28"/>
      <c r="P28"/>
    </row>
    <row r="29" ht="20.25" customHeight="1" spans="10:16">
      <c r="J29"/>
      <c r="K29"/>
      <c r="L29"/>
      <c r="M29"/>
      <c r="N29"/>
      <c r="O29"/>
      <c r="P29"/>
    </row>
    <row r="30" ht="20.25" customHeight="1" spans="10:16">
      <c r="J30"/>
      <c r="K30"/>
      <c r="L30"/>
      <c r="M30"/>
      <c r="N30"/>
      <c r="O30"/>
      <c r="P30"/>
    </row>
    <row r="31" ht="20.25" customHeight="1" spans="10:16">
      <c r="J31"/>
      <c r="K31"/>
      <c r="L31"/>
      <c r="M31"/>
      <c r="N31"/>
      <c r="O31"/>
      <c r="P31"/>
    </row>
    <row r="32" ht="20.25" customHeight="1" spans="10:16">
      <c r="J32"/>
      <c r="K32"/>
      <c r="L32"/>
      <c r="M32"/>
      <c r="N32"/>
      <c r="O32"/>
      <c r="P32"/>
    </row>
    <row r="33" ht="20.25" customHeight="1" spans="10:16">
      <c r="J33"/>
      <c r="K33"/>
      <c r="L33"/>
      <c r="M33"/>
      <c r="N33"/>
      <c r="O33"/>
      <c r="P33"/>
    </row>
    <row r="34" ht="20.25" customHeight="1" spans="9:16">
      <c r="I34" t="s">
        <v>69</v>
      </c>
      <c r="J34"/>
      <c r="K34"/>
      <c r="L34"/>
      <c r="M34"/>
      <c r="N34"/>
      <c r="O34"/>
      <c r="P34"/>
    </row>
    <row r="35" ht="20.25" customHeight="1" spans="10:16">
      <c r="J35"/>
      <c r="K35"/>
      <c r="L35"/>
      <c r="M35"/>
      <c r="N35"/>
      <c r="O35"/>
      <c r="P35"/>
    </row>
    <row r="36" ht="20.25" customHeight="1" spans="10:16">
      <c r="J36"/>
      <c r="K36"/>
      <c r="L36"/>
      <c r="M36"/>
      <c r="N36"/>
      <c r="O36"/>
      <c r="P36"/>
    </row>
    <row r="37" ht="20.25" customHeight="1" spans="10:16">
      <c r="J37"/>
      <c r="K37"/>
      <c r="L37"/>
      <c r="M37"/>
      <c r="N37"/>
      <c r="O37"/>
      <c r="P37"/>
    </row>
    <row r="38" ht="20.25" customHeight="1" spans="10:16">
      <c r="J38"/>
      <c r="K38"/>
      <c r="L38"/>
      <c r="M38"/>
      <c r="N38"/>
      <c r="O38"/>
      <c r="P38"/>
    </row>
    <row r="39" ht="14" spans="10:17">
      <c r="J39"/>
      <c r="K39"/>
      <c r="L39"/>
      <c r="M39"/>
      <c r="N39"/>
      <c r="O39"/>
      <c r="P39"/>
      <c r="Q39"/>
    </row>
    <row r="40" ht="14" spans="10:17">
      <c r="J40"/>
      <c r="K40"/>
      <c r="L40"/>
      <c r="M40"/>
      <c r="N40"/>
      <c r="O40"/>
      <c r="P40"/>
      <c r="Q40"/>
    </row>
    <row r="41" spans="3:17">
      <c r="C41" s="11"/>
      <c r="D41" s="11"/>
      <c r="E41" s="11"/>
      <c r="F41" s="11"/>
      <c r="G41" s="11"/>
      <c r="H41" s="11"/>
      <c r="I41" s="11"/>
      <c r="K41"/>
      <c r="L41"/>
      <c r="M41"/>
      <c r="N41"/>
      <c r="O41"/>
      <c r="P41"/>
      <c r="Q41"/>
    </row>
    <row r="42" spans="3:17">
      <c r="C42" s="11"/>
      <c r="D42" s="11"/>
      <c r="E42" s="11"/>
      <c r="F42" s="11"/>
      <c r="G42" s="11"/>
      <c r="H42" s="11"/>
      <c r="I42" s="11"/>
      <c r="K42"/>
      <c r="L42"/>
      <c r="M42"/>
      <c r="N42"/>
      <c r="O42"/>
      <c r="P42"/>
      <c r="Q42"/>
    </row>
    <row r="43" spans="3:17">
      <c r="C43" s="11"/>
      <c r="D43" s="11"/>
      <c r="E43" s="11"/>
      <c r="F43" s="11"/>
      <c r="G43" s="11"/>
      <c r="H43" s="11"/>
      <c r="I43" s="11"/>
      <c r="K43"/>
      <c r="L43"/>
      <c r="M43"/>
      <c r="N43"/>
      <c r="O43"/>
      <c r="P43"/>
      <c r="Q43"/>
    </row>
    <row r="44" spans="3:17">
      <c r="C44" s="11"/>
      <c r="D44" s="11"/>
      <c r="E44" s="11"/>
      <c r="F44" s="11"/>
      <c r="G44" s="11"/>
      <c r="H44" s="11"/>
      <c r="I44" s="11"/>
      <c r="K44"/>
      <c r="L44"/>
      <c r="M44"/>
      <c r="N44"/>
      <c r="O44"/>
      <c r="P44"/>
      <c r="Q44"/>
    </row>
    <row r="45" spans="3:17">
      <c r="C45" s="11"/>
      <c r="D45" s="11"/>
      <c r="E45" s="11"/>
      <c r="F45" s="11"/>
      <c r="G45" s="11"/>
      <c r="H45" s="11"/>
      <c r="I45" s="11"/>
      <c r="K45"/>
      <c r="L45"/>
      <c r="M45"/>
      <c r="N45"/>
      <c r="O45"/>
      <c r="P45"/>
      <c r="Q45"/>
    </row>
    <row r="46" spans="3:17">
      <c r="C46" s="11"/>
      <c r="D46" s="11"/>
      <c r="E46" s="11"/>
      <c r="F46" s="11"/>
      <c r="G46" s="11"/>
      <c r="H46" s="11"/>
      <c r="I46" s="11"/>
      <c r="K46"/>
      <c r="L46"/>
      <c r="M46"/>
      <c r="N46"/>
      <c r="O46"/>
      <c r="P46"/>
      <c r="Q46"/>
    </row>
    <row r="47" spans="3:17">
      <c r="C47" s="11"/>
      <c r="D47" s="11"/>
      <c r="E47" s="11"/>
      <c r="F47" s="11"/>
      <c r="G47" s="11"/>
      <c r="H47" s="11"/>
      <c r="I47" s="11"/>
      <c r="K47"/>
      <c r="L47"/>
      <c r="M47"/>
      <c r="N47"/>
      <c r="O47"/>
      <c r="P47"/>
      <c r="Q47"/>
    </row>
    <row r="48" spans="3:17">
      <c r="C48" s="11"/>
      <c r="D48" s="11"/>
      <c r="E48" s="11"/>
      <c r="F48" s="11"/>
      <c r="G48" s="11"/>
      <c r="H48" s="11"/>
      <c r="I48" s="11"/>
      <c r="K48"/>
      <c r="L48"/>
      <c r="M48"/>
      <c r="N48"/>
      <c r="O48"/>
      <c r="P48"/>
      <c r="Q48"/>
    </row>
    <row r="49" spans="3:17">
      <c r="C49" s="11"/>
      <c r="D49" s="11"/>
      <c r="E49" s="11"/>
      <c r="F49" s="11"/>
      <c r="G49" s="11"/>
      <c r="H49" s="11"/>
      <c r="I49" s="11"/>
      <c r="K49"/>
      <c r="L49"/>
      <c r="M49"/>
      <c r="N49"/>
      <c r="O49"/>
      <c r="P49"/>
      <c r="Q49"/>
    </row>
    <row r="50" spans="3:17">
      <c r="C50" s="11"/>
      <c r="D50" s="11"/>
      <c r="E50" s="11"/>
      <c r="F50" s="11"/>
      <c r="G50" s="11"/>
      <c r="H50" s="11"/>
      <c r="I50" s="11"/>
      <c r="K50"/>
      <c r="L50"/>
      <c r="M50"/>
      <c r="N50"/>
      <c r="O50"/>
      <c r="P50"/>
      <c r="Q50"/>
    </row>
    <row r="51" spans="3:17">
      <c r="C51" s="11"/>
      <c r="D51" s="11"/>
      <c r="E51" s="11"/>
      <c r="F51" s="11"/>
      <c r="G51" s="11"/>
      <c r="H51" s="11"/>
      <c r="I51" s="11"/>
      <c r="K51"/>
      <c r="L51"/>
      <c r="M51"/>
      <c r="N51"/>
      <c r="O51"/>
      <c r="P51"/>
      <c r="Q51"/>
    </row>
    <row r="52" spans="3:17">
      <c r="C52" s="11"/>
      <c r="D52" s="11"/>
      <c r="E52" s="11"/>
      <c r="F52" s="11"/>
      <c r="G52" s="11"/>
      <c r="H52" s="11"/>
      <c r="I52" s="11"/>
      <c r="K52"/>
      <c r="L52"/>
      <c r="M52"/>
      <c r="N52"/>
      <c r="O52"/>
      <c r="P52"/>
      <c r="Q52"/>
    </row>
    <row r="53" spans="3:17">
      <c r="C53" s="11"/>
      <c r="D53" s="11"/>
      <c r="E53" s="11"/>
      <c r="F53" s="11"/>
      <c r="G53" s="11"/>
      <c r="H53" s="11"/>
      <c r="I53" s="11"/>
      <c r="K53"/>
      <c r="L53"/>
      <c r="M53"/>
      <c r="N53"/>
      <c r="O53"/>
      <c r="P53"/>
      <c r="Q53"/>
    </row>
    <row r="54" spans="3:17">
      <c r="C54" s="11"/>
      <c r="D54" s="11"/>
      <c r="E54" s="11"/>
      <c r="F54" s="11"/>
      <c r="G54" s="11"/>
      <c r="H54" s="11"/>
      <c r="I54" s="11"/>
      <c r="K54"/>
      <c r="L54"/>
      <c r="M54"/>
      <c r="N54"/>
      <c r="O54"/>
      <c r="P54"/>
      <c r="Q54"/>
    </row>
    <row r="55" spans="3:17">
      <c r="C55" s="11"/>
      <c r="D55" s="11"/>
      <c r="E55" s="11"/>
      <c r="F55" s="11"/>
      <c r="G55" s="11"/>
      <c r="H55" s="11"/>
      <c r="I55" s="11"/>
      <c r="K55"/>
      <c r="L55"/>
      <c r="M55"/>
      <c r="N55"/>
      <c r="O55"/>
      <c r="P55"/>
      <c r="Q55"/>
    </row>
  </sheetData>
  <mergeCells count="13">
    <mergeCell ref="B1:N1"/>
    <mergeCell ref="J2:Q2"/>
    <mergeCell ref="K3:M3"/>
    <mergeCell ref="N3:O3"/>
    <mergeCell ref="P3:Q3"/>
    <mergeCell ref="F16:G16"/>
    <mergeCell ref="K16:L16"/>
    <mergeCell ref="B19:C19"/>
    <mergeCell ref="I19:J19"/>
    <mergeCell ref="O19:P19"/>
    <mergeCell ref="L24:M24"/>
    <mergeCell ref="E25:F25"/>
    <mergeCell ref="A2:H11"/>
  </mergeCells>
  <conditionalFormatting sqref="P3">
    <cfRule type="cellIs" dxfId="2" priority="87" operator="equal">
      <formula>0</formula>
    </cfRule>
    <cfRule type="cellIs" dxfId="1" priority="88" operator="equal">
      <formula>0</formula>
    </cfRule>
  </conditionalFormatting>
  <conditionalFormatting sqref="R5">
    <cfRule type="containsText" dxfId="3" priority="76" operator="between" text="p">
      <formula>NOT(ISERROR(SEARCH("p",R5)))</formula>
    </cfRule>
    <cfRule type="containsText" dxfId="4" priority="77" operator="between" text="p">
      <formula>NOT(ISERROR(SEARCH("p",R5)))</formula>
    </cfRule>
  </conditionalFormatting>
  <conditionalFormatting sqref="R12">
    <cfRule type="containsText" dxfId="3" priority="66" operator="between" text="p">
      <formula>NOT(ISERROR(SEARCH("p",R12)))</formula>
    </cfRule>
    <cfRule type="containsText" dxfId="4" priority="67" operator="between" text="p">
      <formula>NOT(ISERROR(SEARCH("p",R12)))</formula>
    </cfRule>
  </conditionalFormatting>
  <conditionalFormatting sqref="R7:R8">
    <cfRule type="containsText" dxfId="3" priority="70" operator="between" text="p">
      <formula>NOT(ISERROR(SEARCH("p",R7)))</formula>
    </cfRule>
    <cfRule type="containsText" dxfId="4" priority="71" operator="between" text="p">
      <formula>NOT(ISERROR(SEARCH("p",R7)))</formula>
    </cfRule>
  </conditionalFormatting>
  <conditionalFormatting sqref="K5:Q11">
    <cfRule type="cellIs" dxfId="2" priority="86" operator="equal">
      <formula>0</formula>
    </cfRule>
  </conditionalFormatting>
  <conditionalFormatting sqref="T15:Z16">
    <cfRule type="containsText" dxfId="3" priority="83" operator="between" text="p">
      <formula>NOT(ISERROR(SEARCH("p",T15)))</formula>
    </cfRule>
    <cfRule type="containsText" dxfId="4" priority="84" operator="between" text="p">
      <formula>NOT(ISERROR(SEARCH("p",T15)))</formula>
    </cfRule>
  </conditionalFormatting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33"/>
  <sheetViews>
    <sheetView workbookViewId="0">
      <selection activeCell="M18" sqref="M18"/>
    </sheetView>
  </sheetViews>
  <sheetFormatPr defaultColWidth="9" defaultRowHeight="17.5"/>
  <cols>
    <col min="1" max="1" width="8.66666666666667" style="59"/>
    <col min="2" max="2" width="13.5" style="59" customWidth="1"/>
    <col min="3" max="5" width="8.66666666666667" style="59"/>
    <col min="6" max="6" width="11.8333333333333" style="59" customWidth="1"/>
    <col min="7" max="7" width="8.66666666666667" style="59"/>
    <col min="8" max="8" width="14.5833333333333" style="59" customWidth="1"/>
    <col min="9" max="9" width="4.16666666666667" style="59" customWidth="1"/>
    <col min="10" max="10" width="11.0833333333333" style="59" customWidth="1"/>
    <col min="11" max="15" width="8.66666666666667" style="59"/>
    <col min="16" max="16" width="11.3333333333333" style="59" customWidth="1"/>
    <col min="17" max="17" width="10.5" style="59" customWidth="1"/>
    <col min="18" max="18" width="9.91666666666667" style="59" customWidth="1"/>
    <col min="19" max="27" width="8.66666666666667" style="59"/>
  </cols>
  <sheetData>
    <row r="2" spans="1:12">
      <c r="A2" s="59" t="s">
        <v>1</v>
      </c>
      <c r="B2" s="123" t="str">
        <f>试题选择!E3</f>
        <v>翁宇豪</v>
      </c>
      <c r="C2" s="123"/>
      <c r="D2" s="123"/>
      <c r="E2" s="59" t="s">
        <v>0</v>
      </c>
      <c r="F2" s="124">
        <f>试题选择!C3</f>
        <v>40130</v>
      </c>
      <c r="G2" s="124"/>
      <c r="H2" s="124"/>
      <c r="I2" s="131"/>
      <c r="J2" s="131"/>
      <c r="K2" s="131"/>
      <c r="L2" s="131"/>
    </row>
    <row r="4" ht="35" customHeight="1" spans="2:27">
      <c r="B4" s="125" t="s">
        <v>70</v>
      </c>
      <c r="C4" s="125"/>
      <c r="D4" s="125"/>
      <c r="E4" s="125"/>
      <c r="F4" s="125"/>
      <c r="G4" s="125"/>
      <c r="H4" s="125"/>
      <c r="J4" s="129" t="s">
        <v>71</v>
      </c>
      <c r="K4" s="129"/>
      <c r="L4" s="129"/>
      <c r="M4" s="129"/>
      <c r="N4" s="129"/>
      <c r="O4" s="129"/>
      <c r="P4" s="129"/>
      <c r="Q4" s="129"/>
      <c r="AA4"/>
    </row>
    <row r="6" ht="43.5" customHeight="1" spans="2:17">
      <c r="B6" s="126" t="s">
        <v>72</v>
      </c>
      <c r="C6" s="127">
        <v>1</v>
      </c>
      <c r="D6" s="127">
        <v>2</v>
      </c>
      <c r="E6" s="127">
        <v>3</v>
      </c>
      <c r="F6" s="127">
        <v>4</v>
      </c>
      <c r="G6" s="127">
        <v>5</v>
      </c>
      <c r="H6" s="127" t="s">
        <v>73</v>
      </c>
      <c r="J6" s="126" t="s">
        <v>72</v>
      </c>
      <c r="K6" s="127">
        <v>1</v>
      </c>
      <c r="L6" s="127">
        <v>2</v>
      </c>
      <c r="M6" s="127">
        <v>3</v>
      </c>
      <c r="N6" s="127">
        <v>4</v>
      </c>
      <c r="O6" s="127">
        <v>5</v>
      </c>
      <c r="P6" s="127" t="s">
        <v>74</v>
      </c>
      <c r="Q6" s="114" t="s">
        <v>75</v>
      </c>
    </row>
    <row r="7" ht="22" customHeight="1" spans="2:17">
      <c r="B7" s="127">
        <v>1</v>
      </c>
      <c r="C7" s="114">
        <f>IF(MOD(F2,3)=0,16,IF(MOD(F2,3)=1,18,20))</f>
        <v>20</v>
      </c>
      <c r="D7" s="114">
        <v>2</v>
      </c>
      <c r="E7" s="114">
        <v>3</v>
      </c>
      <c r="F7" s="114">
        <f>(6-MOD(F2,3))*2</f>
        <v>8</v>
      </c>
      <c r="G7" s="114">
        <v>9</v>
      </c>
      <c r="H7" s="114">
        <f>IF(MOD(F2,5)&lt;3,30,25)</f>
        <v>30</v>
      </c>
      <c r="J7" s="127">
        <v>1</v>
      </c>
      <c r="K7" s="114"/>
      <c r="L7" s="114"/>
      <c r="M7" s="114"/>
      <c r="N7" s="114"/>
      <c r="O7" s="114"/>
      <c r="P7" s="114"/>
      <c r="Q7" s="114">
        <f>H7</f>
        <v>30</v>
      </c>
    </row>
    <row r="8" ht="22" customHeight="1" spans="2:17">
      <c r="B8" s="127">
        <v>2</v>
      </c>
      <c r="C8" s="114">
        <v>5</v>
      </c>
      <c r="D8" s="114">
        <v>10</v>
      </c>
      <c r="E8" s="114">
        <f>IF(MOD(F2,9)&lt;5,(MOD(F2,9)+5)*2,MOD(F2,9)*2)</f>
        <v>16</v>
      </c>
      <c r="F8" s="114">
        <v>2</v>
      </c>
      <c r="G8" s="114">
        <v>4</v>
      </c>
      <c r="H8" s="114">
        <f>MOD(F2,3)*5+30</f>
        <v>40</v>
      </c>
      <c r="J8" s="127">
        <v>2</v>
      </c>
      <c r="K8" s="114"/>
      <c r="L8" s="114"/>
      <c r="M8" s="114"/>
      <c r="N8" s="114"/>
      <c r="O8" s="114"/>
      <c r="P8" s="114"/>
      <c r="Q8" s="114">
        <f t="shared" ref="Q8:Q10" si="0">H8</f>
        <v>40</v>
      </c>
    </row>
    <row r="9" ht="22" customHeight="1" spans="2:17">
      <c r="B9" s="127">
        <v>3</v>
      </c>
      <c r="C9" s="114">
        <f>(MOD(F2,2)+5)*3</f>
        <v>15</v>
      </c>
      <c r="D9" s="114">
        <v>5</v>
      </c>
      <c r="E9" s="114">
        <f>IF(MOD(F2,9)&lt;3,(MOD(F2,9)+6)*2,IF(MOD(F2,9)&lt;6,(MOD(F2,9)+3)*2,MOD(F2,9)*2))</f>
        <v>16</v>
      </c>
      <c r="F9" s="114">
        <v>7</v>
      </c>
      <c r="G9" s="114">
        <f>IF(MOD(F2,7)&lt;4,14,15)</f>
        <v>15</v>
      </c>
      <c r="H9" s="114">
        <v>20</v>
      </c>
      <c r="J9" s="127">
        <v>3</v>
      </c>
      <c r="K9" s="114"/>
      <c r="L9" s="114"/>
      <c r="M9" s="114"/>
      <c r="N9" s="114"/>
      <c r="O9" s="114"/>
      <c r="P9" s="114"/>
      <c r="Q9" s="114">
        <f t="shared" si="0"/>
        <v>20</v>
      </c>
    </row>
    <row r="10" ht="22" customHeight="1" spans="2:17">
      <c r="B10" s="127">
        <v>4</v>
      </c>
      <c r="C10" s="114">
        <f>IF(MOD(F2,13)&lt;5,18,IF(MOD(F2,13)&lt;9,22,25))</f>
        <v>25</v>
      </c>
      <c r="D10" s="114">
        <v>15</v>
      </c>
      <c r="E10" s="114">
        <v>13</v>
      </c>
      <c r="F10" s="128">
        <v>1000</v>
      </c>
      <c r="G10" s="114">
        <v>8</v>
      </c>
      <c r="H10" s="114">
        <f>IF(MOD(F2,7)&lt;4,MOD(F2,7)*5+20,MOD(F2,7)*5)</f>
        <v>30</v>
      </c>
      <c r="J10" s="127">
        <v>4</v>
      </c>
      <c r="K10" s="114"/>
      <c r="L10" s="114"/>
      <c r="M10" s="114"/>
      <c r="N10" s="114"/>
      <c r="O10" s="114"/>
      <c r="P10" s="114"/>
      <c r="Q10" s="114">
        <f t="shared" si="0"/>
        <v>30</v>
      </c>
    </row>
    <row r="11" ht="30.5" customHeight="1" spans="2:17">
      <c r="B11" s="127" t="s">
        <v>76</v>
      </c>
      <c r="C11" s="114">
        <f>IF(MOD(F2,6)&lt;3,(MOD(F2,6)+1)*5+15,MOD(F2,6)*5)</f>
        <v>30</v>
      </c>
      <c r="D11" s="114">
        <f>H11-G11-F11-E11-C11</f>
        <v>25</v>
      </c>
      <c r="E11" s="114">
        <f>IF(MOD(F2,3)=0,30,25)</f>
        <v>25</v>
      </c>
      <c r="F11" s="114">
        <f>IF(MOD(F2,7)&lt;4,20,25)</f>
        <v>25</v>
      </c>
      <c r="G11" s="114">
        <v>15</v>
      </c>
      <c r="H11" s="114">
        <f>SUM(H7:H10)</f>
        <v>120</v>
      </c>
      <c r="J11" s="127" t="s">
        <v>77</v>
      </c>
      <c r="K11" s="114"/>
      <c r="L11" s="114"/>
      <c r="M11" s="114"/>
      <c r="N11" s="114"/>
      <c r="O11" s="114"/>
      <c r="P11" s="132"/>
      <c r="Q11" s="135"/>
    </row>
    <row r="12" ht="29.5" customHeight="1" spans="10:17">
      <c r="J12" s="114" t="s">
        <v>75</v>
      </c>
      <c r="K12" s="114">
        <f>C11</f>
        <v>30</v>
      </c>
      <c r="L12" s="114">
        <f t="shared" ref="L12:O12" si="1">D11</f>
        <v>25</v>
      </c>
      <c r="M12" s="114">
        <f t="shared" si="1"/>
        <v>25</v>
      </c>
      <c r="N12" s="114">
        <f t="shared" si="1"/>
        <v>25</v>
      </c>
      <c r="O12" s="114">
        <f t="shared" si="1"/>
        <v>15</v>
      </c>
      <c r="P12" s="133"/>
      <c r="Q12" s="136"/>
    </row>
    <row r="13" ht="39" customHeight="1" spans="2:17">
      <c r="B13" s="129" t="s">
        <v>78</v>
      </c>
      <c r="C13" s="129"/>
      <c r="D13" s="129"/>
      <c r="E13" s="129"/>
      <c r="F13" s="129"/>
      <c r="G13" s="129"/>
      <c r="H13" s="129"/>
      <c r="J13" s="134"/>
      <c r="K13" s="134"/>
      <c r="L13" s="134"/>
      <c r="M13" s="134"/>
      <c r="N13" s="134"/>
      <c r="O13" s="134"/>
      <c r="P13" s="134"/>
      <c r="Q13" s="134"/>
    </row>
    <row r="14" ht="39" customHeight="1" spans="2:27">
      <c r="B14" s="126" t="s">
        <v>72</v>
      </c>
      <c r="C14" s="127">
        <v>1</v>
      </c>
      <c r="D14" s="127">
        <v>2</v>
      </c>
      <c r="E14" s="127">
        <v>3</v>
      </c>
      <c r="F14" s="127">
        <v>4</v>
      </c>
      <c r="G14" s="127">
        <v>5</v>
      </c>
      <c r="H14" s="127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ht="21.5" customHeight="1" spans="2:27">
      <c r="B15" s="127">
        <v>1</v>
      </c>
      <c r="C15" s="114"/>
      <c r="D15" s="114"/>
      <c r="E15" s="114"/>
      <c r="F15" s="114"/>
      <c r="G15" s="114"/>
      <c r="H15" s="130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ht="21.5" customHeight="1" spans="2:27">
      <c r="B16" s="127">
        <v>2</v>
      </c>
      <c r="C16" s="114"/>
      <c r="D16" s="114"/>
      <c r="E16" s="114"/>
      <c r="F16" s="114"/>
      <c r="G16" s="114"/>
      <c r="H16" s="130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ht="21.5" customHeight="1" spans="2:27">
      <c r="B17" s="127">
        <v>3</v>
      </c>
      <c r="C17" s="114"/>
      <c r="D17" s="114"/>
      <c r="E17" s="114"/>
      <c r="F17" s="114"/>
      <c r="G17" s="114"/>
      <c r="H17" s="130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ht="21.5" customHeight="1" spans="2:27">
      <c r="B18" s="127">
        <v>4</v>
      </c>
      <c r="C18" s="114"/>
      <c r="D18" s="114"/>
      <c r="E18" s="114"/>
      <c r="F18" s="114"/>
      <c r="G18" s="114"/>
      <c r="H18" s="130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ht="21.5" customHeight="1" spans="2:27">
      <c r="B19" s="127" t="s">
        <v>79</v>
      </c>
      <c r="C19" s="130"/>
      <c r="D19" s="130"/>
      <c r="E19" s="130"/>
      <c r="F19" s="130"/>
      <c r="G19" s="130"/>
      <c r="H19" s="130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ht="20.5" customHeight="1" spans="13:27"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ht="36.5" customHeight="1" spans="13:27"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ht="27" customHeight="1" spans="13:27"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ht="27" customHeight="1" spans="13:27"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ht="27" customHeight="1" spans="13:27"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ht="27" customHeight="1" spans="13:27"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ht="27" customHeight="1" spans="13:27"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3:27"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9" ht="24" customHeight="1"/>
    <row r="30" ht="24" customHeight="1"/>
    <row r="31" ht="24" customHeight="1"/>
    <row r="32" ht="24" customHeight="1"/>
    <row r="33" ht="24" customHeight="1"/>
  </sheetData>
  <mergeCells count="6">
    <mergeCell ref="B2:D2"/>
    <mergeCell ref="F2:H2"/>
    <mergeCell ref="B4:H4"/>
    <mergeCell ref="J4:Q4"/>
    <mergeCell ref="B13:H13"/>
    <mergeCell ref="P11:Q12"/>
  </mergeCells>
  <conditionalFormatting sqref="B2:D2">
    <cfRule type="cellIs" dxfId="5" priority="21" operator="equal">
      <formula>0</formula>
    </cfRule>
  </conditionalFormatting>
  <conditionalFormatting sqref="F2:H2">
    <cfRule type="cellIs" dxfId="5" priority="20" operator="equal">
      <formula>0</formula>
    </cfRule>
  </conditionalFormatting>
  <conditionalFormatting sqref="K7:O10">
    <cfRule type="cellIs" dxfId="1" priority="19" operator="equal">
      <formula>0</formula>
    </cfRule>
  </conditionalFormatting>
  <conditionalFormatting sqref="C15:G18">
    <cfRule type="cellIs" dxfId="0" priority="12" operator="equal">
      <formula>0</formula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opLeftCell="A3" workbookViewId="0">
      <selection activeCell="R13" sqref="R13"/>
    </sheetView>
  </sheetViews>
  <sheetFormatPr defaultColWidth="9" defaultRowHeight="21"/>
  <cols>
    <col min="1" max="1" width="3.5" style="59" customWidth="1"/>
    <col min="2" max="2" width="12.6666666666667" style="60" customWidth="1"/>
    <col min="3" max="8" width="8.91666666666667" style="60" customWidth="1"/>
    <col min="9" max="9" width="11.6666666666667" style="60" customWidth="1"/>
    <col min="10" max="10" width="13.0833333333333" style="60" customWidth="1"/>
    <col min="11" max="11" width="9.91666666666667" style="60" customWidth="1"/>
    <col min="12" max="16" width="10.3333333333333" style="59" customWidth="1"/>
    <col min="17" max="17" width="16.25" style="59" customWidth="1"/>
    <col min="18" max="19" width="8.66666666666667" style="59"/>
  </cols>
  <sheetData>
    <row r="1" customHeight="1" spans="10:21">
      <c r="J1" s="63" t="s">
        <v>80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2:21">
      <c r="B2" s="59" t="s">
        <v>1</v>
      </c>
      <c r="C2" s="61" t="str">
        <f>试题选择!E3</f>
        <v>翁宇豪</v>
      </c>
      <c r="D2" s="61"/>
      <c r="E2" s="60" t="s">
        <v>0</v>
      </c>
      <c r="F2" s="62">
        <f>试题选择!C3</f>
        <v>40130</v>
      </c>
      <c r="G2" s="62"/>
      <c r="H2" s="62"/>
      <c r="I2" s="7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customHeight="1" spans="10:21"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ht="42.5" customHeight="1" spans="2:9">
      <c r="B4" s="63" t="s">
        <v>81</v>
      </c>
      <c r="C4" s="63"/>
      <c r="D4" s="63"/>
      <c r="E4" s="63"/>
      <c r="F4" s="63"/>
      <c r="G4" s="63"/>
      <c r="H4" s="63"/>
      <c r="I4" s="75"/>
    </row>
    <row r="5" ht="25.5" customHeight="1" spans="2:8">
      <c r="B5" s="60" t="s">
        <v>82</v>
      </c>
      <c r="C5" s="82"/>
      <c r="D5" s="82"/>
      <c r="E5" s="82"/>
      <c r="F5" s="82"/>
      <c r="G5" s="82"/>
      <c r="H5" s="82"/>
    </row>
    <row r="6" ht="25" customHeight="1" spans="2:8">
      <c r="B6" s="64" t="s">
        <v>83</v>
      </c>
      <c r="C6" s="110" t="s">
        <v>84</v>
      </c>
      <c r="D6" s="111" t="s">
        <v>85</v>
      </c>
      <c r="E6" s="111" t="s">
        <v>86</v>
      </c>
      <c r="F6" s="111" t="s">
        <v>87</v>
      </c>
      <c r="G6" s="111" t="s">
        <v>88</v>
      </c>
      <c r="H6" s="112" t="s">
        <v>89</v>
      </c>
    </row>
    <row r="7" ht="26.5" customHeight="1" spans="2:8">
      <c r="B7" s="110" t="s">
        <v>84</v>
      </c>
      <c r="C7" s="113">
        <v>0</v>
      </c>
      <c r="D7" s="114">
        <f>IF(MOD(F2,3)=0,15,IF(MOD(F2,3)=1,10,18))</f>
        <v>18</v>
      </c>
      <c r="E7" s="114">
        <f>IF(MOD(F2,7)&lt;3,0,IF(MOD(F2,7)&lt;6,7,4))</f>
        <v>4</v>
      </c>
      <c r="F7" s="114">
        <f>IF(E7=0,11,MOD(F2,3)*4)</f>
        <v>8</v>
      </c>
      <c r="G7" s="114">
        <f>IF(MOD(F2,5)&lt;3,0,IF(MOD(F2,5)&lt;4,8,13))</f>
        <v>0</v>
      </c>
      <c r="H7" s="66">
        <f>IF(G7+F7+E7=0,8,IF(E7*F7*G7&gt;0,0,MOD(F2,4)*2))</f>
        <v>4</v>
      </c>
    </row>
    <row r="8" ht="26.5" customHeight="1" spans="2:8">
      <c r="B8" s="110" t="s">
        <v>85</v>
      </c>
      <c r="C8" s="115">
        <f>D7</f>
        <v>18</v>
      </c>
      <c r="D8" s="116">
        <v>0</v>
      </c>
      <c r="E8" s="114">
        <f>IF(MOD(F2,9)&lt;5,(MOD(F2,9)+5)*2,MOD(F2,9)*2)</f>
        <v>16</v>
      </c>
      <c r="F8" s="114">
        <f>IF(E7*F7*G7&gt;0,0,7)</f>
        <v>7</v>
      </c>
      <c r="G8" s="114">
        <f>ROUND(1/SUM(E7:G7)*100,0)</f>
        <v>8</v>
      </c>
      <c r="H8" s="66">
        <f>IF(E8*G8*F8&gt;0,0,9)</f>
        <v>0</v>
      </c>
    </row>
    <row r="9" ht="26.5" customHeight="1" spans="2:19">
      <c r="B9" s="110" t="s">
        <v>86</v>
      </c>
      <c r="C9" s="115">
        <f>E7</f>
        <v>4</v>
      </c>
      <c r="D9" s="114">
        <f>E8</f>
        <v>16</v>
      </c>
      <c r="E9" s="116">
        <v>0</v>
      </c>
      <c r="F9" s="114">
        <f>IF(F7+F8=0,6,IF(F7*F8&gt;0,0,9))</f>
        <v>0</v>
      </c>
      <c r="G9" s="114">
        <f>IF(MOD(F2,7)&lt;4,14,15)</f>
        <v>15</v>
      </c>
      <c r="H9" s="66">
        <f>IF(H7+H8=0,8,IF(H7*H8&gt;0,0,MOD(F2,4)*2))</f>
        <v>4</v>
      </c>
      <c r="J9" s="59"/>
      <c r="K9" s="59"/>
      <c r="O9"/>
      <c r="P9"/>
      <c r="Q9"/>
      <c r="R9"/>
      <c r="S9"/>
    </row>
    <row r="10" s="60" customFormat="1" ht="26.5" customHeight="1" spans="1:19">
      <c r="A10" s="59"/>
      <c r="B10" s="110" t="s">
        <v>87</v>
      </c>
      <c r="C10" s="115">
        <f>F7</f>
        <v>8</v>
      </c>
      <c r="D10" s="114">
        <f>F8</f>
        <v>7</v>
      </c>
      <c r="E10" s="114">
        <f>F9</f>
        <v>0</v>
      </c>
      <c r="F10" s="116">
        <v>0</v>
      </c>
      <c r="G10" s="114">
        <f>IF(G7*G8*G9&gt;0,0,MOD(F2,3)*4)</f>
        <v>8</v>
      </c>
      <c r="H10" s="66">
        <f>IF(MOD(F2,7)&lt;5,9,MOD(F2,7)*2)</f>
        <v>12</v>
      </c>
      <c r="S10" s="59"/>
    </row>
    <row r="11" s="60" customFormat="1" ht="26.5" customHeight="1" spans="1:21">
      <c r="A11" s="59"/>
      <c r="B11" s="110" t="s">
        <v>88</v>
      </c>
      <c r="C11" s="115">
        <f>G7</f>
        <v>0</v>
      </c>
      <c r="D11" s="114">
        <f>G8</f>
        <v>8</v>
      </c>
      <c r="E11" s="114">
        <f>G9</f>
        <v>15</v>
      </c>
      <c r="F11" s="114">
        <f>G10</f>
        <v>8</v>
      </c>
      <c r="G11" s="116">
        <v>0</v>
      </c>
      <c r="H11" s="66">
        <f>IF(MOD(F2,11)&lt;3,0,IF(MOD(F2,11)&lt;7,8,11))</f>
        <v>0</v>
      </c>
      <c r="J11" s="63" t="s">
        <v>90</v>
      </c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</row>
    <row r="12" s="60" customFormat="1" ht="26.5" customHeight="1" spans="1:21">
      <c r="A12" s="59"/>
      <c r="B12" s="110" t="s">
        <v>89</v>
      </c>
      <c r="C12" s="64">
        <f>H7</f>
        <v>4</v>
      </c>
      <c r="D12" s="65">
        <f>H8</f>
        <v>0</v>
      </c>
      <c r="E12" s="66">
        <f>H9</f>
        <v>4</v>
      </c>
      <c r="F12" s="65">
        <f>H10</f>
        <v>12</v>
      </c>
      <c r="G12" s="65">
        <f>H11</f>
        <v>0</v>
      </c>
      <c r="H12" s="117">
        <v>0</v>
      </c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3" s="60" customFormat="1" spans="1:19">
      <c r="A13" s="59"/>
      <c r="B13" s="60" t="s">
        <v>91</v>
      </c>
      <c r="C13" s="82"/>
      <c r="D13" s="82"/>
      <c r="E13" s="82"/>
      <c r="F13" s="82"/>
      <c r="G13" s="82"/>
      <c r="H13" s="82"/>
      <c r="J13" s="60" t="s">
        <v>92</v>
      </c>
      <c r="K13" s="82"/>
      <c r="L13" s="82"/>
      <c r="M13" s="82"/>
      <c r="N13" s="82"/>
      <c r="O13" s="82"/>
      <c r="P13" s="82"/>
      <c r="Q13" s="59"/>
      <c r="R13" s="59"/>
      <c r="S13" s="59"/>
    </row>
    <row r="14" s="60" customFormat="1" ht="34.5" customHeight="1" spans="1:19">
      <c r="A14" s="59"/>
      <c r="B14" s="64" t="s">
        <v>83</v>
      </c>
      <c r="C14" s="110" t="s">
        <v>84</v>
      </c>
      <c r="D14" s="111" t="s">
        <v>85</v>
      </c>
      <c r="E14" s="111" t="s">
        <v>86</v>
      </c>
      <c r="F14" s="111" t="s">
        <v>87</v>
      </c>
      <c r="G14" s="111" t="s">
        <v>88</v>
      </c>
      <c r="H14" s="112" t="s">
        <v>89</v>
      </c>
      <c r="J14" s="120" t="s">
        <v>93</v>
      </c>
      <c r="K14" s="110" t="s">
        <v>84</v>
      </c>
      <c r="L14" s="111" t="s">
        <v>85</v>
      </c>
      <c r="M14" s="111" t="s">
        <v>86</v>
      </c>
      <c r="N14" s="111" t="s">
        <v>87</v>
      </c>
      <c r="O14" s="111" t="s">
        <v>88</v>
      </c>
      <c r="P14" s="112" t="s">
        <v>89</v>
      </c>
      <c r="Q14" s="59"/>
      <c r="R14" s="59"/>
      <c r="S14" s="59"/>
    </row>
    <row r="15" ht="28" spans="2:17">
      <c r="B15" s="110" t="s">
        <v>84</v>
      </c>
      <c r="C15" s="113">
        <f>IF(C7=0,0,ROUND(1/C7*100,0))</f>
        <v>0</v>
      </c>
      <c r="D15" s="115">
        <f t="shared" ref="D15:H15" si="0">IF(D7=0,0,ROUND(1/D7*100,0))</f>
        <v>6</v>
      </c>
      <c r="E15" s="115">
        <f t="shared" si="0"/>
        <v>25</v>
      </c>
      <c r="F15" s="115">
        <f t="shared" si="0"/>
        <v>13</v>
      </c>
      <c r="G15" s="115">
        <f t="shared" si="0"/>
        <v>0</v>
      </c>
      <c r="H15" s="118">
        <f t="shared" si="0"/>
        <v>25</v>
      </c>
      <c r="J15" s="110" t="s">
        <v>84</v>
      </c>
      <c r="K15" s="113">
        <v>12</v>
      </c>
      <c r="L15" s="115"/>
      <c r="M15" s="115"/>
      <c r="N15" s="115"/>
      <c r="O15" s="115"/>
      <c r="P15" s="115"/>
      <c r="Q15" s="59" t="s">
        <v>94</v>
      </c>
    </row>
    <row r="16" ht="28" spans="2:17">
      <c r="B16" s="110" t="s">
        <v>85</v>
      </c>
      <c r="C16" s="115">
        <f t="shared" ref="C16:H16" si="1">IF(C8=0,0,ROUND(1/C8*100,0))</f>
        <v>6</v>
      </c>
      <c r="D16" s="113">
        <f t="shared" si="1"/>
        <v>0</v>
      </c>
      <c r="E16" s="115">
        <f t="shared" si="1"/>
        <v>6</v>
      </c>
      <c r="F16" s="115">
        <f t="shared" si="1"/>
        <v>14</v>
      </c>
      <c r="G16" s="115">
        <f t="shared" si="1"/>
        <v>13</v>
      </c>
      <c r="H16" s="118">
        <f t="shared" si="1"/>
        <v>0</v>
      </c>
      <c r="J16" s="110" t="s">
        <v>85</v>
      </c>
      <c r="K16" s="115"/>
      <c r="L16" s="113">
        <v>6</v>
      </c>
      <c r="M16" s="115"/>
      <c r="N16" s="115"/>
      <c r="O16" s="115"/>
      <c r="P16" s="115"/>
      <c r="Q16" s="121">
        <f>SUM(K15:P20)</f>
        <v>31</v>
      </c>
    </row>
    <row r="17" ht="28" spans="2:16">
      <c r="B17" s="110" t="s">
        <v>86</v>
      </c>
      <c r="C17" s="115">
        <f t="shared" ref="C17:H17" si="2">IF(C9=0,0,ROUND(1/C9*100,0))</f>
        <v>25</v>
      </c>
      <c r="D17" s="115">
        <f t="shared" si="2"/>
        <v>6</v>
      </c>
      <c r="E17" s="113">
        <f t="shared" si="2"/>
        <v>0</v>
      </c>
      <c r="F17" s="115">
        <f t="shared" si="2"/>
        <v>0</v>
      </c>
      <c r="G17" s="115">
        <f t="shared" si="2"/>
        <v>7</v>
      </c>
      <c r="H17" s="118">
        <f t="shared" si="2"/>
        <v>25</v>
      </c>
      <c r="J17" s="110" t="s">
        <v>86</v>
      </c>
      <c r="K17" s="115"/>
      <c r="L17" s="115"/>
      <c r="M17" s="113">
        <v>8</v>
      </c>
      <c r="N17" s="115"/>
      <c r="O17" s="115"/>
      <c r="P17" s="115"/>
    </row>
    <row r="18" ht="28" spans="2:17">
      <c r="B18" s="110" t="s">
        <v>87</v>
      </c>
      <c r="C18" s="115">
        <f t="shared" ref="C18:H18" si="3">IF(C10=0,0,ROUND(1/C10*100,0))</f>
        <v>13</v>
      </c>
      <c r="D18" s="115">
        <f t="shared" si="3"/>
        <v>14</v>
      </c>
      <c r="E18" s="115">
        <f t="shared" si="3"/>
        <v>0</v>
      </c>
      <c r="F18" s="113">
        <f t="shared" si="3"/>
        <v>0</v>
      </c>
      <c r="G18" s="115">
        <f t="shared" si="3"/>
        <v>13</v>
      </c>
      <c r="H18" s="118">
        <f t="shared" si="3"/>
        <v>8</v>
      </c>
      <c r="J18" s="110" t="s">
        <v>87</v>
      </c>
      <c r="K18" s="115"/>
      <c r="L18" s="115"/>
      <c r="M18" s="115"/>
      <c r="N18" s="113">
        <v>4</v>
      </c>
      <c r="O18" s="115"/>
      <c r="P18" s="115"/>
      <c r="Q18" s="122" t="s">
        <v>95</v>
      </c>
    </row>
    <row r="19" ht="28" spans="2:17">
      <c r="B19" s="110" t="s">
        <v>88</v>
      </c>
      <c r="C19" s="115">
        <f t="shared" ref="C19:H19" si="4">IF(C11=0,0,ROUND(1/C11*100,0))</f>
        <v>0</v>
      </c>
      <c r="D19" s="115">
        <f t="shared" si="4"/>
        <v>13</v>
      </c>
      <c r="E19" s="115">
        <f t="shared" si="4"/>
        <v>7</v>
      </c>
      <c r="F19" s="115">
        <f t="shared" si="4"/>
        <v>13</v>
      </c>
      <c r="G19" s="113">
        <f t="shared" si="4"/>
        <v>0</v>
      </c>
      <c r="H19" s="118">
        <f t="shared" si="4"/>
        <v>0</v>
      </c>
      <c r="J19" s="110" t="s">
        <v>88</v>
      </c>
      <c r="K19" s="115"/>
      <c r="L19" s="115"/>
      <c r="M19" s="115"/>
      <c r="N19" s="115"/>
      <c r="O19" s="113">
        <v>1</v>
      </c>
      <c r="P19" s="115"/>
      <c r="Q19" s="121">
        <f>SUMPRODUCT(C7:H12,K15:P20)</f>
        <v>0</v>
      </c>
    </row>
    <row r="20" ht="28" spans="2:16">
      <c r="B20" s="110" t="s">
        <v>89</v>
      </c>
      <c r="C20" s="115">
        <f t="shared" ref="C20:H20" si="5">IF(C12=0,0,ROUND(1/C12*100,0))</f>
        <v>25</v>
      </c>
      <c r="D20" s="115">
        <f t="shared" si="5"/>
        <v>0</v>
      </c>
      <c r="E20" s="115">
        <f t="shared" si="5"/>
        <v>25</v>
      </c>
      <c r="F20" s="115">
        <f t="shared" si="5"/>
        <v>8</v>
      </c>
      <c r="G20" s="115">
        <f t="shared" si="5"/>
        <v>0</v>
      </c>
      <c r="H20" s="119">
        <f t="shared" si="5"/>
        <v>0</v>
      </c>
      <c r="J20" s="110" t="s">
        <v>89</v>
      </c>
      <c r="K20" s="115"/>
      <c r="L20" s="115"/>
      <c r="M20" s="115"/>
      <c r="N20" s="115"/>
      <c r="O20" s="115"/>
      <c r="P20" s="113">
        <v>0</v>
      </c>
    </row>
  </sheetData>
  <mergeCells count="8">
    <mergeCell ref="C2:D2"/>
    <mergeCell ref="F2:H2"/>
    <mergeCell ref="B4:H4"/>
    <mergeCell ref="B5:H5"/>
    <mergeCell ref="B13:H13"/>
    <mergeCell ref="J13:P13"/>
    <mergeCell ref="J1:U3"/>
    <mergeCell ref="J11:U12"/>
  </mergeCells>
  <conditionalFormatting sqref="C2">
    <cfRule type="cellIs" dxfId="5" priority="6" operator="equal">
      <formula>0</formula>
    </cfRule>
  </conditionalFormatting>
  <conditionalFormatting sqref="F2 I2">
    <cfRule type="cellIs" dxfId="5" priority="5" operator="equal">
      <formula>0</formula>
    </cfRule>
  </conditionalFormatting>
  <conditionalFormatting sqref="C7:H12">
    <cfRule type="cellIs" dxfId="1" priority="3" operator="equal">
      <formula>0</formula>
    </cfRule>
  </conditionalFormatting>
  <conditionalFormatting sqref="C15:H20">
    <cfRule type="cellIs" dxfId="1" priority="2" operator="equal">
      <formula>0</formula>
    </cfRule>
  </conditionalFormatting>
  <conditionalFormatting sqref="K15:P20">
    <cfRule type="cellIs" dxfId="1" priority="1" operator="equal">
      <formula>0</formula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E31"/>
  <sheetViews>
    <sheetView workbookViewId="0">
      <selection activeCell="D22" sqref="D22:G22"/>
    </sheetView>
  </sheetViews>
  <sheetFormatPr defaultColWidth="9" defaultRowHeight="21"/>
  <cols>
    <col min="1" max="1" width="8.66666666666667" style="59"/>
    <col min="2" max="2" width="20.1666666666667" style="60" customWidth="1"/>
    <col min="3" max="4" width="10.3333333333333" style="60" customWidth="1"/>
    <col min="5" max="5" width="8.33333333333333" style="60" customWidth="1"/>
    <col min="6" max="6" width="10.3333333333333" style="60" customWidth="1"/>
    <col min="7" max="7" width="9.08333333333333" style="60" customWidth="1"/>
    <col min="8" max="8" width="10.3333333333333" style="60" customWidth="1"/>
    <col min="9" max="9" width="11.25" style="60" customWidth="1"/>
    <col min="10" max="10" width="14.25" style="60" customWidth="1"/>
    <col min="11" max="11" width="11" style="60" customWidth="1"/>
    <col min="12" max="12" width="12.0833333333333" style="60" customWidth="1"/>
    <col min="13" max="13" width="9.58333333333333" style="60" customWidth="1"/>
    <col min="14" max="14" width="12.0833333333333" style="60" customWidth="1"/>
    <col min="15" max="15" width="7.41666666666667" style="60" customWidth="1"/>
    <col min="16" max="16" width="11.9166666666667" style="60" customWidth="1"/>
    <col min="17" max="17" width="10.9166666666667" style="60" customWidth="1"/>
    <col min="18" max="18" width="11.25" style="60" customWidth="1"/>
    <col min="19" max="19" width="15.25" style="60" customWidth="1"/>
    <col min="20" max="20" width="14.75" style="60" customWidth="1"/>
    <col min="21" max="22" width="10.3333333333333" style="60" customWidth="1"/>
    <col min="23" max="28" width="10.3333333333333" style="59" customWidth="1"/>
    <col min="29" max="30" width="8.66666666666667" style="59"/>
  </cols>
  <sheetData>
    <row r="2" spans="1:15">
      <c r="A2" s="59" t="s">
        <v>1</v>
      </c>
      <c r="B2" s="61" t="str">
        <f>线性规划!B2</f>
        <v>翁宇豪</v>
      </c>
      <c r="C2" s="61"/>
      <c r="D2" s="61"/>
      <c r="E2" s="60" t="s">
        <v>0</v>
      </c>
      <c r="F2" s="62">
        <f>试题选择!C3</f>
        <v>40130</v>
      </c>
      <c r="G2" s="62"/>
      <c r="H2" s="62"/>
      <c r="I2" s="62"/>
      <c r="J2" s="73"/>
      <c r="K2" s="73"/>
      <c r="L2" s="74"/>
      <c r="M2" s="74"/>
      <c r="N2" s="74"/>
      <c r="O2" s="74"/>
    </row>
    <row r="3" spans="12:20">
      <c r="L3" s="60" t="s">
        <v>96</v>
      </c>
      <c r="N3" s="60" t="s">
        <v>97</v>
      </c>
      <c r="P3" s="60" t="s">
        <v>98</v>
      </c>
      <c r="R3" s="60" t="s">
        <v>99</v>
      </c>
      <c r="T3" s="60" t="s">
        <v>100</v>
      </c>
    </row>
    <row r="4" ht="22" customHeight="1" spans="2:10">
      <c r="B4" s="63" t="s">
        <v>101</v>
      </c>
      <c r="C4" s="63"/>
      <c r="D4" s="63"/>
      <c r="E4" s="63"/>
      <c r="F4" s="63"/>
      <c r="G4" s="63"/>
      <c r="H4" s="63"/>
      <c r="I4" s="63"/>
      <c r="J4" s="63"/>
    </row>
    <row r="5" ht="22" customHeight="1" spans="2:20">
      <c r="B5" s="63"/>
      <c r="C5" s="63"/>
      <c r="D5" s="63"/>
      <c r="E5" s="63"/>
      <c r="F5" s="63"/>
      <c r="G5" s="63"/>
      <c r="H5" s="63"/>
      <c r="I5" s="63"/>
      <c r="J5" s="63"/>
      <c r="N5" s="91">
        <f>D18</f>
        <v>0.9</v>
      </c>
      <c r="P5" s="97"/>
      <c r="S5" s="60" t="s">
        <v>102</v>
      </c>
      <c r="T5" s="97"/>
    </row>
    <row r="6" ht="22" customHeight="1" spans="2:20">
      <c r="B6" s="63"/>
      <c r="C6" s="63"/>
      <c r="D6" s="63"/>
      <c r="E6" s="63"/>
      <c r="F6" s="63"/>
      <c r="G6" s="63"/>
      <c r="H6" s="63"/>
      <c r="I6" s="63"/>
      <c r="J6" s="63"/>
      <c r="K6" s="60" t="str">
        <f>D8</f>
        <v>畅销θ1</v>
      </c>
      <c r="L6" s="60">
        <f>D9</f>
        <v>0.33</v>
      </c>
      <c r="N6" s="91">
        <f t="shared" ref="N6:N7" si="0">D19</f>
        <v>0.05</v>
      </c>
      <c r="P6" s="97"/>
      <c r="Q6" s="60" t="s">
        <v>103</v>
      </c>
      <c r="R6" s="106"/>
      <c r="S6" s="60" t="s">
        <v>104</v>
      </c>
      <c r="T6" s="97"/>
    </row>
    <row r="7" ht="22" customHeight="1" spans="2:31">
      <c r="B7" s="63"/>
      <c r="C7" s="63"/>
      <c r="D7" s="63"/>
      <c r="E7" s="63"/>
      <c r="F7" s="63"/>
      <c r="G7" s="63"/>
      <c r="H7" s="63"/>
      <c r="I7" s="63"/>
      <c r="J7" s="63"/>
      <c r="K7" s="63"/>
      <c r="N7" s="91">
        <f t="shared" si="0"/>
        <v>0.1</v>
      </c>
      <c r="P7" s="97"/>
      <c r="S7" s="60" t="s">
        <v>105</v>
      </c>
      <c r="T7" s="97"/>
      <c r="W7" s="60"/>
      <c r="AE7" s="59"/>
    </row>
    <row r="8" spans="2:31">
      <c r="B8" s="70" t="s">
        <v>106</v>
      </c>
      <c r="D8" s="85" t="s">
        <v>107</v>
      </c>
      <c r="F8" s="85" t="s">
        <v>108</v>
      </c>
      <c r="H8" s="85" t="s">
        <v>109</v>
      </c>
      <c r="W8" s="60"/>
      <c r="AE8" s="59"/>
    </row>
    <row r="9" ht="25" spans="2:31">
      <c r="B9" s="70" t="s">
        <v>96</v>
      </c>
      <c r="D9" s="60">
        <f>ROUND(IF(MOD(F2,5)&gt;2,1/(MOD(F2,5)+1),1/(MOD(F2,5)+3)),2)</f>
        <v>0.33</v>
      </c>
      <c r="F9" s="60">
        <f>ROUND(IF(MOD(F2,3)=0,0.35,IF(MOD(F2,3)=1,0.4,0.45)),2)</f>
        <v>0.45</v>
      </c>
      <c r="H9" s="60">
        <f>1-F9-D9</f>
        <v>0.22</v>
      </c>
      <c r="N9" s="91">
        <f>F18</f>
        <v>0.06</v>
      </c>
      <c r="P9" s="97"/>
      <c r="S9" s="60" t="s">
        <v>110</v>
      </c>
      <c r="T9" s="97"/>
      <c r="W9" s="60"/>
      <c r="AE9" s="59"/>
    </row>
    <row r="10" ht="25" spans="2:31">
      <c r="B10" s="70" t="s">
        <v>111</v>
      </c>
      <c r="D10" s="86">
        <f>MOD(F2,7)+78</f>
        <v>84</v>
      </c>
      <c r="F10" s="86">
        <f>MOD(F2,4)+18</f>
        <v>20</v>
      </c>
      <c r="H10" s="86">
        <f>MOD(F2,3)-7</f>
        <v>-5</v>
      </c>
      <c r="K10" s="60" t="str">
        <f>F8</f>
        <v>中等θ2</v>
      </c>
      <c r="L10" s="60">
        <f>F9</f>
        <v>0.45</v>
      </c>
      <c r="N10" s="91">
        <f t="shared" ref="N10:N11" si="1">F19</f>
        <v>0.9</v>
      </c>
      <c r="P10" s="97"/>
      <c r="Q10" s="60" t="s">
        <v>112</v>
      </c>
      <c r="R10" s="106"/>
      <c r="S10" s="60" t="s">
        <v>113</v>
      </c>
      <c r="T10" s="97"/>
      <c r="W10" s="60"/>
      <c r="AE10" s="59"/>
    </row>
    <row r="11" ht="25" spans="2:31">
      <c r="B11" s="70" t="s">
        <v>114</v>
      </c>
      <c r="D11" s="86">
        <f>MOD(F2,4)+38</f>
        <v>40</v>
      </c>
      <c r="F11" s="60">
        <f>IF(MOD(F2,7)&lt;5,MOD(F2,7)+5,MOD(F2,7))</f>
        <v>6</v>
      </c>
      <c r="H11" s="86">
        <f>MOD(F2,2)+1</f>
        <v>1</v>
      </c>
      <c r="N11" s="91">
        <f t="shared" si="1"/>
        <v>0.02</v>
      </c>
      <c r="P11" s="97"/>
      <c r="S11" s="60" t="s">
        <v>115</v>
      </c>
      <c r="T11" s="97"/>
      <c r="W11" s="60"/>
      <c r="AE11" s="59"/>
    </row>
    <row r="13" ht="25" spans="2:20">
      <c r="B13" s="63" t="s">
        <v>116</v>
      </c>
      <c r="C13" s="63"/>
      <c r="D13" s="63"/>
      <c r="E13" s="63"/>
      <c r="F13" s="63"/>
      <c r="G13" s="63"/>
      <c r="H13" s="63"/>
      <c r="I13" s="63"/>
      <c r="J13" s="63"/>
      <c r="N13" s="91">
        <f>H18</f>
        <v>0.04</v>
      </c>
      <c r="P13" s="97"/>
      <c r="S13" s="60" t="s">
        <v>117</v>
      </c>
      <c r="T13" s="97"/>
    </row>
    <row r="14" ht="25" spans="2:20">
      <c r="B14" s="63"/>
      <c r="C14" s="63"/>
      <c r="D14" s="63"/>
      <c r="E14" s="63"/>
      <c r="F14" s="63"/>
      <c r="G14" s="63"/>
      <c r="H14" s="63"/>
      <c r="I14" s="63"/>
      <c r="J14" s="63"/>
      <c r="K14" s="60" t="str">
        <f>H8</f>
        <v>滞销θ3</v>
      </c>
      <c r="L14" s="60">
        <f>H9</f>
        <v>0.22</v>
      </c>
      <c r="N14" s="91">
        <f t="shared" ref="N14:N15" si="2">H19</f>
        <v>0.0499999999999999</v>
      </c>
      <c r="P14" s="97"/>
      <c r="Q14" s="60" t="s">
        <v>118</v>
      </c>
      <c r="R14" s="106"/>
      <c r="S14" s="60" t="s">
        <v>119</v>
      </c>
      <c r="T14" s="97"/>
    </row>
    <row r="15" ht="25" spans="14:20">
      <c r="N15" s="91">
        <f t="shared" si="2"/>
        <v>0.88</v>
      </c>
      <c r="P15" s="97"/>
      <c r="S15" s="60" t="s">
        <v>120</v>
      </c>
      <c r="T15" s="97"/>
    </row>
    <row r="16" ht="28" customHeight="1" spans="2:11">
      <c r="B16" s="87" t="s">
        <v>121</v>
      </c>
      <c r="C16" s="81"/>
      <c r="D16" s="88" t="s">
        <v>107</v>
      </c>
      <c r="E16" s="81"/>
      <c r="F16" s="88" t="s">
        <v>108</v>
      </c>
      <c r="G16" s="81"/>
      <c r="H16" s="88" t="s">
        <v>109</v>
      </c>
      <c r="I16" s="81"/>
      <c r="K16" s="60" t="s">
        <v>122</v>
      </c>
    </row>
    <row r="17" ht="28" customHeight="1" spans="2:19">
      <c r="B17" s="89"/>
      <c r="C17" s="82"/>
      <c r="D17" s="82">
        <f>D9</f>
        <v>0.33</v>
      </c>
      <c r="E17" s="82"/>
      <c r="F17" s="82">
        <f>F9</f>
        <v>0.45</v>
      </c>
      <c r="G17" s="82"/>
      <c r="H17" s="82">
        <f>H9</f>
        <v>0.22</v>
      </c>
      <c r="K17" s="70" t="s">
        <v>123</v>
      </c>
      <c r="L17" s="70"/>
      <c r="M17" s="60" t="s">
        <v>124</v>
      </c>
      <c r="N17" s="98"/>
      <c r="O17" s="98"/>
      <c r="P17" s="98"/>
      <c r="Q17" s="98"/>
      <c r="R17" s="98"/>
      <c r="S17" s="105"/>
    </row>
    <row r="18" spans="2:19">
      <c r="B18" s="90" t="s">
        <v>125</v>
      </c>
      <c r="D18" s="91">
        <f>IF(MOD(F2,5)&lt;3,0.9,0.85)</f>
        <v>0.9</v>
      </c>
      <c r="F18" s="91">
        <f>IF(MOD(F2,8)&lt;6,0.06,MOD(F2,8)*0.01)</f>
        <v>0.06</v>
      </c>
      <c r="H18" s="91">
        <f>1-D18-F18</f>
        <v>0.04</v>
      </c>
      <c r="I18" s="81"/>
      <c r="M18" s="60" t="s">
        <v>126</v>
      </c>
      <c r="N18" s="80"/>
      <c r="O18" s="80"/>
      <c r="P18" s="80"/>
      <c r="Q18" s="80"/>
      <c r="R18" s="80"/>
      <c r="S18" s="107"/>
    </row>
    <row r="19" spans="2:17">
      <c r="B19" s="90" t="s">
        <v>127</v>
      </c>
      <c r="D19" s="91">
        <f>(MOD(F2,3)+3)*0.01</f>
        <v>0.05</v>
      </c>
      <c r="F19" s="91">
        <f>IF(MOD(F2,7)&lt;4,0.85,0.9)</f>
        <v>0.9</v>
      </c>
      <c r="H19" s="91">
        <f>1-D19-F19</f>
        <v>0.0499999999999999</v>
      </c>
      <c r="K19" s="70" t="s">
        <v>128</v>
      </c>
      <c r="L19" s="70"/>
      <c r="M19" s="99"/>
      <c r="N19" s="99"/>
      <c r="O19" s="99"/>
      <c r="P19" s="99"/>
      <c r="Q19" s="99"/>
    </row>
    <row r="20" spans="2:20">
      <c r="B20" s="92" t="s">
        <v>129</v>
      </c>
      <c r="C20" s="82"/>
      <c r="D20" s="93">
        <f>1-F20-H20</f>
        <v>0.1</v>
      </c>
      <c r="E20" s="82"/>
      <c r="F20" s="93">
        <f>IF(MOD(F2,7)&lt;5,(MOD(F2,7)+5)*0.01,MOD(F2,6)*0.01)</f>
        <v>0.02</v>
      </c>
      <c r="G20" s="82"/>
      <c r="H20" s="93">
        <f>IF(MOD(F2,3)=0,0.9,IF(MOD(F2,3)=1,0.85,0.88))</f>
        <v>0.88</v>
      </c>
      <c r="I20" s="82"/>
      <c r="K20" s="60" t="s">
        <v>130</v>
      </c>
      <c r="M20" s="100"/>
      <c r="N20" s="100"/>
      <c r="O20" s="100"/>
      <c r="P20" s="101"/>
      <c r="T20" s="108"/>
    </row>
    <row r="21" spans="11:20">
      <c r="K21" s="102" t="s">
        <v>131</v>
      </c>
      <c r="L21" s="102"/>
      <c r="M21" s="103"/>
      <c r="N21" s="103"/>
      <c r="O21" s="103"/>
      <c r="P21" s="103"/>
      <c r="Q21" s="103"/>
      <c r="R21" s="103"/>
      <c r="S21" s="103"/>
      <c r="T21" s="103"/>
    </row>
    <row r="22" ht="25" customHeight="1" spans="2:19">
      <c r="B22" s="94" t="s">
        <v>132</v>
      </c>
      <c r="C22" s="60" t="s">
        <v>124</v>
      </c>
      <c r="D22" s="95"/>
      <c r="E22" s="95"/>
      <c r="F22" s="95"/>
      <c r="G22" s="95"/>
      <c r="H22" s="96"/>
      <c r="I22" s="104"/>
      <c r="K22" s="70" t="s">
        <v>133</v>
      </c>
      <c r="L22" s="70"/>
      <c r="M22" s="60" t="s">
        <v>124</v>
      </c>
      <c r="N22" s="98"/>
      <c r="O22" s="98"/>
      <c r="P22" s="98"/>
      <c r="Q22" s="98"/>
      <c r="R22" s="98"/>
      <c r="S22" s="105"/>
    </row>
    <row r="23" ht="25" customHeight="1" spans="3:19">
      <c r="C23" s="60" t="s">
        <v>126</v>
      </c>
      <c r="D23" s="95"/>
      <c r="E23" s="95"/>
      <c r="F23" s="95"/>
      <c r="G23" s="95"/>
      <c r="H23" s="96"/>
      <c r="I23" s="104"/>
      <c r="M23" s="60" t="s">
        <v>126</v>
      </c>
      <c r="N23" s="80"/>
      <c r="O23" s="80"/>
      <c r="P23" s="80"/>
      <c r="Q23" s="80"/>
      <c r="R23" s="80"/>
      <c r="S23" s="107"/>
    </row>
    <row r="24" spans="11:18">
      <c r="K24" s="70" t="s">
        <v>128</v>
      </c>
      <c r="L24" s="70"/>
      <c r="M24" s="105"/>
      <c r="N24" s="105"/>
      <c r="O24" s="105"/>
      <c r="P24" s="105"/>
      <c r="Q24" s="105"/>
      <c r="R24" s="105"/>
    </row>
    <row r="25" spans="3:16">
      <c r="C25" s="70" t="s">
        <v>128</v>
      </c>
      <c r="D25" s="70"/>
      <c r="E25" s="95"/>
      <c r="F25" s="95"/>
      <c r="G25" s="95"/>
      <c r="H25" s="95"/>
      <c r="I25" s="95"/>
      <c r="J25" s="95"/>
      <c r="K25" s="60" t="s">
        <v>130</v>
      </c>
      <c r="M25" s="100"/>
      <c r="N25" s="100"/>
      <c r="O25" s="100"/>
      <c r="P25" s="101"/>
    </row>
    <row r="26" spans="11:20">
      <c r="K26" s="102" t="s">
        <v>134</v>
      </c>
      <c r="L26" s="102"/>
      <c r="M26" s="103"/>
      <c r="N26" s="103"/>
      <c r="O26" s="103"/>
      <c r="P26" s="103"/>
      <c r="Q26" s="103"/>
      <c r="R26" s="103"/>
      <c r="S26" s="103"/>
      <c r="T26" s="103"/>
    </row>
    <row r="27" spans="11:19">
      <c r="K27" s="70" t="s">
        <v>135</v>
      </c>
      <c r="L27" s="70"/>
      <c r="M27" s="60" t="s">
        <v>124</v>
      </c>
      <c r="N27" s="98"/>
      <c r="O27" s="98"/>
      <c r="P27" s="98"/>
      <c r="Q27" s="98"/>
      <c r="R27" s="98"/>
      <c r="S27" s="105"/>
    </row>
    <row r="28" spans="13:19">
      <c r="M28" s="60" t="s">
        <v>126</v>
      </c>
      <c r="N28" s="106"/>
      <c r="O28" s="106"/>
      <c r="P28" s="106"/>
      <c r="Q28" s="106"/>
      <c r="R28" s="106"/>
      <c r="S28" s="109"/>
    </row>
    <row r="29" spans="11:18">
      <c r="K29" s="70" t="s">
        <v>128</v>
      </c>
      <c r="L29" s="70"/>
      <c r="M29" s="105"/>
      <c r="N29" s="105"/>
      <c r="O29" s="105"/>
      <c r="P29" s="105"/>
      <c r="Q29" s="105"/>
      <c r="R29" s="105"/>
    </row>
    <row r="30" spans="11:16">
      <c r="K30" s="60" t="s">
        <v>130</v>
      </c>
      <c r="M30" s="100"/>
      <c r="N30" s="100"/>
      <c r="O30" s="100"/>
      <c r="P30" s="101"/>
    </row>
    <row r="31" spans="11:20">
      <c r="K31" s="102" t="s">
        <v>136</v>
      </c>
      <c r="L31" s="102"/>
      <c r="M31" s="103"/>
      <c r="N31" s="103"/>
      <c r="O31" s="103"/>
      <c r="P31" s="103"/>
      <c r="Q31" s="103"/>
      <c r="R31" s="103"/>
      <c r="S31" s="103"/>
      <c r="T31" s="103"/>
    </row>
  </sheetData>
  <mergeCells count="36">
    <mergeCell ref="B2:D2"/>
    <mergeCell ref="F2:I2"/>
    <mergeCell ref="K17:L17"/>
    <mergeCell ref="N17:R17"/>
    <mergeCell ref="N18:R18"/>
    <mergeCell ref="K19:L19"/>
    <mergeCell ref="M19:Q19"/>
    <mergeCell ref="K20:L20"/>
    <mergeCell ref="M20:O20"/>
    <mergeCell ref="K21:L21"/>
    <mergeCell ref="M21:T21"/>
    <mergeCell ref="D22:G22"/>
    <mergeCell ref="K22:L22"/>
    <mergeCell ref="N22:R22"/>
    <mergeCell ref="D23:G23"/>
    <mergeCell ref="N23:R23"/>
    <mergeCell ref="K24:L24"/>
    <mergeCell ref="M24:R24"/>
    <mergeCell ref="C25:D25"/>
    <mergeCell ref="E25:J25"/>
    <mergeCell ref="K25:L25"/>
    <mergeCell ref="M25:O25"/>
    <mergeCell ref="K26:L26"/>
    <mergeCell ref="M26:T26"/>
    <mergeCell ref="K27:L27"/>
    <mergeCell ref="N27:R27"/>
    <mergeCell ref="N28:R28"/>
    <mergeCell ref="K29:L29"/>
    <mergeCell ref="M29:R29"/>
    <mergeCell ref="K30:L30"/>
    <mergeCell ref="M30:O30"/>
    <mergeCell ref="K31:L31"/>
    <mergeCell ref="M31:T31"/>
    <mergeCell ref="B16:B17"/>
    <mergeCell ref="B4:J6"/>
    <mergeCell ref="B13:J14"/>
  </mergeCells>
  <conditionalFormatting sqref="B2:D2">
    <cfRule type="cellIs" dxfId="5" priority="2" operator="equal">
      <formula>0</formula>
    </cfRule>
  </conditionalFormatting>
  <conditionalFormatting sqref="F2 J2:K2">
    <cfRule type="cellIs" dxfId="5" priority="1" operator="equal">
      <formula>0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D27"/>
  <sheetViews>
    <sheetView topLeftCell="J5" workbookViewId="0">
      <selection activeCell="R15" sqref="R15"/>
    </sheetView>
  </sheetViews>
  <sheetFormatPr defaultColWidth="9" defaultRowHeight="21"/>
  <cols>
    <col min="1" max="1" width="3.5" style="59" customWidth="1"/>
    <col min="2" max="2" width="12.6666666666667" style="60" customWidth="1"/>
    <col min="3" max="5" width="14.5" style="60" customWidth="1"/>
    <col min="6" max="6" width="9.91666666666667" style="60" customWidth="1"/>
    <col min="7" max="7" width="12.0833333333333" style="60" customWidth="1"/>
    <col min="8" max="8" width="14.3333333333333" style="60" customWidth="1"/>
    <col min="9" max="10" width="11.6666666666667" style="60" customWidth="1"/>
    <col min="11" max="11" width="8.66666666666667" style="60" customWidth="1"/>
    <col min="12" max="12" width="13.6666666666667" style="60" customWidth="1"/>
    <col min="13" max="13" width="4.33333333333333" style="60" customWidth="1"/>
    <col min="14" max="14" width="13.5833333333333" style="60" customWidth="1"/>
    <col min="15" max="18" width="15.3333333333333" style="60" customWidth="1"/>
    <col min="19" max="20" width="10.6666666666667" style="60" customWidth="1"/>
    <col min="21" max="22" width="9.91666666666667" style="60" customWidth="1"/>
    <col min="23" max="28" width="10.3333333333333" style="59" customWidth="1"/>
    <col min="29" max="30" width="8.66666666666667" style="59"/>
  </cols>
  <sheetData>
    <row r="2" spans="2:30">
      <c r="B2" s="59" t="s">
        <v>1</v>
      </c>
      <c r="C2" s="61" t="str">
        <f>试题选择!E3</f>
        <v>翁宇豪</v>
      </c>
      <c r="D2" s="61"/>
      <c r="E2" s="60" t="s">
        <v>0</v>
      </c>
      <c r="F2" s="62">
        <f>试题选择!C3</f>
        <v>40130</v>
      </c>
      <c r="G2" s="62"/>
      <c r="H2" s="62"/>
      <c r="I2" s="73"/>
      <c r="J2" s="73"/>
      <c r="K2" s="74"/>
      <c r="L2" s="74"/>
      <c r="M2" s="74"/>
      <c r="N2" s="74"/>
      <c r="V2" s="59"/>
      <c r="AD2"/>
    </row>
    <row r="3" customHeight="1" spans="14:18">
      <c r="N3" s="75"/>
      <c r="O3" s="75"/>
      <c r="P3" s="75"/>
      <c r="Q3" s="75"/>
      <c r="R3" s="75"/>
    </row>
    <row r="4" customHeight="1" spans="2:18">
      <c r="B4" s="63" t="s">
        <v>137</v>
      </c>
      <c r="C4" s="63"/>
      <c r="D4" s="63"/>
      <c r="E4" s="63"/>
      <c r="F4" s="63"/>
      <c r="G4" s="63"/>
      <c r="H4" s="63"/>
      <c r="I4" s="63"/>
      <c r="J4" s="63"/>
      <c r="K4" s="63"/>
      <c r="M4" s="75"/>
      <c r="N4" s="63" t="s">
        <v>138</v>
      </c>
      <c r="O4" s="63"/>
      <c r="P4" s="63"/>
      <c r="Q4" s="63"/>
      <c r="R4" s="63"/>
    </row>
    <row r="5" spans="2:18">
      <c r="B5" s="63"/>
      <c r="C5" s="63"/>
      <c r="D5" s="63"/>
      <c r="E5" s="63"/>
      <c r="F5" s="63"/>
      <c r="G5" s="63"/>
      <c r="H5" s="63"/>
      <c r="I5" s="63"/>
      <c r="J5" s="63"/>
      <c r="K5" s="63"/>
      <c r="M5" s="75"/>
      <c r="N5" s="63"/>
      <c r="O5" s="63"/>
      <c r="P5" s="63"/>
      <c r="Q5" s="63"/>
      <c r="R5" s="63"/>
    </row>
    <row r="6" spans="2:18">
      <c r="B6" s="63"/>
      <c r="C6" s="63"/>
      <c r="D6" s="63"/>
      <c r="E6" s="63"/>
      <c r="F6" s="63"/>
      <c r="G6" s="63"/>
      <c r="H6" s="63"/>
      <c r="I6" s="63"/>
      <c r="J6" s="63"/>
      <c r="K6" s="63"/>
      <c r="M6" s="75"/>
      <c r="N6" s="63"/>
      <c r="O6" s="63"/>
      <c r="P6" s="63"/>
      <c r="Q6" s="63"/>
      <c r="R6" s="63"/>
    </row>
    <row r="7" spans="7:18">
      <c r="G7" s="60" t="s">
        <v>139</v>
      </c>
      <c r="H7" s="60" t="s">
        <v>140</v>
      </c>
      <c r="N7" s="63"/>
      <c r="O7" s="63"/>
      <c r="P7" s="63"/>
      <c r="Q7" s="63"/>
      <c r="R7" s="63"/>
    </row>
    <row r="8" ht="25" customHeight="1" spans="2:18">
      <c r="B8" s="64" t="s">
        <v>141</v>
      </c>
      <c r="C8" s="65" t="s">
        <v>142</v>
      </c>
      <c r="D8" s="65" t="s">
        <v>143</v>
      </c>
      <c r="E8" s="66" t="s">
        <v>144</v>
      </c>
      <c r="H8" s="60" t="s">
        <v>145</v>
      </c>
      <c r="I8" s="76" t="s">
        <v>146</v>
      </c>
      <c r="N8" s="63"/>
      <c r="O8" s="63"/>
      <c r="P8" s="63"/>
      <c r="Q8" s="63"/>
      <c r="R8" s="63"/>
    </row>
    <row r="9" ht="25" customHeight="1" spans="2:12">
      <c r="B9" s="64" t="s">
        <v>142</v>
      </c>
      <c r="C9" s="67">
        <v>1</v>
      </c>
      <c r="D9" s="67">
        <f>IF(MOD(F2,4)&lt;2,2,MOD(F2,4))</f>
        <v>2</v>
      </c>
      <c r="E9" s="68">
        <f>IF(MOD(F2,D9)&lt;D9/2,3,2)</f>
        <v>3</v>
      </c>
      <c r="G9" s="64">
        <f>ROUND(POWER(C9*D9*E9,1/3),4)</f>
        <v>1.8171</v>
      </c>
      <c r="H9" s="66">
        <f>ROUND(G9/SUM(G9:G11),4)</f>
        <v>0.5278</v>
      </c>
      <c r="I9" s="77">
        <f>ROUND(C9*H9+D9*H10+E9*H11,4)</f>
        <v>1.6116</v>
      </c>
      <c r="J9" s="77">
        <f>ROUND(I9/(3*H9),4)</f>
        <v>1.0178</v>
      </c>
      <c r="K9" s="78" t="s">
        <v>147</v>
      </c>
      <c r="L9" s="79">
        <v>0</v>
      </c>
    </row>
    <row r="10" ht="25" customHeight="1" spans="2:12">
      <c r="B10" s="64" t="s">
        <v>143</v>
      </c>
      <c r="C10" s="69">
        <f>1/D9</f>
        <v>0.5</v>
      </c>
      <c r="D10" s="67">
        <v>1</v>
      </c>
      <c r="E10" s="68">
        <f>MIN(D9:E9)+1</f>
        <v>3</v>
      </c>
      <c r="G10" s="64">
        <f t="shared" ref="G10:G11" si="0">ROUND(POWER(C10*D10*E10,1/3),4)</f>
        <v>1.1447</v>
      </c>
      <c r="H10" s="66">
        <f>ROUND(G10/SUM(G9:G11),4)</f>
        <v>0.3325</v>
      </c>
      <c r="I10" s="77">
        <f>ROUND(C10*H9+D10*H10+E10*H11,4)</f>
        <v>1.0152</v>
      </c>
      <c r="J10" s="77">
        <f>ROUND(I10/(3*H10),4)</f>
        <v>1.0177</v>
      </c>
      <c r="K10" s="77" t="s">
        <v>148</v>
      </c>
      <c r="L10" s="80">
        <v>0</v>
      </c>
    </row>
    <row r="11" ht="25" customHeight="1" spans="2:18">
      <c r="B11" s="64" t="s">
        <v>144</v>
      </c>
      <c r="C11" s="69">
        <f>1/E9</f>
        <v>0.333333333333333</v>
      </c>
      <c r="D11" s="69">
        <f>1/E10</f>
        <v>0.333333333333333</v>
      </c>
      <c r="E11" s="68">
        <v>1</v>
      </c>
      <c r="G11" s="64">
        <f t="shared" si="0"/>
        <v>0.4807</v>
      </c>
      <c r="H11" s="66">
        <f>ROUND(G11/SUM(G9:G11),4)</f>
        <v>0.1396</v>
      </c>
      <c r="I11" s="77">
        <f>ROUND(C11*H9+D11*H10+E11*H11,4)</f>
        <v>0.4264</v>
      </c>
      <c r="J11" s="77">
        <f>ROUND(I11/(3*H11),4)</f>
        <v>1.0181</v>
      </c>
      <c r="K11" s="77" t="s">
        <v>149</v>
      </c>
      <c r="L11" s="80">
        <v>0</v>
      </c>
      <c r="N11" s="81"/>
      <c r="O11" s="65" t="str">
        <f>C8</f>
        <v>景色 C1</v>
      </c>
      <c r="P11" s="65" t="str">
        <f>D8</f>
        <v>费用 C2</v>
      </c>
      <c r="Q11" s="65" t="str">
        <f>E8</f>
        <v>居住 C3</v>
      </c>
      <c r="R11" s="81" t="s">
        <v>150</v>
      </c>
    </row>
    <row r="12" spans="7:18">
      <c r="G12" s="70" t="s">
        <v>151</v>
      </c>
      <c r="H12" s="71"/>
      <c r="I12" s="71"/>
      <c r="J12" s="71"/>
      <c r="K12" s="71"/>
      <c r="L12" s="71"/>
      <c r="N12" s="82"/>
      <c r="O12" s="65">
        <f>H9</f>
        <v>0.5278</v>
      </c>
      <c r="P12" s="65">
        <f>H10</f>
        <v>0.3325</v>
      </c>
      <c r="Q12" s="65">
        <f>H11</f>
        <v>0.1396</v>
      </c>
      <c r="R12" s="82"/>
    </row>
    <row r="13" spans="2:18">
      <c r="B13" s="64" t="s">
        <v>152</v>
      </c>
      <c r="C13" s="65" t="s">
        <v>153</v>
      </c>
      <c r="D13" s="65" t="s">
        <v>154</v>
      </c>
      <c r="E13" s="66" t="s">
        <v>155</v>
      </c>
      <c r="I13" s="76"/>
      <c r="J13" s="76"/>
      <c r="K13" s="76"/>
      <c r="N13" s="64" t="str">
        <f>B14</f>
        <v>三亚 P1</v>
      </c>
      <c r="O13" s="65">
        <f>H14</f>
        <v>0.5396</v>
      </c>
      <c r="P13" s="65">
        <f>H19</f>
        <v>0.0897</v>
      </c>
      <c r="Q13" s="65">
        <f>H24</f>
        <v>0.1111</v>
      </c>
      <c r="R13" s="84">
        <v>0</v>
      </c>
    </row>
    <row r="14" ht="25" spans="2:18">
      <c r="B14" s="64" t="s">
        <v>156</v>
      </c>
      <c r="C14" s="67">
        <v>1</v>
      </c>
      <c r="D14" s="67">
        <f>IF(MOD(F2,3)=0,2,IF(MOD(F2,3)=1,3,3))</f>
        <v>3</v>
      </c>
      <c r="E14" s="68">
        <f>IF(MOD(F2,D14)&lt;D14/2,3,2)</f>
        <v>2</v>
      </c>
      <c r="G14" s="64">
        <f>ROUND(POWER(C14*D14*E14,1/3),4)</f>
        <v>1.8171</v>
      </c>
      <c r="H14" s="66">
        <f>ROUND(G14/SUM(G14:G16),4)</f>
        <v>0.5396</v>
      </c>
      <c r="I14" s="77">
        <f>ROUND(C14*H14+D14*H15+E14*H16,4)</f>
        <v>1.7574</v>
      </c>
      <c r="J14" s="77">
        <f>ROUND(I14/(3*H14),4)</f>
        <v>1.0856</v>
      </c>
      <c r="K14" s="78" t="s">
        <v>147</v>
      </c>
      <c r="L14" s="79">
        <v>0</v>
      </c>
      <c r="N14" s="64" t="str">
        <f>B15</f>
        <v>张家界 P2</v>
      </c>
      <c r="O14" s="65">
        <f>H15</f>
        <v>0.297</v>
      </c>
      <c r="P14" s="65">
        <f>H20</f>
        <v>0.705</v>
      </c>
      <c r="Q14" s="65">
        <f>H25</f>
        <v>0.2222</v>
      </c>
      <c r="R14" s="84">
        <v>0</v>
      </c>
    </row>
    <row r="15" spans="2:18">
      <c r="B15" s="64" t="s">
        <v>157</v>
      </c>
      <c r="C15" s="69">
        <f>1/D14</f>
        <v>0.333333333333333</v>
      </c>
      <c r="D15" s="67">
        <v>1</v>
      </c>
      <c r="E15" s="68">
        <f>MIN(D14:E14)+1</f>
        <v>3</v>
      </c>
      <c r="G15" s="64">
        <f t="shared" ref="G15:G16" si="1">ROUND(POWER(C15*D15*E15,1/3),4)</f>
        <v>1</v>
      </c>
      <c r="H15" s="66">
        <f>ROUND(G15/SUM(G14:G16),4)</f>
        <v>0.297</v>
      </c>
      <c r="I15" s="77">
        <f>ROUND(C15*H14+D15*H15+E15*H16,4)</f>
        <v>0.9671</v>
      </c>
      <c r="J15" s="77">
        <f>ROUND(I15/(3*H15),4)</f>
        <v>1.0854</v>
      </c>
      <c r="K15" s="77" t="s">
        <v>148</v>
      </c>
      <c r="L15" s="80">
        <v>0</v>
      </c>
      <c r="N15" s="64" t="str">
        <f>B16</f>
        <v>北戴河 P3</v>
      </c>
      <c r="O15" s="65">
        <f>H16</f>
        <v>0.1634</v>
      </c>
      <c r="P15" s="65">
        <f>H21</f>
        <v>0.2053</v>
      </c>
      <c r="Q15" s="65">
        <f>H26</f>
        <v>0.6667</v>
      </c>
      <c r="R15" s="84">
        <v>0</v>
      </c>
    </row>
    <row r="16" spans="2:12">
      <c r="B16" s="64" t="s">
        <v>158</v>
      </c>
      <c r="C16" s="69">
        <f>1/E14</f>
        <v>0.5</v>
      </c>
      <c r="D16" s="69">
        <f>1/E15</f>
        <v>0.333333333333333</v>
      </c>
      <c r="E16" s="68">
        <v>1</v>
      </c>
      <c r="G16" s="64">
        <f t="shared" si="1"/>
        <v>0.5503</v>
      </c>
      <c r="H16" s="66">
        <f>ROUND(G16/SUM(G14:G16),4)</f>
        <v>0.1634</v>
      </c>
      <c r="I16" s="77">
        <f>ROUND(C16*H14+D16*H15+E16*H16,4)</f>
        <v>0.5322</v>
      </c>
      <c r="J16" s="77">
        <f>ROUND(I16/(3*H16),4)</f>
        <v>1.0857</v>
      </c>
      <c r="K16" s="77" t="s">
        <v>149</v>
      </c>
      <c r="L16" s="80">
        <v>0</v>
      </c>
    </row>
    <row r="17" spans="7:18">
      <c r="G17" s="70" t="s">
        <v>151</v>
      </c>
      <c r="H17" s="71"/>
      <c r="I17" s="71"/>
      <c r="J17" s="71"/>
      <c r="K17" s="71"/>
      <c r="L17" s="71"/>
      <c r="N17" s="60" t="s">
        <v>159</v>
      </c>
      <c r="O17" s="83"/>
      <c r="P17" s="83"/>
      <c r="Q17" s="83"/>
      <c r="R17" s="83"/>
    </row>
    <row r="18" spans="2:11">
      <c r="B18" s="64" t="s">
        <v>160</v>
      </c>
      <c r="C18" s="65" t="s">
        <v>153</v>
      </c>
      <c r="D18" s="65" t="s">
        <v>154</v>
      </c>
      <c r="E18" s="66" t="s">
        <v>155</v>
      </c>
      <c r="I18" s="76"/>
      <c r="J18" s="76"/>
      <c r="K18" s="76"/>
    </row>
    <row r="19" ht="25" spans="2:12">
      <c r="B19" s="64" t="s">
        <v>153</v>
      </c>
      <c r="C19" s="67">
        <v>1</v>
      </c>
      <c r="D19" s="69">
        <f>1/IF(MOD(F2,3)=0,7,IF(MOD(F2,3)=1,8,9))</f>
        <v>0.111111111111111</v>
      </c>
      <c r="E19" s="72">
        <f>1/IF(MOD(F2,2)=0,2,3)</f>
        <v>0.5</v>
      </c>
      <c r="G19" s="64">
        <f>ROUND(POWER(C19*D19*E19,1/3),4)</f>
        <v>0.3816</v>
      </c>
      <c r="H19" s="66">
        <f>ROUND(G19/SUM(G19:G21),4)</f>
        <v>0.0897</v>
      </c>
      <c r="I19" s="77">
        <f>ROUND(C19*H19+D19*H20+E19*H21,4)</f>
        <v>0.2707</v>
      </c>
      <c r="J19" s="77">
        <f>ROUND(I19/(3*H19),4)</f>
        <v>1.0059</v>
      </c>
      <c r="K19" s="78" t="s">
        <v>147</v>
      </c>
      <c r="L19" s="79">
        <v>0</v>
      </c>
    </row>
    <row r="20" spans="2:12">
      <c r="B20" s="64" t="s">
        <v>154</v>
      </c>
      <c r="C20" s="67">
        <f>1/D19</f>
        <v>9</v>
      </c>
      <c r="D20" s="67">
        <v>1</v>
      </c>
      <c r="E20" s="68">
        <f>MIN(C20:C21)+1</f>
        <v>3</v>
      </c>
      <c r="G20" s="64">
        <f t="shared" ref="G20:G21" si="2">ROUND(POWER(C20*D20*E20,1/3),4)</f>
        <v>3</v>
      </c>
      <c r="H20" s="66">
        <f>ROUND(G20/SUM(G19:G21),4)</f>
        <v>0.705</v>
      </c>
      <c r="I20" s="77">
        <f>ROUND(C20*H19+D20*H20+E20*H21,4)</f>
        <v>2.1282</v>
      </c>
      <c r="J20" s="77">
        <f>ROUND(I20/(3*H20),4)</f>
        <v>1.0062</v>
      </c>
      <c r="K20" s="77" t="s">
        <v>148</v>
      </c>
      <c r="L20" s="80">
        <v>0</v>
      </c>
    </row>
    <row r="21" spans="2:12">
      <c r="B21" s="64" t="s">
        <v>155</v>
      </c>
      <c r="C21" s="67">
        <f>1/E19</f>
        <v>2</v>
      </c>
      <c r="D21" s="69">
        <f>1/E20</f>
        <v>0.333333333333333</v>
      </c>
      <c r="E21" s="68">
        <v>1</v>
      </c>
      <c r="G21" s="64">
        <f t="shared" si="2"/>
        <v>0.8736</v>
      </c>
      <c r="H21" s="66">
        <f>ROUND(G21/SUM(G19:G21),4)</f>
        <v>0.2053</v>
      </c>
      <c r="I21" s="77">
        <f>ROUND(C21*H19+D21*H20+E21*H21,4)</f>
        <v>0.6197</v>
      </c>
      <c r="J21" s="77">
        <f>ROUND(I21/(3*H21),4)</f>
        <v>1.0062</v>
      </c>
      <c r="K21" s="77" t="s">
        <v>149</v>
      </c>
      <c r="L21" s="80">
        <v>0</v>
      </c>
    </row>
    <row r="22" spans="7:12">
      <c r="G22" s="70" t="s">
        <v>151</v>
      </c>
      <c r="H22" s="71"/>
      <c r="I22" s="71"/>
      <c r="J22" s="71"/>
      <c r="K22" s="71"/>
      <c r="L22" s="71"/>
    </row>
    <row r="23" spans="2:11">
      <c r="B23" s="64" t="s">
        <v>161</v>
      </c>
      <c r="C23" s="65" t="s">
        <v>153</v>
      </c>
      <c r="D23" s="65" t="s">
        <v>154</v>
      </c>
      <c r="E23" s="66" t="s">
        <v>155</v>
      </c>
      <c r="I23" s="76"/>
      <c r="J23" s="76"/>
      <c r="K23" s="76"/>
    </row>
    <row r="24" ht="25" spans="2:12">
      <c r="B24" s="64" t="s">
        <v>153</v>
      </c>
      <c r="C24" s="67">
        <v>1</v>
      </c>
      <c r="D24" s="69">
        <f>1/(MOD(F2,2)+2)</f>
        <v>0.5</v>
      </c>
      <c r="E24" s="72">
        <f>1/IF(MOD(F2,7)&lt;5,5,MOD(F2,7))</f>
        <v>0.166666666666667</v>
      </c>
      <c r="G24" s="64">
        <f>ROUND(POWER(C24*D24*E24,1/3),4)</f>
        <v>0.4368</v>
      </c>
      <c r="H24" s="66">
        <f>ROUND(G24/SUM(G24:G26),4)</f>
        <v>0.1111</v>
      </c>
      <c r="I24" s="77">
        <f>ROUND(C24*H24+D24*H25+E24*H26,4)</f>
        <v>0.3333</v>
      </c>
      <c r="J24" s="77">
        <f>ROUND(I24/(3*H24),4)</f>
        <v>1</v>
      </c>
      <c r="K24" s="78" t="s">
        <v>147</v>
      </c>
      <c r="L24" s="79">
        <v>0</v>
      </c>
    </row>
    <row r="25" spans="2:12">
      <c r="B25" s="64" t="s">
        <v>154</v>
      </c>
      <c r="C25" s="67">
        <f>1/D24</f>
        <v>2</v>
      </c>
      <c r="D25" s="67">
        <v>1</v>
      </c>
      <c r="E25" s="72">
        <f>1/(MIN(C25:C26)+1)</f>
        <v>0.333333333333333</v>
      </c>
      <c r="G25" s="64">
        <f t="shared" ref="G25:G26" si="3">ROUND(POWER(C25*D25*E25,1/3),4)</f>
        <v>0.8736</v>
      </c>
      <c r="H25" s="66">
        <f>ROUND(G25/SUM(G24:G26),4)</f>
        <v>0.2222</v>
      </c>
      <c r="I25" s="77">
        <f>ROUND(C25*H24+D25*H25+E25*H26,4)</f>
        <v>0.6666</v>
      </c>
      <c r="J25" s="77">
        <f>ROUND(I25/(3*H25),4)</f>
        <v>1</v>
      </c>
      <c r="K25" s="77" t="s">
        <v>148</v>
      </c>
      <c r="L25" s="80">
        <v>0</v>
      </c>
    </row>
    <row r="26" spans="2:12">
      <c r="B26" s="64" t="s">
        <v>155</v>
      </c>
      <c r="C26" s="67">
        <f>1/E24</f>
        <v>6</v>
      </c>
      <c r="D26" s="67">
        <f>1/E25</f>
        <v>3</v>
      </c>
      <c r="E26" s="68">
        <v>1</v>
      </c>
      <c r="G26" s="64">
        <f t="shared" si="3"/>
        <v>2.6207</v>
      </c>
      <c r="H26" s="66">
        <f>ROUND(G26/SUM(G24:G26),4)</f>
        <v>0.6667</v>
      </c>
      <c r="I26" s="77">
        <f>ROUND(C26*H24+D26*H25+E26*H26,4)</f>
        <v>1.9999</v>
      </c>
      <c r="J26" s="77">
        <f>ROUND(I26/(3*H26),4)</f>
        <v>0.9999</v>
      </c>
      <c r="K26" s="77" t="s">
        <v>149</v>
      </c>
      <c r="L26" s="80">
        <v>0</v>
      </c>
    </row>
    <row r="27" spans="7:12">
      <c r="G27" s="70" t="s">
        <v>151</v>
      </c>
      <c r="H27" s="71"/>
      <c r="I27" s="71"/>
      <c r="J27" s="71"/>
      <c r="K27" s="71"/>
      <c r="L27" s="71"/>
    </row>
  </sheetData>
  <mergeCells count="10">
    <mergeCell ref="C2:D2"/>
    <mergeCell ref="F2:H2"/>
    <mergeCell ref="H12:L12"/>
    <mergeCell ref="H17:L17"/>
    <mergeCell ref="O17:R17"/>
    <mergeCell ref="H22:L22"/>
    <mergeCell ref="H27:L27"/>
    <mergeCell ref="R11:R12"/>
    <mergeCell ref="N4:R8"/>
    <mergeCell ref="B4:K6"/>
  </mergeCells>
  <conditionalFormatting sqref="C2">
    <cfRule type="cellIs" dxfId="5" priority="2" operator="equal">
      <formula>0</formula>
    </cfRule>
  </conditionalFormatting>
  <conditionalFormatting sqref="F2 I2:J2">
    <cfRule type="cellIs" dxfId="5" priority="1" operator="equal">
      <formula>0</formula>
    </cfRule>
  </conditionalFormatting>
  <pageMargins left="0.7" right="0.7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K19"/>
  <sheetViews>
    <sheetView workbookViewId="0">
      <selection activeCell="U19" sqref="U19"/>
    </sheetView>
  </sheetViews>
  <sheetFormatPr defaultColWidth="9" defaultRowHeight="14"/>
  <cols>
    <col min="1" max="1" width="4" style="38" customWidth="1"/>
    <col min="2" max="2" width="11.8333333333333" style="38" customWidth="1"/>
    <col min="3" max="12" width="6.75" style="38" customWidth="1"/>
    <col min="13" max="13" width="8.66666666666667" style="38" hidden="1" customWidth="1"/>
    <col min="14" max="14" width="3.91666666666667" style="38" customWidth="1"/>
    <col min="15" max="15" width="13.4166666666667" style="38" customWidth="1"/>
    <col min="16" max="25" width="5.25" style="38" customWidth="1"/>
    <col min="26" max="26" width="3.91666666666667" style="38" customWidth="1"/>
    <col min="27" max="27" width="11.75" style="38" customWidth="1"/>
    <col min="28" max="37" width="6.25" style="38" customWidth="1"/>
    <col min="38" max="16384" width="8.66666666666667" style="38"/>
  </cols>
  <sheetData>
    <row r="2" ht="21" spans="2:14">
      <c r="B2" s="4" t="s">
        <v>1</v>
      </c>
      <c r="C2" s="5" t="str">
        <f>试题选择!E3</f>
        <v>翁宇豪</v>
      </c>
      <c r="D2" s="5"/>
      <c r="E2" s="6" t="s">
        <v>0</v>
      </c>
      <c r="F2" s="6"/>
      <c r="G2" s="7">
        <f>试题选择!C3</f>
        <v>40130</v>
      </c>
      <c r="H2" s="7"/>
      <c r="I2" s="7"/>
      <c r="J2" s="7"/>
      <c r="K2" s="7"/>
      <c r="L2" s="7"/>
      <c r="M2" s="7"/>
      <c r="N2" s="7"/>
    </row>
    <row r="3" spans="7:7">
      <c r="G3" s="38" t="s">
        <v>162</v>
      </c>
    </row>
    <row r="4" ht="54.5" customHeight="1" spans="2:19">
      <c r="B4" s="39" t="s">
        <v>163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56"/>
      <c r="S4" s="56"/>
    </row>
    <row r="5" ht="26" customHeight="1" spans="2:37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50" t="s">
        <v>164</v>
      </c>
      <c r="P5" s="50"/>
      <c r="Q5" s="50"/>
      <c r="R5" s="50"/>
      <c r="S5" s="50"/>
      <c r="T5" s="50"/>
      <c r="U5" s="50"/>
      <c r="V5" s="50"/>
      <c r="W5" s="50"/>
      <c r="X5" s="50"/>
      <c r="Y5" s="50"/>
      <c r="AA5" s="50" t="s">
        <v>165</v>
      </c>
      <c r="AB5" s="50"/>
      <c r="AC5" s="50"/>
      <c r="AD5" s="50"/>
      <c r="AE5" s="50"/>
      <c r="AF5" s="50"/>
      <c r="AG5" s="50"/>
      <c r="AH5" s="50"/>
      <c r="AI5" s="50"/>
      <c r="AJ5" s="50"/>
      <c r="AK5" s="50"/>
    </row>
    <row r="6" ht="41" customHeight="1" spans="2:37">
      <c r="B6" s="41" t="s">
        <v>166</v>
      </c>
      <c r="C6" s="42">
        <v>1</v>
      </c>
      <c r="D6" s="42">
        <v>2</v>
      </c>
      <c r="E6" s="42">
        <v>3</v>
      </c>
      <c r="F6" s="42">
        <v>4</v>
      </c>
      <c r="G6" s="42">
        <v>5</v>
      </c>
      <c r="H6" s="42">
        <v>6</v>
      </c>
      <c r="I6" s="42">
        <v>7</v>
      </c>
      <c r="J6" s="42">
        <v>8</v>
      </c>
      <c r="K6" s="42">
        <v>9</v>
      </c>
      <c r="L6" s="42">
        <v>10</v>
      </c>
      <c r="O6" s="51" t="s">
        <v>166</v>
      </c>
      <c r="P6" s="52">
        <v>1</v>
      </c>
      <c r="Q6" s="52">
        <v>2</v>
      </c>
      <c r="R6" s="52">
        <v>3</v>
      </c>
      <c r="S6" s="52">
        <v>4</v>
      </c>
      <c r="T6" s="52">
        <v>5</v>
      </c>
      <c r="U6" s="52">
        <v>6</v>
      </c>
      <c r="V6" s="52">
        <v>7</v>
      </c>
      <c r="W6" s="52">
        <v>8</v>
      </c>
      <c r="X6" s="52">
        <v>9</v>
      </c>
      <c r="Y6" s="52">
        <v>10</v>
      </c>
      <c r="AA6" s="57" t="s">
        <v>166</v>
      </c>
      <c r="AB6" s="58">
        <v>1</v>
      </c>
      <c r="AC6" s="58">
        <v>2</v>
      </c>
      <c r="AD6" s="58">
        <v>3</v>
      </c>
      <c r="AE6" s="58">
        <v>4</v>
      </c>
      <c r="AF6" s="58">
        <v>5</v>
      </c>
      <c r="AG6" s="58">
        <v>6</v>
      </c>
      <c r="AH6" s="58">
        <v>7</v>
      </c>
      <c r="AI6" s="58">
        <v>8</v>
      </c>
      <c r="AJ6" s="58">
        <v>9</v>
      </c>
      <c r="AK6" s="58">
        <v>10</v>
      </c>
    </row>
    <row r="7" ht="29" customHeight="1" spans="2:37">
      <c r="B7" s="42" t="s">
        <v>167</v>
      </c>
      <c r="C7" s="43">
        <f t="shared" ref="C7:L7" si="0">IF(C6&lt;=$M7,C6,0)</f>
        <v>1</v>
      </c>
      <c r="D7" s="43">
        <f t="shared" si="0"/>
        <v>2</v>
      </c>
      <c r="E7" s="43">
        <f t="shared" si="0"/>
        <v>3</v>
      </c>
      <c r="F7" s="43">
        <f t="shared" si="0"/>
        <v>0</v>
      </c>
      <c r="G7" s="43">
        <f t="shared" si="0"/>
        <v>0</v>
      </c>
      <c r="H7" s="43">
        <f t="shared" si="0"/>
        <v>0</v>
      </c>
      <c r="I7" s="43">
        <f t="shared" si="0"/>
        <v>0</v>
      </c>
      <c r="J7" s="43">
        <f t="shared" si="0"/>
        <v>0</v>
      </c>
      <c r="K7" s="43">
        <f t="shared" si="0"/>
        <v>0</v>
      </c>
      <c r="L7" s="43">
        <f t="shared" si="0"/>
        <v>0</v>
      </c>
      <c r="M7" s="53">
        <f>10-SUM(M8:M10)</f>
        <v>3</v>
      </c>
      <c r="N7" s="54"/>
      <c r="O7" s="52" t="s">
        <v>167</v>
      </c>
      <c r="P7" s="43">
        <v>30</v>
      </c>
      <c r="Q7" s="43">
        <f>IF(D7=0,0,35)</f>
        <v>35</v>
      </c>
      <c r="R7" s="43">
        <f>IF(E7=0,0,42)</f>
        <v>42</v>
      </c>
      <c r="S7" s="43">
        <f>IF(F7=0,0,28)</f>
        <v>0</v>
      </c>
      <c r="T7" s="43">
        <f>IF(G7=0,0,32)</f>
        <v>0</v>
      </c>
      <c r="U7" s="43">
        <f t="shared" ref="U7:Y7" si="1">IF(H7=0,0,32)</f>
        <v>0</v>
      </c>
      <c r="V7" s="43">
        <f t="shared" si="1"/>
        <v>0</v>
      </c>
      <c r="W7" s="43">
        <f t="shared" si="1"/>
        <v>0</v>
      </c>
      <c r="X7" s="43">
        <f t="shared" si="1"/>
        <v>0</v>
      </c>
      <c r="Y7" s="43">
        <f t="shared" si="1"/>
        <v>0</v>
      </c>
      <c r="AA7" s="58" t="s">
        <v>167</v>
      </c>
      <c r="AB7" s="43">
        <f>IF(P7=0,0,9)</f>
        <v>9</v>
      </c>
      <c r="AC7" s="43">
        <f>IF(Q7=0,0,10)</f>
        <v>10</v>
      </c>
      <c r="AD7" s="43">
        <f>IF(R7=0,0,15)</f>
        <v>15</v>
      </c>
      <c r="AE7" s="43">
        <f>IF(S7=0,0,34)</f>
        <v>0</v>
      </c>
      <c r="AF7" s="43">
        <f>IF(T7=0,0,39)</f>
        <v>0</v>
      </c>
      <c r="AG7" s="43">
        <f t="shared" ref="AG7:AK7" si="2">IF(U7=0,0,39)</f>
        <v>0</v>
      </c>
      <c r="AH7" s="43">
        <f t="shared" si="2"/>
        <v>0</v>
      </c>
      <c r="AI7" s="43">
        <f t="shared" si="2"/>
        <v>0</v>
      </c>
      <c r="AJ7" s="43">
        <f t="shared" si="2"/>
        <v>0</v>
      </c>
      <c r="AK7" s="43">
        <f t="shared" si="2"/>
        <v>0</v>
      </c>
    </row>
    <row r="8" ht="29" customHeight="1" spans="2:37">
      <c r="B8" s="42" t="s">
        <v>168</v>
      </c>
      <c r="C8" s="43">
        <v>0</v>
      </c>
      <c r="D8" s="43">
        <f>IF(AND(D$6&gt;SUM($M$7:$M7),D$6&lt;=SUM($M$7:$M8)),D$6,0)</f>
        <v>0</v>
      </c>
      <c r="E8" s="43">
        <f>IF(AND(E$6&gt;SUM($M$7:$M7),E$6&lt;=SUM($M$7:$M8)),E$6,0)</f>
        <v>0</v>
      </c>
      <c r="F8" s="43">
        <f>IF(AND(F$6&gt;SUM($M$7:$M7),F$6&lt;=SUM($M$7:$M8)),F$6,0)</f>
        <v>4</v>
      </c>
      <c r="G8" s="43">
        <f>IF(AND(G$6&gt;SUM($M$7:$M7),G$6&lt;=SUM($M$7:$M8)),G$6,0)</f>
        <v>5</v>
      </c>
      <c r="H8" s="43">
        <f>IF(AND(H$6&gt;SUM($M$7:$M7),H$6&lt;=SUM($M$7:$M8)),H$6,0)</f>
        <v>0</v>
      </c>
      <c r="I8" s="43">
        <f>IF(AND(I$6&gt;SUM($M$7:$M7),I$6&lt;=SUM($M$7:$M8)),I$6,0)</f>
        <v>0</v>
      </c>
      <c r="J8" s="43">
        <f>IF(AND(J$6&gt;SUM($M$7:$M7),J$6&lt;=SUM($M$7:$M8)),J$6,0)</f>
        <v>0</v>
      </c>
      <c r="K8" s="43">
        <f>IF(AND(K$6&gt;SUM($M$7:$M7),K$6&lt;=SUM($M$7:$M8)),K$6,0)</f>
        <v>0</v>
      </c>
      <c r="L8" s="43">
        <f>IF(AND(L$6&gt;SUM($M$7:$M7),L$6&lt;=SUM($M$7:$M8)),L$6,0)</f>
        <v>0</v>
      </c>
      <c r="M8" s="53">
        <f>IF(MOD(G2,3)=1,3,2)</f>
        <v>2</v>
      </c>
      <c r="N8" s="54"/>
      <c r="O8" s="52" t="s">
        <v>168</v>
      </c>
      <c r="P8" s="43">
        <f>IF(C8=0,0,25)</f>
        <v>0</v>
      </c>
      <c r="Q8" s="43">
        <f>IF(D8=0,0,25)</f>
        <v>0</v>
      </c>
      <c r="R8" s="43">
        <f>IF(E8=0,0,28)</f>
        <v>0</v>
      </c>
      <c r="S8" s="43">
        <f>IF(F8=0,0,30)</f>
        <v>30</v>
      </c>
      <c r="T8" s="43">
        <f>IF(G8=0,0,24)</f>
        <v>24</v>
      </c>
      <c r="U8" s="43">
        <f>IF(H8=0,0,28)</f>
        <v>0</v>
      </c>
      <c r="V8" s="43">
        <f>IF(I8=0,0,26)</f>
        <v>0</v>
      </c>
      <c r="W8" s="43">
        <f>IF(J8=0,0,24)</f>
        <v>0</v>
      </c>
      <c r="X8" s="43">
        <f t="shared" ref="X8:Y8" si="3">IF(K8=0,0,24)</f>
        <v>0</v>
      </c>
      <c r="Y8" s="43">
        <f t="shared" si="3"/>
        <v>0</v>
      </c>
      <c r="AA8" s="58" t="s">
        <v>168</v>
      </c>
      <c r="AB8" s="43">
        <f>IF(P8=0,0,33)</f>
        <v>0</v>
      </c>
      <c r="AC8" s="43">
        <f>IF(Q8=0,0,8)</f>
        <v>0</v>
      </c>
      <c r="AD8" s="43">
        <f>IF(R8=0,0,10)</f>
        <v>0</v>
      </c>
      <c r="AE8" s="43">
        <f>IF(S8=0,0,11)</f>
        <v>11</v>
      </c>
      <c r="AF8" s="43">
        <f>IF(T8=0,0,8)</f>
        <v>8</v>
      </c>
      <c r="AG8" s="43">
        <f>IF(U8=0,0,9)</f>
        <v>0</v>
      </c>
      <c r="AH8" s="43">
        <f>IF(V8=0,0,7)</f>
        <v>0</v>
      </c>
      <c r="AI8" s="43">
        <f t="shared" ref="AI8:AK8" si="4">IF(W8=0,0,7)</f>
        <v>0</v>
      </c>
      <c r="AJ8" s="43">
        <f t="shared" si="4"/>
        <v>0</v>
      </c>
      <c r="AK8" s="43">
        <f t="shared" si="4"/>
        <v>0</v>
      </c>
    </row>
    <row r="9" ht="29" customHeight="1" spans="2:37">
      <c r="B9" s="42" t="s">
        <v>169</v>
      </c>
      <c r="C9" s="43">
        <v>0</v>
      </c>
      <c r="D9" s="43">
        <f>IF(AND(D$6&gt;SUM($M$7:$M8),D$6&lt;=SUM($M$7:$M9)),D$6,0)</f>
        <v>0</v>
      </c>
      <c r="E9" s="43">
        <f>IF(AND(E$6&gt;SUM($M$7:$M8),E$6&lt;=SUM($M$7:$M9)),E$6,0)</f>
        <v>0</v>
      </c>
      <c r="F9" s="43">
        <f>IF(AND(F$6&gt;SUM($M$7:$M8),F$6&lt;=SUM($M$7:$M9)),F$6,0)</f>
        <v>0</v>
      </c>
      <c r="G9" s="43">
        <f>IF(AND(G$6&gt;SUM($M$7:$M8),G$6&lt;=SUM($M$7:$M9)),G$6,0)</f>
        <v>0</v>
      </c>
      <c r="H9" s="43">
        <f>IF(AND(H$6&gt;SUM($M$7:$M8),H$6&lt;=SUM($M$7:$M9)),H$6,0)</f>
        <v>6</v>
      </c>
      <c r="I9" s="43">
        <f>IF(AND(I$6&gt;SUM($M$7:$M8),I$6&lt;=SUM($M$7:$M9)),I$6,0)</f>
        <v>7</v>
      </c>
      <c r="J9" s="43">
        <f>IF(AND(J$6&gt;SUM($M$7:$M8),J$6&lt;=SUM($M$7:$M9)),J$6,0)</f>
        <v>8</v>
      </c>
      <c r="K9" s="43">
        <f>IF(AND(K$6&gt;SUM($M$7:$M8),K$6&lt;=SUM($M$7:$M9)),K$6,0)</f>
        <v>0</v>
      </c>
      <c r="L9" s="43">
        <f>IF(AND(L$6&gt;SUM($M$7:$M8),L$6&lt;=SUM($M$7:$M9)),L$6,0)</f>
        <v>0</v>
      </c>
      <c r="M9" s="53">
        <f>IF(MOD(G2,2)=0,3,2)</f>
        <v>3</v>
      </c>
      <c r="N9" s="54"/>
      <c r="O9" s="52" t="s">
        <v>169</v>
      </c>
      <c r="P9" s="43">
        <f t="shared" ref="P9:Q9" si="5">IF(C9=0,0,25)</f>
        <v>0</v>
      </c>
      <c r="Q9" s="43">
        <f t="shared" si="5"/>
        <v>0</v>
      </c>
      <c r="R9" s="43">
        <f>IF(E9=0,0,30)</f>
        <v>0</v>
      </c>
      <c r="S9" s="43">
        <f>IF(F9=0,0,35)</f>
        <v>0</v>
      </c>
      <c r="T9" s="43">
        <f>IF(G9=0,0,34)</f>
        <v>0</v>
      </c>
      <c r="U9" s="43">
        <f>IF(H9=0,0,32)</f>
        <v>32</v>
      </c>
      <c r="V9" s="43">
        <f>IF(I9=0,0,35)</f>
        <v>35</v>
      </c>
      <c r="W9" s="43">
        <f>IF(J9=0,0,40)</f>
        <v>40</v>
      </c>
      <c r="X9" s="43">
        <f>IF(K9=0,0,38)</f>
        <v>0</v>
      </c>
      <c r="Y9" s="43">
        <f>IF(L9=0,0,38)</f>
        <v>0</v>
      </c>
      <c r="AA9" s="58" t="s">
        <v>169</v>
      </c>
      <c r="AB9" s="43">
        <f t="shared" ref="AB9:AC9" si="6">IF(P9=0,0,39)</f>
        <v>0</v>
      </c>
      <c r="AC9" s="43">
        <f t="shared" si="6"/>
        <v>0</v>
      </c>
      <c r="AD9" s="43">
        <f>IF(R9=0,0,9)</f>
        <v>0</v>
      </c>
      <c r="AE9" s="43">
        <f>IF(S9=0,0,11)</f>
        <v>0</v>
      </c>
      <c r="AF9" s="43">
        <f>IF(T9=0,0,12)</f>
        <v>0</v>
      </c>
      <c r="AG9" s="43">
        <f>IF(U9=0,0,10)</f>
        <v>10</v>
      </c>
      <c r="AH9" s="43">
        <f>IF(V9=0,0,13)</f>
        <v>13</v>
      </c>
      <c r="AI9" s="43">
        <f>IF(W9=0,0,21)</f>
        <v>21</v>
      </c>
      <c r="AJ9" s="43">
        <f>IF(X9=0,0,11)</f>
        <v>0</v>
      </c>
      <c r="AK9" s="43">
        <f>IF(Y9=0,0,49)</f>
        <v>0</v>
      </c>
    </row>
    <row r="10" ht="29" customHeight="1" spans="2:37">
      <c r="B10" s="42" t="s">
        <v>170</v>
      </c>
      <c r="C10" s="43">
        <v>0</v>
      </c>
      <c r="D10" s="43">
        <f>IF(AND(D$6&gt;SUM($M$7:$M9),D$6&lt;=SUM($M$7:$M10)),D$6,0)</f>
        <v>0</v>
      </c>
      <c r="E10" s="43">
        <f>IF(AND(E$6&gt;SUM($M$7:$M9),E$6&lt;=SUM($M$7:$M10)),E$6,0)</f>
        <v>0</v>
      </c>
      <c r="F10" s="43">
        <f>IF(AND(F$6&gt;SUM($M$7:$M9),F$6&lt;=SUM($M$7:$M10)),F$6,0)</f>
        <v>0</v>
      </c>
      <c r="G10" s="43">
        <f>IF(AND(G$6&gt;SUM($M$7:$M9),G$6&lt;=SUM($M$7:$M10)),G$6,0)</f>
        <v>0</v>
      </c>
      <c r="H10" s="43">
        <f>IF(AND(H$6&gt;SUM($M$7:$M9),H$6&lt;=SUM($M$7:$M10)),H$6,0)</f>
        <v>0</v>
      </c>
      <c r="I10" s="43">
        <f>IF(AND(I$6&gt;SUM($M$7:$M9),I$6&lt;=SUM($M$7:$M10)),I$6,0)</f>
        <v>0</v>
      </c>
      <c r="J10" s="43">
        <f>IF(AND(J$6&gt;SUM($M$7:$M9),J$6&lt;=SUM($M$7:$M10)),J$6,0)</f>
        <v>0</v>
      </c>
      <c r="K10" s="43">
        <f>IF(AND(K$6&gt;SUM($M$7:$M9),K$6&lt;=SUM($M$7:$M10)),K$6,0)</f>
        <v>9</v>
      </c>
      <c r="L10" s="43">
        <f>IF(AND(L$6&gt;SUM($M$7:$M9),L$6&lt;=SUM($M$7:$M10)),L$6,0)</f>
        <v>10</v>
      </c>
      <c r="M10" s="53">
        <f>IF(MOD(G2,6)&lt;3,2,3)</f>
        <v>2</v>
      </c>
      <c r="N10" s="54"/>
      <c r="O10" s="52" t="s">
        <v>170</v>
      </c>
      <c r="P10" s="43">
        <f>IF(C10=0,0,40)</f>
        <v>0</v>
      </c>
      <c r="Q10" s="43">
        <f t="shared" ref="Q10:S10" si="7">IF(D10=0,0,40)</f>
        <v>0</v>
      </c>
      <c r="R10" s="43">
        <f t="shared" si="7"/>
        <v>0</v>
      </c>
      <c r="S10" s="43">
        <f t="shared" si="7"/>
        <v>0</v>
      </c>
      <c r="T10" s="43">
        <f>IF(G10=0,0,38)</f>
        <v>0</v>
      </c>
      <c r="U10" s="43">
        <f>IF(H10=0,0,46)</f>
        <v>0</v>
      </c>
      <c r="V10" s="43">
        <f>IF(I10=0,0,42)</f>
        <v>0</v>
      </c>
      <c r="W10" s="43">
        <f>IF(J10=0,0,50)</f>
        <v>0</v>
      </c>
      <c r="X10" s="43">
        <f>IF(K10=0,0,45)</f>
        <v>45</v>
      </c>
      <c r="Y10" s="43">
        <f>IF(L10=0,0,52)</f>
        <v>52</v>
      </c>
      <c r="AA10" s="58" t="s">
        <v>170</v>
      </c>
      <c r="AB10" s="43">
        <f t="shared" ref="AB10:AE10" si="8">IF(P10=0,0,12)</f>
        <v>0</v>
      </c>
      <c r="AC10" s="43">
        <f t="shared" si="8"/>
        <v>0</v>
      </c>
      <c r="AD10" s="43">
        <f t="shared" si="8"/>
        <v>0</v>
      </c>
      <c r="AE10" s="43">
        <f t="shared" si="8"/>
        <v>0</v>
      </c>
      <c r="AF10" s="43">
        <f>IF(T10=0,0,10)</f>
        <v>0</v>
      </c>
      <c r="AG10" s="43">
        <f>IF(U10=0,0,14)</f>
        <v>0</v>
      </c>
      <c r="AH10" s="43">
        <f>IF(V10=0,0,13)</f>
        <v>0</v>
      </c>
      <c r="AI10" s="43">
        <f>IF(W10=0,0,18)</f>
        <v>0</v>
      </c>
      <c r="AJ10" s="43">
        <f>IF(X10=0,0,14)</f>
        <v>14</v>
      </c>
      <c r="AK10" s="43">
        <f>IF(Y10=0,0,16)</f>
        <v>16</v>
      </c>
    </row>
    <row r="11" customHeight="1"/>
    <row r="12" ht="28.5" customHeight="1" spans="2:27">
      <c r="B12" s="44" t="s">
        <v>171</v>
      </c>
      <c r="C12" s="44"/>
      <c r="D12" s="44"/>
      <c r="E12" s="44"/>
      <c r="F12" s="44"/>
      <c r="G12" s="44"/>
      <c r="H12" s="44"/>
      <c r="I12" s="55" t="s">
        <v>172</v>
      </c>
      <c r="R12" s="55" t="s">
        <v>173</v>
      </c>
      <c r="AA12" s="44" t="s">
        <v>174</v>
      </c>
    </row>
    <row r="13" ht="23" customHeight="1" spans="2:2">
      <c r="B13" s="44" t="s">
        <v>175</v>
      </c>
    </row>
    <row r="14" ht="34.5" customHeight="1" spans="2:12">
      <c r="B14" s="45" t="s">
        <v>166</v>
      </c>
      <c r="C14" s="46">
        <v>1</v>
      </c>
      <c r="D14" s="46">
        <v>2</v>
      </c>
      <c r="E14" s="46">
        <v>3</v>
      </c>
      <c r="F14" s="46">
        <v>4</v>
      </c>
      <c r="G14" s="46">
        <v>5</v>
      </c>
      <c r="H14" s="46">
        <v>6</v>
      </c>
      <c r="I14" s="46">
        <v>7</v>
      </c>
      <c r="J14" s="46">
        <v>8</v>
      </c>
      <c r="K14" s="46">
        <v>9</v>
      </c>
      <c r="L14" s="46">
        <v>10</v>
      </c>
    </row>
    <row r="15" ht="35" customHeight="1" spans="2:14">
      <c r="B15" s="46" t="s">
        <v>167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N15" s="54"/>
    </row>
    <row r="16" ht="35" customHeight="1" spans="2:14">
      <c r="B16" s="46" t="s">
        <v>168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N16" s="54"/>
    </row>
    <row r="17" ht="35" customHeight="1" spans="2:14">
      <c r="B17" s="46" t="s">
        <v>169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N17" s="54"/>
    </row>
    <row r="18" ht="35" customHeight="1" spans="2:14">
      <c r="B18" s="46" t="s">
        <v>170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N18" s="54"/>
    </row>
    <row r="19" ht="38" customHeight="1" spans="2:14">
      <c r="B19" s="48" t="s">
        <v>176</v>
      </c>
      <c r="D19" s="49"/>
      <c r="E19" s="49"/>
      <c r="F19" s="49"/>
      <c r="H19" s="48" t="s">
        <v>177</v>
      </c>
      <c r="J19" s="49"/>
      <c r="K19" s="49"/>
      <c r="L19" s="49"/>
      <c r="N19" s="54"/>
    </row>
  </sheetData>
  <mergeCells count="8">
    <mergeCell ref="C2:D2"/>
    <mergeCell ref="G2:N2"/>
    <mergeCell ref="B4:P4"/>
    <mergeCell ref="O5:Y5"/>
    <mergeCell ref="AA5:AK5"/>
    <mergeCell ref="B12:H12"/>
    <mergeCell ref="D19:F19"/>
    <mergeCell ref="J19:L19"/>
  </mergeCells>
  <conditionalFormatting sqref="B15:B18">
    <cfRule type="cellIs" dxfId="1" priority="2" operator="equal">
      <formula>0</formula>
    </cfRule>
  </conditionalFormatting>
  <conditionalFormatting sqref="C7:AK10 AA12">
    <cfRule type="cellIs" dxfId="1" priority="9" operator="equal">
      <formula>0</formula>
    </cfRule>
  </conditionalFormatting>
  <conditionalFormatting sqref="C15:L18">
    <cfRule type="cellIs" dxfId="6" priority="1" operator="equal">
      <formula>0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17"/>
  <sheetViews>
    <sheetView tabSelected="1" workbookViewId="0">
      <selection activeCell="O20" sqref="O20"/>
    </sheetView>
  </sheetViews>
  <sheetFormatPr defaultColWidth="9" defaultRowHeight="16.5"/>
  <cols>
    <col min="11" max="11" width="13.4166666666667" customWidth="1"/>
    <col min="12" max="12" width="8.66666666666667" style="2"/>
    <col min="13" max="16" width="12.5833333333333" style="3" customWidth="1"/>
    <col min="17" max="17" width="6.91666666666667" style="3" customWidth="1"/>
    <col min="18" max="18" width="11.0833333333333" customWidth="1"/>
    <col min="19" max="23" width="10.1666666666667" customWidth="1"/>
  </cols>
  <sheetData>
    <row r="2" ht="21" spans="2:14">
      <c r="B2" s="4" t="s">
        <v>1</v>
      </c>
      <c r="C2" s="5" t="str">
        <f>试题选择!E3</f>
        <v>翁宇豪</v>
      </c>
      <c r="D2" s="5"/>
      <c r="E2" s="6" t="s">
        <v>0</v>
      </c>
      <c r="F2" s="6"/>
      <c r="G2" s="7">
        <f>试题选择!C3</f>
        <v>40130</v>
      </c>
      <c r="H2" s="7"/>
      <c r="I2" s="7"/>
      <c r="J2" s="7"/>
      <c r="K2" s="14"/>
      <c r="L2" s="15"/>
      <c r="M2" s="16"/>
      <c r="N2" s="17">
        <f>(MAX(M5:M13)-MIN(M12:M13,M5:M10))*100</f>
        <v>600</v>
      </c>
    </row>
    <row r="3" ht="42" customHeight="1" spans="2:23">
      <c r="B3" s="8" t="str">
        <f>_xlfn.CONCAT("     已知某工程网络计划如图1所示，图中括号数字为工作的正常持续时间，字母为工序代号。表中数据为可压缩天数，以及压缩工序时间需要额外付出的成本，且已知工序的间接成本为",600+MOD(G2,2)*50,"元一天，试找出关键线路，求解最早开始时间、最早完成时间、最迟开始时间、最迟完成时间、工作总时差、工作自由时差，最佳工期及相应成本。")</f>
        <v>     已知某工程网络计划如图1所示，图中括号数字为工作的正常持续时间，字母为工序代号。表中数据为可压缩天数，以及压缩工序时间需要额外付出的成本，且已知工序的间接成本为600元一天，试找出关键线路，求解最早开始时间、最早完成时间、最迟开始时间、最迟完成时间、工作总时差、工作自由时差，最佳工期及相应成本。</v>
      </c>
      <c r="C3" s="8"/>
      <c r="D3" s="8"/>
      <c r="E3" s="8"/>
      <c r="F3" s="8"/>
      <c r="G3" s="8"/>
      <c r="H3" s="8"/>
      <c r="I3" s="8"/>
      <c r="J3" s="8"/>
      <c r="K3" s="8"/>
      <c r="L3" s="18" t="s">
        <v>178</v>
      </c>
      <c r="M3" s="19" t="s">
        <v>179</v>
      </c>
      <c r="N3" s="19" t="s">
        <v>180</v>
      </c>
      <c r="O3" s="19" t="s">
        <v>181</v>
      </c>
      <c r="P3" s="20" t="s">
        <v>180</v>
      </c>
      <c r="Q3" s="32" t="s">
        <v>182</v>
      </c>
      <c r="R3" s="32" t="s">
        <v>183</v>
      </c>
      <c r="S3" s="33" t="s">
        <v>184</v>
      </c>
      <c r="T3" s="33" t="s">
        <v>185</v>
      </c>
      <c r="U3" s="33" t="s">
        <v>186</v>
      </c>
      <c r="V3" s="33" t="s">
        <v>187</v>
      </c>
      <c r="W3" s="33" t="s">
        <v>188</v>
      </c>
    </row>
    <row r="4" ht="29" customHeight="1" spans="2:23">
      <c r="B4" s="8"/>
      <c r="C4" s="8"/>
      <c r="D4" s="8"/>
      <c r="E4" s="8"/>
      <c r="F4" s="8"/>
      <c r="G4" s="8"/>
      <c r="H4" s="8"/>
      <c r="I4" s="8"/>
      <c r="J4" s="8"/>
      <c r="K4" s="8"/>
      <c r="L4" s="21"/>
      <c r="M4" s="22" t="s">
        <v>189</v>
      </c>
      <c r="N4" s="22" t="s">
        <v>190</v>
      </c>
      <c r="O4" s="22" t="s">
        <v>189</v>
      </c>
      <c r="P4" s="23" t="s">
        <v>190</v>
      </c>
      <c r="Q4" s="34"/>
      <c r="R4" s="22" t="s">
        <v>191</v>
      </c>
      <c r="S4" s="23" t="s">
        <v>192</v>
      </c>
      <c r="T4" s="23" t="s">
        <v>193</v>
      </c>
      <c r="U4" s="23" t="s">
        <v>194</v>
      </c>
      <c r="V4" s="23" t="s">
        <v>195</v>
      </c>
      <c r="W4" s="23" t="s">
        <v>196</v>
      </c>
    </row>
    <row r="5" s="1" customFormat="1" ht="22" customHeight="1" spans="12:23">
      <c r="L5" s="24" t="s">
        <v>197</v>
      </c>
      <c r="M5" s="25">
        <f>IF(MOD(G2,3)=0,5,IF(MOD(G2,3)=1,4,6))</f>
        <v>6</v>
      </c>
      <c r="N5" s="25">
        <f>IF(N$2/3&gt;M5,(N$2/2+50)*M5,IF(N$2/3&gt;M5,N$2/2*M5,(N$2/2-50)*M5))</f>
        <v>2100</v>
      </c>
      <c r="O5" s="26">
        <f>IF(M5&lt;AVERAGEA(M$5:M$10,M$12:M$13),M5,ROUND(M5*0.75,0))</f>
        <v>6</v>
      </c>
      <c r="P5" s="26">
        <f>IF(O5=M5,N5,ROUNDUP(N5*1.2/O5/100,0)*100*O5)</f>
        <v>2100</v>
      </c>
      <c r="Q5" s="26"/>
      <c r="R5" s="35"/>
      <c r="S5" s="35"/>
      <c r="T5" s="35"/>
      <c r="U5" s="35"/>
      <c r="V5" s="35"/>
      <c r="W5" s="35"/>
    </row>
    <row r="6" s="1" customFormat="1" ht="22" customHeight="1" spans="6:23">
      <c r="F6" s="9" t="s">
        <v>198</v>
      </c>
      <c r="G6" s="10">
        <f>M8</f>
        <v>7</v>
      </c>
      <c r="L6" s="24" t="s">
        <v>199</v>
      </c>
      <c r="M6" s="26">
        <f>IF(MOD(G2,7)&lt;3,7,IF(MOD(G2,7)&lt;6,8,9))</f>
        <v>9</v>
      </c>
      <c r="N6" s="25">
        <f t="shared" ref="N6:N13" si="0">IF(N$2/3&gt;M6,(N$2/2+50)*M6,IF(N$2/3&gt;M6,N$2/2*M6,(N$2/2-50)*M6))</f>
        <v>3150</v>
      </c>
      <c r="O6" s="26">
        <f t="shared" ref="O6:O13" si="1">IF(M6&lt;AVERAGEA(M$5:M$10,M$12:M$13),M6,ROUND(M6*0.75,0))</f>
        <v>7</v>
      </c>
      <c r="P6" s="26">
        <f t="shared" ref="P6:P13" si="2">IF(O6=M6,N6,ROUNDUP(N6*1.2/O6/100,0)*100*O6)</f>
        <v>4200</v>
      </c>
      <c r="Q6" s="26"/>
      <c r="R6" s="35"/>
      <c r="S6" s="35"/>
      <c r="T6" s="35"/>
      <c r="U6" s="35"/>
      <c r="V6" s="35"/>
      <c r="W6" s="35"/>
    </row>
    <row r="7" s="1" customFormat="1" ht="22" customHeight="1" spans="5:23">
      <c r="E7" s="11"/>
      <c r="L7" s="24" t="s">
        <v>200</v>
      </c>
      <c r="M7" s="26">
        <f>IF(MOD(G2,4)&lt;2,11,9)</f>
        <v>9</v>
      </c>
      <c r="N7" s="25">
        <f t="shared" si="0"/>
        <v>3150</v>
      </c>
      <c r="O7" s="26">
        <f t="shared" si="1"/>
        <v>7</v>
      </c>
      <c r="P7" s="26">
        <f t="shared" si="2"/>
        <v>4200</v>
      </c>
      <c r="Q7" s="26"/>
      <c r="R7" s="35"/>
      <c r="S7" s="35"/>
      <c r="T7" s="35"/>
      <c r="U7" s="35"/>
      <c r="V7" s="35"/>
      <c r="W7" s="35"/>
    </row>
    <row r="8" s="1" customFormat="1" ht="22" customHeight="1" spans="12:23">
      <c r="L8" s="24" t="s">
        <v>198</v>
      </c>
      <c r="M8" s="26">
        <f>IF(MOD(G2,2)=0,7,9)</f>
        <v>7</v>
      </c>
      <c r="N8" s="25">
        <f t="shared" si="0"/>
        <v>2450</v>
      </c>
      <c r="O8" s="26">
        <f t="shared" si="1"/>
        <v>7</v>
      </c>
      <c r="P8" s="26">
        <f t="shared" si="2"/>
        <v>2450</v>
      </c>
      <c r="Q8" s="26"/>
      <c r="R8" s="35"/>
      <c r="S8" s="35"/>
      <c r="T8" s="35"/>
      <c r="U8" s="35"/>
      <c r="V8" s="35"/>
      <c r="W8" s="35"/>
    </row>
    <row r="9" s="1" customFormat="1" ht="22" customHeight="1" spans="3:23">
      <c r="C9" s="9" t="s">
        <v>201</v>
      </c>
      <c r="D9" s="12">
        <f>M5</f>
        <v>6</v>
      </c>
      <c r="I9" s="9" t="s">
        <v>202</v>
      </c>
      <c r="J9" s="12">
        <f>M12</f>
        <v>10</v>
      </c>
      <c r="L9" s="24" t="s">
        <v>203</v>
      </c>
      <c r="M9" s="26">
        <f>IF(MOD(G2,2)=0,9,7)</f>
        <v>9</v>
      </c>
      <c r="N9" s="25">
        <f t="shared" si="0"/>
        <v>3150</v>
      </c>
      <c r="O9" s="26">
        <f t="shared" si="1"/>
        <v>7</v>
      </c>
      <c r="P9" s="26">
        <f t="shared" si="2"/>
        <v>4200</v>
      </c>
      <c r="Q9" s="26"/>
      <c r="R9" s="35"/>
      <c r="S9" s="35"/>
      <c r="T9" s="35"/>
      <c r="U9" s="35"/>
      <c r="V9" s="35"/>
      <c r="W9" s="35"/>
    </row>
    <row r="10" s="1" customFormat="1" ht="22" customHeight="1" spans="12:23">
      <c r="L10" s="24" t="s">
        <v>204</v>
      </c>
      <c r="M10" s="26">
        <f>IF(MOD(G2,3)=0,10,IF(MOD(G2,3)=1,9,12))</f>
        <v>12</v>
      </c>
      <c r="N10" s="25">
        <f t="shared" si="0"/>
        <v>4200</v>
      </c>
      <c r="O10" s="26">
        <f t="shared" si="1"/>
        <v>9</v>
      </c>
      <c r="P10" s="26">
        <f t="shared" si="2"/>
        <v>5400</v>
      </c>
      <c r="Q10" s="26"/>
      <c r="R10" s="35"/>
      <c r="S10" s="35"/>
      <c r="T10" s="35"/>
      <c r="U10" s="35"/>
      <c r="V10" s="35"/>
      <c r="W10" s="35"/>
    </row>
    <row r="11" s="1" customFormat="1" ht="22" customHeight="1" spans="2:23">
      <c r="B11" s="11"/>
      <c r="D11" s="9" t="s">
        <v>200</v>
      </c>
      <c r="E11" s="10">
        <f>M7</f>
        <v>9</v>
      </c>
      <c r="H11" s="13" t="s">
        <v>205</v>
      </c>
      <c r="I11" s="27"/>
      <c r="L11" s="24" t="s">
        <v>206</v>
      </c>
      <c r="M11" s="28">
        <v>0</v>
      </c>
      <c r="N11" s="28">
        <v>0</v>
      </c>
      <c r="O11" s="28">
        <v>0</v>
      </c>
      <c r="P11" s="28">
        <v>0</v>
      </c>
      <c r="Q11" s="36"/>
      <c r="R11" s="35"/>
      <c r="S11" s="35"/>
      <c r="T11" s="35"/>
      <c r="U11" s="35"/>
      <c r="V11" s="35"/>
      <c r="W11" s="35"/>
    </row>
    <row r="12" s="1" customFormat="1" ht="22" customHeight="1" spans="6:23">
      <c r="F12" s="9" t="s">
        <v>207</v>
      </c>
      <c r="G12" s="10">
        <f>M9</f>
        <v>9</v>
      </c>
      <c r="L12" s="24" t="s">
        <v>202</v>
      </c>
      <c r="M12" s="26">
        <f>IF(MOD(G2,8)&lt;4,10,7)</f>
        <v>10</v>
      </c>
      <c r="N12" s="25">
        <f t="shared" si="0"/>
        <v>3500</v>
      </c>
      <c r="O12" s="26">
        <f t="shared" si="1"/>
        <v>8</v>
      </c>
      <c r="P12" s="26">
        <f t="shared" si="2"/>
        <v>4800</v>
      </c>
      <c r="Q12" s="26"/>
      <c r="R12" s="35"/>
      <c r="S12" s="35"/>
      <c r="T12" s="35"/>
      <c r="U12" s="35"/>
      <c r="V12" s="35"/>
      <c r="W12" s="35"/>
    </row>
    <row r="13" s="1" customFormat="1" ht="22" customHeight="1" spans="12:23">
      <c r="L13" s="29" t="s">
        <v>208</v>
      </c>
      <c r="M13" s="25">
        <f>ROUND(AVERAGE(M5:M12),0)</f>
        <v>8</v>
      </c>
      <c r="N13" s="25">
        <f t="shared" si="0"/>
        <v>2800</v>
      </c>
      <c r="O13" s="26">
        <f t="shared" si="1"/>
        <v>8</v>
      </c>
      <c r="P13" s="26">
        <f t="shared" si="2"/>
        <v>2800</v>
      </c>
      <c r="Q13" s="26"/>
      <c r="R13" s="35"/>
      <c r="S13" s="35"/>
      <c r="T13" s="35"/>
      <c r="U13" s="35"/>
      <c r="V13" s="35"/>
      <c r="W13" s="35"/>
    </row>
    <row r="14" s="1" customFormat="1" ht="22" customHeight="1" spans="3:17">
      <c r="C14" s="9" t="s">
        <v>209</v>
      </c>
      <c r="D14" s="12">
        <f>M6</f>
        <v>9</v>
      </c>
      <c r="I14" s="9" t="s">
        <v>208</v>
      </c>
      <c r="J14" s="12">
        <f>M13</f>
        <v>8</v>
      </c>
      <c r="L14" s="2"/>
      <c r="M14" s="3"/>
      <c r="N14" s="3"/>
      <c r="O14" s="3"/>
      <c r="P14" s="3"/>
      <c r="Q14" s="3"/>
    </row>
    <row r="15" s="1" customFormat="1" ht="22" customHeight="1" spans="11:20">
      <c r="K15" s="1" t="s">
        <v>210</v>
      </c>
      <c r="L15" s="30"/>
      <c r="M15" s="31"/>
      <c r="N15" s="31"/>
      <c r="O15" s="31"/>
      <c r="P15" s="31"/>
      <c r="Q15" s="31"/>
      <c r="R15" s="37"/>
      <c r="S15" s="37"/>
      <c r="T15" s="37"/>
    </row>
    <row r="16" s="1" customFormat="1" ht="22" customHeight="1" spans="12:17">
      <c r="L16" s="2"/>
      <c r="M16" s="3"/>
      <c r="N16" s="3"/>
      <c r="O16" s="3"/>
      <c r="P16" s="3"/>
      <c r="Q16" s="3"/>
    </row>
    <row r="17" s="1" customFormat="1" ht="22" customHeight="1" spans="6:17">
      <c r="F17" s="9" t="s">
        <v>204</v>
      </c>
      <c r="G17" s="10">
        <f>M10</f>
        <v>12</v>
      </c>
      <c r="L17" s="2"/>
      <c r="M17" s="3"/>
      <c r="N17" s="3"/>
      <c r="O17" s="3"/>
      <c r="P17" s="3"/>
      <c r="Q17" s="3"/>
    </row>
  </sheetData>
  <mergeCells count="5">
    <mergeCell ref="C2:D2"/>
    <mergeCell ref="G2:J2"/>
    <mergeCell ref="L3:L4"/>
    <mergeCell ref="Q3:Q4"/>
    <mergeCell ref="B3:K4"/>
  </mergeCells>
  <conditionalFormatting sqref="Q5:Q13">
    <cfRule type="cellIs" dxfId="0" priority="1" operator="equal">
      <formula>"是"</formula>
    </cfRule>
    <cfRule type="cellIs" dxfId="0" priority="2" operator="equal">
      <formula>"是"</formula>
    </cfRule>
  </conditionalFormatting>
  <dataValidations count="1">
    <dataValidation type="list" allowBlank="1" showInputMessage="1" showErrorMessage="1" sqref="Q5:Q13">
      <formula1>"是,否"</formula1>
    </dataValidation>
  </dataValidations>
  <pageMargins left="0.7" right="0.7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试题选择</vt:lpstr>
      <vt:lpstr>线性规划</vt:lpstr>
      <vt:lpstr>Dijkstra 算法</vt:lpstr>
      <vt:lpstr>运输问题</vt:lpstr>
      <vt:lpstr>最小费用最大流</vt:lpstr>
      <vt:lpstr>贝叶斯分析</vt:lpstr>
      <vt:lpstr>层次分析法 </vt:lpstr>
      <vt:lpstr>0-1整数规划</vt:lpstr>
      <vt:lpstr>网络计划优化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</dc:creator>
  <cp:lastModifiedBy>清烟ღ</cp:lastModifiedBy>
  <dcterms:created xsi:type="dcterms:W3CDTF">2015-06-05T18:19:00Z</dcterms:created>
  <dcterms:modified xsi:type="dcterms:W3CDTF">2024-06-26T12:31:41Z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0082EACB2145413AA722286E56C774E1_12</vt:lpwstr>
  </property>
  <property fmtid="{D5CDD505-2E9C-101B-9397-08002B2CF9AE}" pid="3" name="KSOProductBuildVer">
    <vt:lpwstr>2052-12.1.0.17140</vt:lpwstr>
  </property>
</Properties>
</file>