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6.xml" ContentType="application/vnd.openxmlformats-officedocument.drawing+xml"/>
  <Override PartName="/xl/charts/chart13.xml" ContentType="application/vnd.openxmlformats-officedocument.drawingml.chart+xml"/>
  <Override PartName="/xl/drawings/drawing7.xml" ContentType="application/vnd.openxmlformats-officedocument.drawing+xml"/>
  <Override PartName="/xl/charts/chart14.xml" ContentType="application/vnd.openxmlformats-officedocument.drawingml.chart+xml"/>
  <Override PartName="/xl/drawings/drawing8.xml" ContentType="application/vnd.openxmlformats-officedocument.drawing+xml"/>
  <Override PartName="/xl/charts/chart15.xml" ContentType="application/vnd.openxmlformats-officedocument.drawingml.chart+xml"/>
  <Override PartName="/xl/drawings/drawing9.xml" ContentType="application/vnd.openxmlformats-officedocument.drawing+xml"/>
  <Override PartName="/xl/charts/chart16.xml" ContentType="application/vnd.openxmlformats-officedocument.drawingml.chart+xml"/>
  <Override PartName="/xl/drawings/drawing10.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drawings/drawing11.xml" ContentType="application/vnd.openxmlformats-officedocument.drawing+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drawings/drawing12.xml" ContentType="application/vnd.openxmlformats-officedocument.drawing+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drawings/drawing13.xml" ContentType="application/vnd.openxmlformats-officedocument.drawing+xml"/>
  <Override PartName="/xl/charts/chart37.xml" ContentType="application/vnd.openxmlformats-officedocument.drawingml.chart+xml"/>
  <Override PartName="/xl/drawings/drawing14.xml" ContentType="application/vnd.openxmlformats-officedocument.drawing+xml"/>
  <Override PartName="/xl/charts/chart38.xml" ContentType="application/vnd.openxmlformats-officedocument.drawingml.chart+xml"/>
  <Override PartName="/xl/drawings/drawing15.xml" ContentType="application/vnd.openxmlformats-officedocument.drawing+xml"/>
  <Override PartName="/xl/charts/chart39.xml" ContentType="application/vnd.openxmlformats-officedocument.drawingml.chart+xml"/>
  <Override PartName="/xl/drawings/drawing16.xml" ContentType="application/vnd.openxmlformats-officedocument.drawing+xml"/>
  <Override PartName="/xl/charts/chart40.xml" ContentType="application/vnd.openxmlformats-officedocument.drawingml.chart+xml"/>
  <Override PartName="/xl/drawings/drawing17.xml" ContentType="application/vnd.openxmlformats-officedocument.drawing+xml"/>
  <Override PartName="/xl/charts/chart41.xml" ContentType="application/vnd.openxmlformats-officedocument.drawingml.chart+xml"/>
  <Override PartName="/xl/drawings/drawing18.xml" ContentType="application/vnd.openxmlformats-officedocument.drawing+xml"/>
  <Override PartName="/xl/charts/chart42.xml" ContentType="application/vnd.openxmlformats-officedocument.drawingml.chart+xml"/>
  <Override PartName="/xl/drawings/drawing19.xml" ContentType="application/vnd.openxmlformats-officedocument.drawing+xml"/>
  <Override PartName="/xl/charts/chart43.xml" ContentType="application/vnd.openxmlformats-officedocument.drawingml.chart+xml"/>
  <Override PartName="/xl/drawings/drawing20.xml" ContentType="application/vnd.openxmlformats-officedocument.drawing+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drawings/drawing21.xml" ContentType="application/vnd.openxmlformats-officedocument.drawing+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drawings/drawing22.xml" ContentType="application/vnd.openxmlformats-officedocument.drawing+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drawings/drawing23.xml" ContentType="application/vnd.openxmlformats-officedocument.drawing+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uario\Documents\adriana\Manteniemiento\METROLOGIA\Certificados de Calibracion 2021\PISTA MIXTA 1\"/>
    </mc:Choice>
  </mc:AlternateContent>
  <bookViews>
    <workbookView xWindow="0" yWindow="0" windowWidth="20490" windowHeight="7620"/>
  </bookViews>
  <sheets>
    <sheet name="CARTA DE CONTROL" sheetId="4" r:id="rId1"/>
    <sheet name="MONOXIDO (CO)  " sheetId="32" r:id="rId2"/>
    <sheet name="DIOXIDO (CO2)  " sheetId="33" r:id="rId3"/>
    <sheet name="HIDROCARBUROS (HC) " sheetId="34" r:id="rId4"/>
    <sheet name="OXIGENO (O2) " sheetId="35" r:id="rId5"/>
    <sheet name="TEMPERATURA (TEM) " sheetId="39" r:id="rId6"/>
    <sheet name="VIBRACION RPM" sheetId="36" r:id="rId7"/>
    <sheet name="BATERIA RPM " sheetId="43" r:id="rId8"/>
    <sheet name="ALINEADOR AL PASO" sheetId="44" r:id="rId9"/>
    <sheet name="SUSPENSION" sheetId="45" r:id="rId10"/>
    <sheet name="FRENOMETRO (FUERZA)" sheetId="20" r:id="rId11"/>
    <sheet name="FRENOMETRO (PESO)" sheetId="21" r:id="rId12"/>
    <sheet name="OPACIMETRO" sheetId="46" r:id="rId13"/>
    <sheet name="LUXOMETRO (INTENSIDAD)" sheetId="22" r:id="rId14"/>
    <sheet name="LUXOMETRO (INCLINACION)" sheetId="23" r:id="rId15"/>
    <sheet name="PROFUNDIMETRO" sheetId="42" r:id="rId16"/>
    <sheet name="SONOMETRO" sheetId="47" r:id="rId17"/>
    <sheet name="REVOLUCIONES POR MINUTO 2T" sheetId="40" r:id="rId18"/>
    <sheet name="TEMPERATURA (TEM) 2T" sheetId="41" r:id="rId19"/>
    <sheet name="MONOXIDO (CO) 2T" sheetId="5" r:id="rId20"/>
    <sheet name="DIOXIDO (CO2) 2T" sheetId="11" r:id="rId21"/>
    <sheet name="HIDROCARBUROS (HC) 2T " sheetId="12" r:id="rId22"/>
    <sheet name="OXIGENO (O2) 2T" sheetId="13" r:id="rId2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1" i="47" l="1"/>
  <c r="C41" i="47"/>
  <c r="G41" i="47" s="1"/>
  <c r="D41" i="47"/>
  <c r="E41" i="47"/>
  <c r="F41" i="47"/>
  <c r="F40" i="47"/>
  <c r="E40" i="47"/>
  <c r="D40" i="47"/>
  <c r="C40" i="47"/>
  <c r="B40" i="47"/>
  <c r="C10" i="47"/>
  <c r="C9" i="47"/>
  <c r="C8" i="47"/>
  <c r="C7" i="47"/>
  <c r="B40" i="42"/>
  <c r="C40" i="42"/>
  <c r="D40" i="42"/>
  <c r="E40" i="42"/>
  <c r="F40" i="42"/>
  <c r="G40" i="42"/>
  <c r="AR192" i="4"/>
  <c r="AS192" i="4"/>
  <c r="AT192" i="4" s="1"/>
  <c r="AV192" i="4" s="1"/>
  <c r="AW192" i="4" s="1"/>
  <c r="AX192" i="4" s="1"/>
  <c r="AY192" i="4" s="1"/>
  <c r="AU192" i="4"/>
  <c r="AP193" i="4"/>
  <c r="AP192" i="4"/>
  <c r="AP191" i="4"/>
  <c r="AP190" i="4"/>
  <c r="AP189" i="4"/>
  <c r="AP188" i="4"/>
  <c r="AP183" i="4"/>
  <c r="AP187" i="4"/>
  <c r="AP186" i="4"/>
  <c r="AP185" i="4"/>
  <c r="AP184" i="4"/>
  <c r="AJ193" i="4"/>
  <c r="AJ192" i="4"/>
  <c r="AJ191" i="4"/>
  <c r="AJ190" i="4"/>
  <c r="AJ188" i="4"/>
  <c r="AJ187" i="4"/>
  <c r="AJ186" i="4"/>
  <c r="AJ185" i="4"/>
  <c r="AJ184" i="4"/>
  <c r="B41" i="46"/>
  <c r="E41" i="46"/>
  <c r="F41" i="46"/>
  <c r="B42" i="46"/>
  <c r="E42" i="46"/>
  <c r="F42" i="46"/>
  <c r="B43" i="46"/>
  <c r="E43" i="46"/>
  <c r="F43" i="46"/>
  <c r="F40" i="46"/>
  <c r="E40" i="46"/>
  <c r="D40" i="46"/>
  <c r="C40" i="46"/>
  <c r="G40" i="46" s="1"/>
  <c r="B40" i="46"/>
  <c r="C10" i="46"/>
  <c r="C9" i="46"/>
  <c r="C8" i="46"/>
  <c r="C7" i="46"/>
  <c r="AJ155" i="4"/>
  <c r="AJ154" i="4"/>
  <c r="AJ153" i="4"/>
  <c r="AJ152" i="4"/>
  <c r="G40" i="47" l="1"/>
  <c r="AU155" i="4"/>
  <c r="AS155" i="4"/>
  <c r="D43" i="46" s="1"/>
  <c r="V155" i="4"/>
  <c r="AE155" i="4" s="1"/>
  <c r="AU154" i="4"/>
  <c r="AR154" i="4"/>
  <c r="C42" i="46" s="1"/>
  <c r="V154" i="4"/>
  <c r="AD154" i="4" s="1"/>
  <c r="AU153" i="4"/>
  <c r="AR153" i="4"/>
  <c r="C41" i="46" s="1"/>
  <c r="G41" i="46" s="1"/>
  <c r="AS153" i="4"/>
  <c r="D41" i="46" s="1"/>
  <c r="AD153" i="4"/>
  <c r="V153" i="4"/>
  <c r="AE153" i="4" s="1"/>
  <c r="BD152" i="4"/>
  <c r="AU152" i="4"/>
  <c r="AR152" i="4"/>
  <c r="AS152" i="4"/>
  <c r="AD152" i="4"/>
  <c r="V152" i="4"/>
  <c r="AE152" i="4" s="1"/>
  <c r="AF152" i="4" l="1"/>
  <c r="AT152" i="4"/>
  <c r="AV152" i="4" s="1"/>
  <c r="AW152" i="4" s="1"/>
  <c r="AX152" i="4" s="1"/>
  <c r="AF153" i="4"/>
  <c r="AT153" i="4"/>
  <c r="AD155" i="4"/>
  <c r="AF155" i="4" s="1"/>
  <c r="AR155" i="4"/>
  <c r="AE154" i="4"/>
  <c r="AF154" i="4" s="1"/>
  <c r="AS154" i="4"/>
  <c r="AT154" i="4" l="1"/>
  <c r="D42" i="46"/>
  <c r="G42" i="46" s="1"/>
  <c r="AT155" i="4"/>
  <c r="C43" i="46"/>
  <c r="G43" i="46" s="1"/>
  <c r="AV153" i="4"/>
  <c r="AW153" i="4" s="1"/>
  <c r="AX153" i="4" s="1"/>
  <c r="AY153" i="4" s="1"/>
  <c r="AV154" i="4"/>
  <c r="AW154" i="4" s="1"/>
  <c r="AX154" i="4" s="1"/>
  <c r="AY154" i="4" s="1"/>
  <c r="AY152" i="4"/>
  <c r="AV155" i="4"/>
  <c r="AW155" i="4" s="1"/>
  <c r="AX155" i="4" s="1"/>
  <c r="AY155" i="4" s="1"/>
  <c r="BC153" i="4" l="1"/>
  <c r="B222" i="21" l="1"/>
  <c r="D222" i="21"/>
  <c r="B223" i="21"/>
  <c r="D223" i="21"/>
  <c r="B224" i="21"/>
  <c r="D224" i="21"/>
  <c r="B225" i="21"/>
  <c r="D225" i="21"/>
  <c r="B226" i="21"/>
  <c r="D226" i="21"/>
  <c r="B227" i="21"/>
  <c r="D227" i="21"/>
  <c r="B228" i="21"/>
  <c r="D228" i="21"/>
  <c r="B229" i="21"/>
  <c r="D229" i="21"/>
  <c r="D221" i="21"/>
  <c r="B221" i="21"/>
  <c r="B192" i="21"/>
  <c r="E192" i="21"/>
  <c r="F192" i="21"/>
  <c r="B193" i="21"/>
  <c r="E193" i="21"/>
  <c r="F193" i="21"/>
  <c r="B194" i="21"/>
  <c r="E194" i="21"/>
  <c r="F194" i="21"/>
  <c r="B195" i="21"/>
  <c r="E195" i="21"/>
  <c r="F195" i="21"/>
  <c r="B196" i="21"/>
  <c r="E196" i="21"/>
  <c r="F196" i="21"/>
  <c r="B197" i="21"/>
  <c r="E197" i="21"/>
  <c r="F197" i="21"/>
  <c r="B198" i="21"/>
  <c r="E198" i="21"/>
  <c r="F198" i="21"/>
  <c r="B199" i="21"/>
  <c r="E199" i="21"/>
  <c r="F199" i="21"/>
  <c r="F191" i="21"/>
  <c r="E191" i="21"/>
  <c r="B191" i="21"/>
  <c r="B171" i="21"/>
  <c r="D171" i="21"/>
  <c r="B172" i="21"/>
  <c r="D172" i="21"/>
  <c r="B173" i="21"/>
  <c r="D173" i="21"/>
  <c r="B174" i="21"/>
  <c r="D174" i="21"/>
  <c r="D170" i="21"/>
  <c r="C170" i="21"/>
  <c r="B170" i="21"/>
  <c r="B145" i="21"/>
  <c r="E145" i="21"/>
  <c r="F145" i="21"/>
  <c r="B146" i="21"/>
  <c r="E146" i="21"/>
  <c r="F146" i="21"/>
  <c r="B147" i="21"/>
  <c r="E147" i="21"/>
  <c r="F147" i="21"/>
  <c r="B148" i="21"/>
  <c r="E148" i="21"/>
  <c r="F148" i="21"/>
  <c r="F144" i="21"/>
  <c r="E144" i="21"/>
  <c r="B144" i="21"/>
  <c r="E170" i="21"/>
  <c r="B118" i="21"/>
  <c r="D118" i="21"/>
  <c r="B119" i="21"/>
  <c r="D119" i="21"/>
  <c r="B120" i="21"/>
  <c r="D120" i="21"/>
  <c r="B121" i="21"/>
  <c r="D121" i="21"/>
  <c r="B88" i="21" l="1"/>
  <c r="E88" i="21"/>
  <c r="F88" i="21"/>
  <c r="B89" i="21"/>
  <c r="E89" i="21"/>
  <c r="F89" i="21"/>
  <c r="B90" i="21"/>
  <c r="E90" i="21"/>
  <c r="F90" i="21"/>
  <c r="B91" i="21"/>
  <c r="E91" i="21"/>
  <c r="F91" i="21"/>
  <c r="AY139" i="4" l="1"/>
  <c r="AY140" i="4"/>
  <c r="AU149" i="4"/>
  <c r="AU150" i="4"/>
  <c r="AU143" i="4"/>
  <c r="AU144" i="4"/>
  <c r="AU145" i="4"/>
  <c r="AU146" i="4"/>
  <c r="AU129" i="4"/>
  <c r="AU130" i="4"/>
  <c r="AU131" i="4"/>
  <c r="AU132" i="4"/>
  <c r="AU151" i="4"/>
  <c r="AQ151" i="4"/>
  <c r="AM151" i="4"/>
  <c r="C229" i="21" s="1"/>
  <c r="E229" i="21" s="1"/>
  <c r="AJ151" i="4"/>
  <c r="AK151" i="4" s="1"/>
  <c r="Y151" i="4"/>
  <c r="V151" i="4"/>
  <c r="W151" i="4" s="1"/>
  <c r="AQ150" i="4"/>
  <c r="AM150" i="4"/>
  <c r="C228" i="21" s="1"/>
  <c r="E228" i="21" s="1"/>
  <c r="AJ150" i="4"/>
  <c r="AK150" i="4" s="1"/>
  <c r="AR150" i="4" s="1"/>
  <c r="C198" i="21" s="1"/>
  <c r="Y150" i="4"/>
  <c r="V150" i="4"/>
  <c r="W150" i="4" s="1"/>
  <c r="AE150" i="4" s="1"/>
  <c r="AQ149" i="4"/>
  <c r="AM149" i="4"/>
  <c r="C227" i="21" s="1"/>
  <c r="E227" i="21" s="1"/>
  <c r="AJ149" i="4"/>
  <c r="AK149" i="4" s="1"/>
  <c r="Y149" i="4"/>
  <c r="V149" i="4"/>
  <c r="W149" i="4" s="1"/>
  <c r="AU148" i="4"/>
  <c r="AQ148" i="4"/>
  <c r="AM148" i="4"/>
  <c r="C226" i="21" s="1"/>
  <c r="E226" i="21" s="1"/>
  <c r="AJ148" i="4"/>
  <c r="AK148" i="4" s="1"/>
  <c r="AS148" i="4" s="1"/>
  <c r="D196" i="21" s="1"/>
  <c r="Y148" i="4"/>
  <c r="V148" i="4"/>
  <c r="W148" i="4" s="1"/>
  <c r="AD148" i="4" s="1"/>
  <c r="AU147" i="4"/>
  <c r="AQ147" i="4"/>
  <c r="AM147" i="4"/>
  <c r="C225" i="21" s="1"/>
  <c r="E225" i="21" s="1"/>
  <c r="AJ147" i="4"/>
  <c r="AK147" i="4" s="1"/>
  <c r="AS147" i="4" s="1"/>
  <c r="D195" i="21" s="1"/>
  <c r="Y147" i="4"/>
  <c r="V147" i="4"/>
  <c r="W147" i="4" s="1"/>
  <c r="AD147" i="4" s="1"/>
  <c r="AQ146" i="4"/>
  <c r="AM146" i="4"/>
  <c r="C224" i="21" s="1"/>
  <c r="E224" i="21" s="1"/>
  <c r="AJ146" i="4"/>
  <c r="AR146" i="4" s="1"/>
  <c r="C194" i="21" s="1"/>
  <c r="Y146" i="4"/>
  <c r="V146" i="4"/>
  <c r="W146" i="4" s="1"/>
  <c r="AE146" i="4" s="1"/>
  <c r="AQ145" i="4"/>
  <c r="AM145" i="4"/>
  <c r="C223" i="21" s="1"/>
  <c r="E223" i="21" s="1"/>
  <c r="AJ145" i="4"/>
  <c r="AK145" i="4" s="1"/>
  <c r="AS145" i="4" s="1"/>
  <c r="D193" i="21" s="1"/>
  <c r="AQ144" i="4"/>
  <c r="AM144" i="4"/>
  <c r="C222" i="21" s="1"/>
  <c r="E222" i="21" s="1"/>
  <c r="AJ144" i="4"/>
  <c r="AK144" i="4" s="1"/>
  <c r="AS144" i="4" s="1"/>
  <c r="D192" i="21" s="1"/>
  <c r="Y144" i="4"/>
  <c r="W144" i="4"/>
  <c r="AE144" i="4" s="1"/>
  <c r="V144" i="4"/>
  <c r="AQ143" i="4"/>
  <c r="AM143" i="4"/>
  <c r="C221" i="21" s="1"/>
  <c r="E221" i="21" s="1"/>
  <c r="AJ143" i="4"/>
  <c r="AK143" i="4" s="1"/>
  <c r="AS143" i="4" s="1"/>
  <c r="D191" i="21" s="1"/>
  <c r="AU142" i="4"/>
  <c r="AR142" i="4"/>
  <c r="AQ142" i="4"/>
  <c r="AM142" i="4"/>
  <c r="C174" i="21" s="1"/>
  <c r="E174" i="21" s="1"/>
  <c r="AJ142" i="4"/>
  <c r="AK142" i="4" s="1"/>
  <c r="AS142" i="4" s="1"/>
  <c r="D148" i="21" s="1"/>
  <c r="Y142" i="4"/>
  <c r="V142" i="4"/>
  <c r="W142" i="4" s="1"/>
  <c r="AD142" i="4" s="1"/>
  <c r="AU141" i="4"/>
  <c r="AQ141" i="4"/>
  <c r="AM141" i="4"/>
  <c r="C173" i="21" s="1"/>
  <c r="E173" i="21" s="1"/>
  <c r="AJ141" i="4"/>
  <c r="AK141" i="4" s="1"/>
  <c r="AS141" i="4" s="1"/>
  <c r="D147" i="21" s="1"/>
  <c r="AQ140" i="4"/>
  <c r="AM140" i="4"/>
  <c r="C172" i="21" s="1"/>
  <c r="E172" i="21" s="1"/>
  <c r="AJ140" i="4"/>
  <c r="AK140" i="4" s="1"/>
  <c r="AS140" i="4" s="1"/>
  <c r="D146" i="21" s="1"/>
  <c r="AQ139" i="4"/>
  <c r="AM139" i="4"/>
  <c r="C171" i="21" s="1"/>
  <c r="E171" i="21" s="1"/>
  <c r="AJ139" i="4"/>
  <c r="AK139" i="4" s="1"/>
  <c r="AS139" i="4" s="1"/>
  <c r="D145" i="21" s="1"/>
  <c r="AU138" i="4"/>
  <c r="AS138" i="4"/>
  <c r="D144" i="21" s="1"/>
  <c r="AR138" i="4"/>
  <c r="AJ138" i="4"/>
  <c r="AE138" i="4"/>
  <c r="AD138" i="4"/>
  <c r="V138" i="4"/>
  <c r="Y137" i="4"/>
  <c r="Y136" i="4"/>
  <c r="Y135" i="4"/>
  <c r="Y134" i="4"/>
  <c r="Y133" i="4"/>
  <c r="Y132" i="4"/>
  <c r="Y130" i="4"/>
  <c r="Y128" i="4"/>
  <c r="V136" i="4"/>
  <c r="W136" i="4" s="1"/>
  <c r="V135" i="4"/>
  <c r="W135" i="4" s="1"/>
  <c r="V134" i="4"/>
  <c r="W134" i="4" s="1"/>
  <c r="V133" i="4"/>
  <c r="W133" i="4" s="1"/>
  <c r="V132" i="4"/>
  <c r="W132" i="4" s="1"/>
  <c r="V130" i="4"/>
  <c r="W130" i="4" s="1"/>
  <c r="V128" i="4"/>
  <c r="AQ126" i="4"/>
  <c r="AQ127" i="4"/>
  <c r="AQ128" i="4"/>
  <c r="AQ129" i="4"/>
  <c r="AQ130" i="4"/>
  <c r="AQ131" i="4"/>
  <c r="AQ132" i="4"/>
  <c r="AQ133" i="4"/>
  <c r="AQ134" i="4"/>
  <c r="AQ135" i="4"/>
  <c r="AQ136" i="4"/>
  <c r="AQ137" i="4"/>
  <c r="AQ125" i="4"/>
  <c r="AM132" i="4"/>
  <c r="C121" i="21" s="1"/>
  <c r="E121" i="21" s="1"/>
  <c r="AM131" i="4"/>
  <c r="C120" i="21" s="1"/>
  <c r="E120" i="21" s="1"/>
  <c r="AM130" i="4"/>
  <c r="C119" i="21" s="1"/>
  <c r="E119" i="21" s="1"/>
  <c r="AM129" i="4"/>
  <c r="C118" i="21" s="1"/>
  <c r="E118" i="21" s="1"/>
  <c r="AK130" i="4"/>
  <c r="AS130" i="4" s="1"/>
  <c r="D89" i="21" s="1"/>
  <c r="AK132" i="4"/>
  <c r="AS132" i="4" s="1"/>
  <c r="D91" i="21" s="1"/>
  <c r="AJ132" i="4"/>
  <c r="AR132" i="4" s="1"/>
  <c r="AJ131" i="4"/>
  <c r="AK131" i="4" s="1"/>
  <c r="AS131" i="4" s="1"/>
  <c r="D90" i="21" s="1"/>
  <c r="AJ130" i="4"/>
  <c r="AR130" i="4" s="1"/>
  <c r="AJ129" i="4"/>
  <c r="AK129" i="4" s="1"/>
  <c r="AS129" i="4" s="1"/>
  <c r="D88" i="21" s="1"/>
  <c r="B121" i="20"/>
  <c r="D121" i="20"/>
  <c r="B122" i="20"/>
  <c r="D122" i="20"/>
  <c r="B123" i="20"/>
  <c r="D123" i="20"/>
  <c r="B124" i="20"/>
  <c r="C124" i="20"/>
  <c r="D124" i="20"/>
  <c r="E124" i="20"/>
  <c r="B125" i="20"/>
  <c r="C125" i="20"/>
  <c r="D125" i="20"/>
  <c r="E125" i="20"/>
  <c r="B126" i="20"/>
  <c r="D126" i="20"/>
  <c r="B127" i="20"/>
  <c r="C127" i="20"/>
  <c r="D127" i="20"/>
  <c r="E127" i="20"/>
  <c r="D120" i="20"/>
  <c r="C120" i="20"/>
  <c r="E120" i="20" s="1"/>
  <c r="B120" i="20"/>
  <c r="B93" i="20"/>
  <c r="D93" i="20"/>
  <c r="E93" i="20"/>
  <c r="F93" i="20"/>
  <c r="B94" i="20"/>
  <c r="E94" i="20"/>
  <c r="F94" i="20"/>
  <c r="B95" i="20"/>
  <c r="E95" i="20"/>
  <c r="F95" i="20"/>
  <c r="B96" i="20"/>
  <c r="E96" i="20"/>
  <c r="F96" i="20"/>
  <c r="B97" i="20"/>
  <c r="E97" i="20"/>
  <c r="F97" i="20"/>
  <c r="B98" i="20"/>
  <c r="E98" i="20"/>
  <c r="F98" i="20"/>
  <c r="B99" i="20"/>
  <c r="E99" i="20"/>
  <c r="F99" i="20"/>
  <c r="F92" i="20"/>
  <c r="E92" i="20"/>
  <c r="D92" i="20"/>
  <c r="B92" i="20"/>
  <c r="Y123" i="4"/>
  <c r="Y116" i="4"/>
  <c r="Y117" i="4"/>
  <c r="Y118" i="4"/>
  <c r="Y119" i="4"/>
  <c r="Y120" i="4"/>
  <c r="Y121" i="4"/>
  <c r="Y115" i="4"/>
  <c r="V123" i="4"/>
  <c r="W123" i="4"/>
  <c r="AE123" i="4" s="1"/>
  <c r="V117" i="4"/>
  <c r="W117" i="4" s="1"/>
  <c r="V116" i="4"/>
  <c r="W116" i="4" s="1"/>
  <c r="Y113" i="4"/>
  <c r="Y106" i="4"/>
  <c r="Y107" i="4"/>
  <c r="Y108" i="4"/>
  <c r="Y109" i="4"/>
  <c r="Y110" i="4"/>
  <c r="Y111" i="4"/>
  <c r="Y105" i="4"/>
  <c r="X104" i="4"/>
  <c r="V113" i="4"/>
  <c r="W113" i="4" s="1"/>
  <c r="V107" i="4"/>
  <c r="W107" i="4" s="1"/>
  <c r="AD107" i="4" s="1"/>
  <c r="V106" i="4"/>
  <c r="W106" i="4" s="1"/>
  <c r="AY123" i="4"/>
  <c r="AU123" i="4"/>
  <c r="AQ123" i="4"/>
  <c r="AM123" i="4"/>
  <c r="AJ123" i="4"/>
  <c r="AK123" i="4" s="1"/>
  <c r="AU122" i="4"/>
  <c r="AQ122" i="4"/>
  <c r="AM122" i="4"/>
  <c r="AJ122" i="4"/>
  <c r="AK122" i="4" s="1"/>
  <c r="AU121" i="4"/>
  <c r="AQ121" i="4"/>
  <c r="AM121" i="4"/>
  <c r="AJ121" i="4"/>
  <c r="AK121" i="4" s="1"/>
  <c r="AS121" i="4" s="1"/>
  <c r="D99" i="20" s="1"/>
  <c r="V121" i="4"/>
  <c r="AU120" i="4"/>
  <c r="AQ120" i="4"/>
  <c r="AM120" i="4"/>
  <c r="C126" i="20" s="1"/>
  <c r="E126" i="20" s="1"/>
  <c r="AJ120" i="4"/>
  <c r="AK120" i="4" s="1"/>
  <c r="AS120" i="4" s="1"/>
  <c r="D98" i="20" s="1"/>
  <c r="V120" i="4"/>
  <c r="AU119" i="4"/>
  <c r="AQ119" i="4"/>
  <c r="AM119" i="4"/>
  <c r="AJ119" i="4"/>
  <c r="AK119" i="4" s="1"/>
  <c r="AS119" i="4" s="1"/>
  <c r="D97" i="20" s="1"/>
  <c r="V119" i="4"/>
  <c r="AU118" i="4"/>
  <c r="AQ118" i="4"/>
  <c r="AM118" i="4"/>
  <c r="AJ118" i="4"/>
  <c r="AK118" i="4" s="1"/>
  <c r="V118" i="4"/>
  <c r="AU117" i="4"/>
  <c r="AQ117" i="4"/>
  <c r="AM117" i="4"/>
  <c r="C123" i="20" s="1"/>
  <c r="E123" i="20" s="1"/>
  <c r="AJ117" i="4"/>
  <c r="AK117" i="4" s="1"/>
  <c r="AS117" i="4" s="1"/>
  <c r="D95" i="20" s="1"/>
  <c r="AU116" i="4"/>
  <c r="AQ116" i="4"/>
  <c r="AM116" i="4"/>
  <c r="C122" i="20" s="1"/>
  <c r="E122" i="20" s="1"/>
  <c r="AJ116" i="4"/>
  <c r="AK116" i="4" s="1"/>
  <c r="AS116" i="4" s="1"/>
  <c r="D94" i="20" s="1"/>
  <c r="AU115" i="4"/>
  <c r="AQ115" i="4"/>
  <c r="AM115" i="4"/>
  <c r="C121" i="20" s="1"/>
  <c r="E121" i="20" s="1"/>
  <c r="AJ115" i="4"/>
  <c r="AK115" i="4" s="1"/>
  <c r="AS115" i="4" s="1"/>
  <c r="V115" i="4"/>
  <c r="AU114" i="4"/>
  <c r="AR114" i="4"/>
  <c r="AQ114" i="4"/>
  <c r="AS114" i="4" s="1"/>
  <c r="AE114" i="4"/>
  <c r="AD114" i="4"/>
  <c r="V114" i="4"/>
  <c r="B210" i="45"/>
  <c r="C210" i="45"/>
  <c r="E210" i="45" s="1"/>
  <c r="D210" i="45"/>
  <c r="B211" i="45"/>
  <c r="D211" i="45"/>
  <c r="B212" i="45"/>
  <c r="C212" i="45"/>
  <c r="E212" i="45" s="1"/>
  <c r="D212" i="45"/>
  <c r="B213" i="45"/>
  <c r="D213" i="45"/>
  <c r="B214" i="45"/>
  <c r="C214" i="45"/>
  <c r="E214" i="45" s="1"/>
  <c r="D214" i="45"/>
  <c r="D209" i="45"/>
  <c r="B209" i="45"/>
  <c r="B184" i="45"/>
  <c r="C184" i="45"/>
  <c r="E184" i="45"/>
  <c r="F184" i="45"/>
  <c r="B185" i="45"/>
  <c r="E185" i="45"/>
  <c r="F185" i="45"/>
  <c r="B186" i="45"/>
  <c r="E186" i="45"/>
  <c r="F186" i="45"/>
  <c r="B187" i="45"/>
  <c r="E187" i="45"/>
  <c r="F187" i="45"/>
  <c r="B188" i="45"/>
  <c r="E188" i="45"/>
  <c r="F188" i="45"/>
  <c r="F183" i="45"/>
  <c r="E183" i="45"/>
  <c r="B183" i="45"/>
  <c r="B163" i="45"/>
  <c r="C163" i="45"/>
  <c r="E163" i="45" s="1"/>
  <c r="D163" i="45"/>
  <c r="B164" i="45"/>
  <c r="D164" i="45"/>
  <c r="B165" i="45"/>
  <c r="C165" i="45"/>
  <c r="E165" i="45" s="1"/>
  <c r="D165" i="45"/>
  <c r="B166" i="45"/>
  <c r="D166" i="45"/>
  <c r="D162" i="45"/>
  <c r="C162" i="45"/>
  <c r="E162" i="45" s="1"/>
  <c r="B162" i="45"/>
  <c r="F137" i="45"/>
  <c r="F138" i="45"/>
  <c r="F139" i="45"/>
  <c r="F140" i="45"/>
  <c r="B137" i="45"/>
  <c r="D137" i="45"/>
  <c r="E137" i="45"/>
  <c r="B138" i="45"/>
  <c r="E138" i="45"/>
  <c r="B139" i="45"/>
  <c r="E139" i="45"/>
  <c r="B140" i="45"/>
  <c r="E140" i="45"/>
  <c r="F136" i="45"/>
  <c r="E136" i="45"/>
  <c r="D136" i="45"/>
  <c r="B136" i="45"/>
  <c r="AU103" i="4"/>
  <c r="AQ103" i="4"/>
  <c r="AM103" i="4"/>
  <c r="AJ103" i="4"/>
  <c r="AK103" i="4" s="1"/>
  <c r="AC103" i="4"/>
  <c r="Y103" i="4"/>
  <c r="V103" i="4"/>
  <c r="W103" i="4" s="1"/>
  <c r="AD103" i="4" s="1"/>
  <c r="AY102" i="4"/>
  <c r="AU102" i="4"/>
  <c r="AQ102" i="4"/>
  <c r="AM102" i="4"/>
  <c r="C213" i="45" s="1"/>
  <c r="E213" i="45" s="1"/>
  <c r="AJ102" i="4"/>
  <c r="AK102" i="4" s="1"/>
  <c r="AC102" i="4"/>
  <c r="Y102" i="4"/>
  <c r="W102" i="4"/>
  <c r="AD102" i="4" s="1"/>
  <c r="V102" i="4"/>
  <c r="AY101" i="4"/>
  <c r="AU101" i="4"/>
  <c r="AQ101" i="4"/>
  <c r="AM101" i="4"/>
  <c r="AJ101" i="4"/>
  <c r="AK101" i="4" s="1"/>
  <c r="AC101" i="4"/>
  <c r="Y101" i="4"/>
  <c r="V101" i="4"/>
  <c r="W101" i="4" s="1"/>
  <c r="AD101" i="4" s="1"/>
  <c r="AY100" i="4"/>
  <c r="AU100" i="4"/>
  <c r="AQ100" i="4"/>
  <c r="AM100" i="4"/>
  <c r="C211" i="45" s="1"/>
  <c r="E211" i="45" s="1"/>
  <c r="AJ100" i="4"/>
  <c r="AK100" i="4" s="1"/>
  <c r="AC100" i="4"/>
  <c r="Y100" i="4"/>
  <c r="W100" i="4"/>
  <c r="AD100" i="4" s="1"/>
  <c r="V100" i="4"/>
  <c r="AU99" i="4"/>
  <c r="AQ99" i="4"/>
  <c r="AM99" i="4"/>
  <c r="AJ99" i="4"/>
  <c r="AK99" i="4" s="1"/>
  <c r="AR99" i="4" s="1"/>
  <c r="AC99" i="4"/>
  <c r="Y99" i="4"/>
  <c r="V99" i="4"/>
  <c r="W99" i="4" s="1"/>
  <c r="AU98" i="4"/>
  <c r="AQ98" i="4"/>
  <c r="AM98" i="4"/>
  <c r="C209" i="45" s="1"/>
  <c r="E209" i="45" s="1"/>
  <c r="AJ98" i="4"/>
  <c r="AK98" i="4" s="1"/>
  <c r="AU97" i="4"/>
  <c r="AQ97" i="4"/>
  <c r="AM97" i="4"/>
  <c r="C166" i="45" s="1"/>
  <c r="E166" i="45" s="1"/>
  <c r="AJ97" i="4"/>
  <c r="AK97" i="4" s="1"/>
  <c r="AS97" i="4" s="1"/>
  <c r="D140" i="45" s="1"/>
  <c r="AC97" i="4"/>
  <c r="Y97" i="4"/>
  <c r="V97" i="4"/>
  <c r="W97" i="4" s="1"/>
  <c r="AD97" i="4" s="1"/>
  <c r="AU96" i="4"/>
  <c r="AQ96" i="4"/>
  <c r="AM96" i="4"/>
  <c r="AK96" i="4"/>
  <c r="AS96" i="4" s="1"/>
  <c r="D139" i="45" s="1"/>
  <c r="AJ96" i="4"/>
  <c r="AY95" i="4"/>
  <c r="AQ95" i="4"/>
  <c r="AM95" i="4"/>
  <c r="C164" i="45" s="1"/>
  <c r="E164" i="45" s="1"/>
  <c r="AJ95" i="4"/>
  <c r="AY94" i="4"/>
  <c r="AQ94" i="4"/>
  <c r="AM94" i="4"/>
  <c r="AK94" i="4"/>
  <c r="AS94" i="4" s="1"/>
  <c r="AJ94" i="4"/>
  <c r="AU93" i="4"/>
  <c r="AS93" i="4"/>
  <c r="AJ93" i="4"/>
  <c r="AR93" i="4" s="1"/>
  <c r="C136" i="45" s="1"/>
  <c r="AE93" i="4"/>
  <c r="AF93" i="4" s="1"/>
  <c r="V93" i="4"/>
  <c r="AU106" i="4"/>
  <c r="AU107" i="4"/>
  <c r="AR124" i="4"/>
  <c r="AS124" i="4"/>
  <c r="AR104" i="4"/>
  <c r="AQ106" i="4"/>
  <c r="AQ107" i="4"/>
  <c r="AQ108" i="4"/>
  <c r="AQ109" i="4"/>
  <c r="AQ110" i="4"/>
  <c r="AQ111" i="4"/>
  <c r="AQ112" i="4"/>
  <c r="AQ113" i="4"/>
  <c r="AQ104" i="4"/>
  <c r="AS104" i="4" s="1"/>
  <c r="AQ105" i="4"/>
  <c r="AM106" i="4"/>
  <c r="AM107" i="4"/>
  <c r="AM108" i="4"/>
  <c r="AM109" i="4"/>
  <c r="AM110" i="4"/>
  <c r="AM111" i="4"/>
  <c r="AM112" i="4"/>
  <c r="AM113" i="4"/>
  <c r="AM105" i="4"/>
  <c r="AK106" i="4"/>
  <c r="AS106" i="4" s="1"/>
  <c r="AJ107" i="4"/>
  <c r="AK107" i="4" s="1"/>
  <c r="AJ106" i="4"/>
  <c r="B115" i="45"/>
  <c r="D115" i="45"/>
  <c r="B116" i="45"/>
  <c r="C116" i="45"/>
  <c r="E116" i="45" s="1"/>
  <c r="D116" i="45"/>
  <c r="B117" i="45"/>
  <c r="D117" i="45"/>
  <c r="B118" i="45"/>
  <c r="D118" i="45"/>
  <c r="B119" i="45"/>
  <c r="D119" i="45"/>
  <c r="D114" i="45"/>
  <c r="C114" i="45"/>
  <c r="E114" i="45" s="1"/>
  <c r="B114" i="45"/>
  <c r="F89" i="45"/>
  <c r="F90" i="45"/>
  <c r="F91" i="45"/>
  <c r="F92" i="45"/>
  <c r="F93" i="45"/>
  <c r="F88" i="45"/>
  <c r="B89" i="45"/>
  <c r="E89" i="45"/>
  <c r="B90" i="45"/>
  <c r="E90" i="45"/>
  <c r="B91" i="45"/>
  <c r="E91" i="45"/>
  <c r="B92" i="45"/>
  <c r="E92" i="45"/>
  <c r="B93" i="45"/>
  <c r="E93" i="45"/>
  <c r="E88" i="45"/>
  <c r="B88" i="45"/>
  <c r="B68" i="45"/>
  <c r="D68" i="45"/>
  <c r="B69" i="45"/>
  <c r="C69" i="45"/>
  <c r="E69" i="45" s="1"/>
  <c r="D69" i="45"/>
  <c r="B70" i="45"/>
  <c r="D70" i="45"/>
  <c r="B71" i="45"/>
  <c r="C71" i="45"/>
  <c r="E71" i="45" s="1"/>
  <c r="D71" i="45"/>
  <c r="D67" i="45"/>
  <c r="C67" i="45"/>
  <c r="E67" i="45" s="1"/>
  <c r="B67" i="45"/>
  <c r="F45" i="45"/>
  <c r="F42" i="45"/>
  <c r="F43" i="45"/>
  <c r="F44" i="45"/>
  <c r="B42" i="45"/>
  <c r="E42" i="45"/>
  <c r="B43" i="45"/>
  <c r="E43" i="45"/>
  <c r="B44" i="45"/>
  <c r="E44" i="45"/>
  <c r="B45" i="45"/>
  <c r="E45" i="45"/>
  <c r="F41" i="45"/>
  <c r="E41" i="45"/>
  <c r="B41" i="45"/>
  <c r="C10" i="45"/>
  <c r="C9" i="45"/>
  <c r="C8" i="45"/>
  <c r="C7" i="45"/>
  <c r="AC89" i="4"/>
  <c r="AC90" i="4"/>
  <c r="AC91" i="4"/>
  <c r="Y89" i="4"/>
  <c r="Y90" i="4"/>
  <c r="Y91" i="4"/>
  <c r="V89" i="4"/>
  <c r="W89" i="4" s="1"/>
  <c r="V90" i="4"/>
  <c r="W90" i="4" s="1"/>
  <c r="V91" i="4"/>
  <c r="W91" i="4" s="1"/>
  <c r="AU90" i="4"/>
  <c r="AY90" i="4"/>
  <c r="AQ90" i="4"/>
  <c r="AM90" i="4"/>
  <c r="C117" i="45" s="1"/>
  <c r="E117" i="45" s="1"/>
  <c r="AK90" i="4"/>
  <c r="AS90" i="4" s="1"/>
  <c r="AJ90" i="4"/>
  <c r="AU92" i="4"/>
  <c r="AQ92" i="4"/>
  <c r="AM92" i="4"/>
  <c r="C119" i="45" s="1"/>
  <c r="E119" i="45" s="1"/>
  <c r="AJ92" i="4"/>
  <c r="AK92" i="4" s="1"/>
  <c r="AC92" i="4"/>
  <c r="Y92" i="4"/>
  <c r="V92" i="4"/>
  <c r="W92" i="4" s="1"/>
  <c r="AD92" i="4" s="1"/>
  <c r="AY91" i="4"/>
  <c r="AU91" i="4"/>
  <c r="AQ91" i="4"/>
  <c r="AM91" i="4"/>
  <c r="C118" i="45" s="1"/>
  <c r="E118" i="45" s="1"/>
  <c r="AJ91" i="4"/>
  <c r="AK91" i="4" s="1"/>
  <c r="AY89" i="4"/>
  <c r="AU89" i="4"/>
  <c r="AQ89" i="4"/>
  <c r="AM89" i="4"/>
  <c r="AK89" i="4"/>
  <c r="AR89" i="4" s="1"/>
  <c r="C90" i="45" s="1"/>
  <c r="AJ89" i="4"/>
  <c r="AU88" i="4"/>
  <c r="AQ88" i="4"/>
  <c r="AM88" i="4"/>
  <c r="C115" i="45" s="1"/>
  <c r="E115" i="45" s="1"/>
  <c r="AJ88" i="4"/>
  <c r="AK88" i="4" s="1"/>
  <c r="AR88" i="4" s="1"/>
  <c r="C89" i="45" s="1"/>
  <c r="AC88" i="4"/>
  <c r="Y88" i="4"/>
  <c r="V88" i="4"/>
  <c r="W88" i="4" s="1"/>
  <c r="AU87" i="4"/>
  <c r="AQ87" i="4"/>
  <c r="AM87" i="4"/>
  <c r="AJ87" i="4"/>
  <c r="AK87" i="4" s="1"/>
  <c r="AU86" i="4"/>
  <c r="AQ86" i="4"/>
  <c r="AM86" i="4"/>
  <c r="AJ86" i="4"/>
  <c r="AK86" i="4" s="1"/>
  <c r="AS86" i="4" s="1"/>
  <c r="D45" i="45" s="1"/>
  <c r="AC86" i="4"/>
  <c r="Y86" i="4"/>
  <c r="V86" i="4"/>
  <c r="W86" i="4" s="1"/>
  <c r="AD86" i="4" s="1"/>
  <c r="AU85" i="4"/>
  <c r="AQ85" i="4"/>
  <c r="AM85" i="4"/>
  <c r="C70" i="45" s="1"/>
  <c r="E70" i="45" s="1"/>
  <c r="AJ85" i="4"/>
  <c r="AR85" i="4" s="1"/>
  <c r="AY84" i="4"/>
  <c r="AQ84" i="4"/>
  <c r="AM84" i="4"/>
  <c r="AJ84" i="4"/>
  <c r="AK84" i="4" s="1"/>
  <c r="AS84" i="4" s="1"/>
  <c r="D43" i="45" s="1"/>
  <c r="AY83" i="4"/>
  <c r="AQ83" i="4"/>
  <c r="AM83" i="4"/>
  <c r="C68" i="45" s="1"/>
  <c r="E68" i="45" s="1"/>
  <c r="AJ83" i="4"/>
  <c r="AK83" i="4" s="1"/>
  <c r="AS83" i="4" s="1"/>
  <c r="D42" i="45" s="1"/>
  <c r="AU82" i="4"/>
  <c r="AS82" i="4"/>
  <c r="D41" i="45" s="1"/>
  <c r="AJ82" i="4"/>
  <c r="AR82" i="4" s="1"/>
  <c r="AE82" i="4"/>
  <c r="AF82" i="4"/>
  <c r="V82" i="4"/>
  <c r="B42" i="44"/>
  <c r="E42" i="44"/>
  <c r="F42" i="44"/>
  <c r="B43" i="44"/>
  <c r="E43" i="44"/>
  <c r="F43" i="44"/>
  <c r="B44" i="44"/>
  <c r="E44" i="44"/>
  <c r="F44" i="44"/>
  <c r="B45" i="44"/>
  <c r="E45" i="44"/>
  <c r="F45" i="44"/>
  <c r="B46" i="44"/>
  <c r="E46" i="44"/>
  <c r="F46" i="44"/>
  <c r="B47" i="44"/>
  <c r="E47" i="44"/>
  <c r="F47" i="44"/>
  <c r="B48" i="44"/>
  <c r="E48" i="44"/>
  <c r="F48" i="44"/>
  <c r="B49" i="44"/>
  <c r="E49" i="44"/>
  <c r="F49" i="44"/>
  <c r="B50" i="44"/>
  <c r="E50" i="44"/>
  <c r="F50" i="44"/>
  <c r="B51" i="44"/>
  <c r="E51" i="44"/>
  <c r="F51" i="44"/>
  <c r="F41" i="44"/>
  <c r="E41" i="44"/>
  <c r="B41" i="44"/>
  <c r="C10" i="44"/>
  <c r="C9" i="44"/>
  <c r="C8" i="44"/>
  <c r="C7" i="44"/>
  <c r="AD72" i="4"/>
  <c r="V72" i="4"/>
  <c r="AE72" i="4" s="1"/>
  <c r="V74" i="4"/>
  <c r="AE74" i="4" s="1"/>
  <c r="V76" i="4"/>
  <c r="AE76" i="4" s="1"/>
  <c r="V78" i="4"/>
  <c r="AD78" i="4" s="1"/>
  <c r="V79" i="4"/>
  <c r="AE79" i="4" s="1"/>
  <c r="V80" i="4"/>
  <c r="AE80" i="4" s="1"/>
  <c r="Q75" i="4"/>
  <c r="V75" i="4" s="1"/>
  <c r="AE75" i="4" s="1"/>
  <c r="AT82" i="4" l="1"/>
  <c r="C41" i="45"/>
  <c r="G41" i="45" s="1"/>
  <c r="D91" i="45"/>
  <c r="AD90" i="4"/>
  <c r="AE90" i="4"/>
  <c r="AF72" i="4"/>
  <c r="AD91" i="4"/>
  <c r="AF91" i="4" s="1"/>
  <c r="AE91" i="4"/>
  <c r="AD74" i="4"/>
  <c r="AF74" i="4" s="1"/>
  <c r="AR90" i="4"/>
  <c r="C91" i="45" s="1"/>
  <c r="G91" i="45" s="1"/>
  <c r="C44" i="45"/>
  <c r="AT114" i="4"/>
  <c r="AV114" i="4" s="1"/>
  <c r="AW114" i="4" s="1"/>
  <c r="AX114" i="4" s="1"/>
  <c r="AY114" i="4" s="1"/>
  <c r="C92" i="20"/>
  <c r="AD115" i="4"/>
  <c r="W115" i="4"/>
  <c r="AS118" i="4"/>
  <c r="D96" i="20" s="1"/>
  <c r="AR118" i="4"/>
  <c r="AD113" i="4"/>
  <c r="AF113" i="4" s="1"/>
  <c r="AE113" i="4"/>
  <c r="AD116" i="4"/>
  <c r="AE116" i="4"/>
  <c r="C89" i="21"/>
  <c r="G89" i="21" s="1"/>
  <c r="AT130" i="4"/>
  <c r="C91" i="21"/>
  <c r="G91" i="21" s="1"/>
  <c r="AT132" i="4"/>
  <c r="AE132" i="4"/>
  <c r="AD132" i="4"/>
  <c r="AE134" i="4"/>
  <c r="AD134" i="4"/>
  <c r="AE136" i="4"/>
  <c r="AD136" i="4"/>
  <c r="AK85" i="4"/>
  <c r="AS85" i="4" s="1"/>
  <c r="D44" i="45" s="1"/>
  <c r="AR107" i="4"/>
  <c r="AR95" i="4"/>
  <c r="C138" i="45" s="1"/>
  <c r="AK95" i="4"/>
  <c r="AS95" i="4" s="1"/>
  <c r="D138" i="45" s="1"/>
  <c r="AD117" i="4"/>
  <c r="AE117" i="4"/>
  <c r="AF117" i="4" s="1"/>
  <c r="AE130" i="4"/>
  <c r="AD130" i="4"/>
  <c r="AF130" i="4" s="1"/>
  <c r="AE133" i="4"/>
  <c r="AD133" i="4"/>
  <c r="AF133" i="4" s="1"/>
  <c r="AE135" i="4"/>
  <c r="AD135" i="4"/>
  <c r="AF135" i="4" s="1"/>
  <c r="G92" i="20"/>
  <c r="AT138" i="4"/>
  <c r="AV138" i="4" s="1"/>
  <c r="AW138" i="4" s="1"/>
  <c r="AX138" i="4" s="1"/>
  <c r="AY138" i="4" s="1"/>
  <c r="C144" i="21"/>
  <c r="G144" i="21" s="1"/>
  <c r="AT142" i="4"/>
  <c r="C148" i="21"/>
  <c r="G148" i="21" s="1"/>
  <c r="AR106" i="4"/>
  <c r="AT106" i="4" s="1"/>
  <c r="AR94" i="4"/>
  <c r="AR96" i="4"/>
  <c r="AR131" i="4"/>
  <c r="AR129" i="4"/>
  <c r="AF138" i="4"/>
  <c r="AR148" i="4"/>
  <c r="G136" i="45"/>
  <c r="AK146" i="4"/>
  <c r="AS146" i="4" s="1"/>
  <c r="AR143" i="4"/>
  <c r="AE142" i="4"/>
  <c r="AF142" i="4" s="1"/>
  <c r="AV142" i="4" s="1"/>
  <c r="AW142" i="4" s="1"/>
  <c r="AX142" i="4" s="1"/>
  <c r="AY142" i="4" s="1"/>
  <c r="AD146" i="4"/>
  <c r="AF146" i="4" s="1"/>
  <c r="AE148" i="4"/>
  <c r="AF148" i="4" s="1"/>
  <c r="AD149" i="4"/>
  <c r="AE149" i="4"/>
  <c r="AS149" i="4"/>
  <c r="D197" i="21" s="1"/>
  <c r="AR149" i="4"/>
  <c r="C197" i="21" s="1"/>
  <c r="AD151" i="4"/>
  <c r="AE151" i="4"/>
  <c r="AS151" i="4"/>
  <c r="D199" i="21" s="1"/>
  <c r="AR151" i="4"/>
  <c r="AS107" i="4"/>
  <c r="AT118" i="4"/>
  <c r="C96" i="20"/>
  <c r="AR139" i="4"/>
  <c r="AR140" i="4"/>
  <c r="AR141" i="4"/>
  <c r="AD144" i="4"/>
  <c r="AF144" i="4" s="1"/>
  <c r="AR144" i="4"/>
  <c r="AR145" i="4"/>
  <c r="AF147" i="4"/>
  <c r="AE147" i="4"/>
  <c r="AR147" i="4"/>
  <c r="AD150" i="4"/>
  <c r="AF150" i="4" s="1"/>
  <c r="AS150" i="4"/>
  <c r="AE106" i="4"/>
  <c r="AD106" i="4"/>
  <c r="AE107" i="4"/>
  <c r="AF107" i="4" s="1"/>
  <c r="W121" i="4"/>
  <c r="AD121" i="4" s="1"/>
  <c r="W119" i="4"/>
  <c r="AD119" i="4" s="1"/>
  <c r="AD123" i="4"/>
  <c r="AF123" i="4" s="1"/>
  <c r="AD120" i="4"/>
  <c r="W120" i="4"/>
  <c r="W118" i="4"/>
  <c r="AD118" i="4" s="1"/>
  <c r="AF114" i="4"/>
  <c r="AR120" i="4"/>
  <c r="AE118" i="4"/>
  <c r="AE120" i="4"/>
  <c r="AT107" i="4"/>
  <c r="AV107" i="4" s="1"/>
  <c r="AW107" i="4" s="1"/>
  <c r="AX107" i="4" s="1"/>
  <c r="AY107" i="4" s="1"/>
  <c r="AE115" i="4"/>
  <c r="AF115" i="4" s="1"/>
  <c r="AR115" i="4"/>
  <c r="AR116" i="4"/>
  <c r="AR117" i="4"/>
  <c r="AE119" i="4"/>
  <c r="AR119" i="4"/>
  <c r="AE121" i="4"/>
  <c r="AR121" i="4"/>
  <c r="AS122" i="4"/>
  <c r="AR122" i="4"/>
  <c r="AS123" i="4"/>
  <c r="AR123" i="4"/>
  <c r="G44" i="45"/>
  <c r="AE89" i="4"/>
  <c r="AD89" i="4"/>
  <c r="AF89" i="4" s="1"/>
  <c r="AS101" i="4"/>
  <c r="D186" i="45" s="1"/>
  <c r="AR101" i="4"/>
  <c r="C186" i="45" s="1"/>
  <c r="AS103" i="4"/>
  <c r="D188" i="45" s="1"/>
  <c r="AR103" i="4"/>
  <c r="C188" i="45" s="1"/>
  <c r="AT93" i="4"/>
  <c r="AV93" i="4" s="1"/>
  <c r="AW93" i="4" s="1"/>
  <c r="AX93" i="4" s="1"/>
  <c r="AY93" i="4" s="1"/>
  <c r="AT95" i="4"/>
  <c r="AS98" i="4"/>
  <c r="D183" i="45" s="1"/>
  <c r="AR98" i="4"/>
  <c r="C183" i="45" s="1"/>
  <c r="AE99" i="4"/>
  <c r="AD99" i="4"/>
  <c r="AS100" i="4"/>
  <c r="D185" i="45" s="1"/>
  <c r="AR100" i="4"/>
  <c r="AS102" i="4"/>
  <c r="D187" i="45" s="1"/>
  <c r="AR102" i="4"/>
  <c r="C187" i="45" s="1"/>
  <c r="AE97" i="4"/>
  <c r="AF97" i="4" s="1"/>
  <c r="AR97" i="4"/>
  <c r="AS99" i="4"/>
  <c r="AE100" i="4"/>
  <c r="AF100" i="4" s="1"/>
  <c r="AE101" i="4"/>
  <c r="AF101" i="4" s="1"/>
  <c r="AE102" i="4"/>
  <c r="AF102" i="4" s="1"/>
  <c r="AE103" i="4"/>
  <c r="AF103" i="4" s="1"/>
  <c r="AV82" i="4"/>
  <c r="AW82" i="4" s="1"/>
  <c r="AX82" i="4" s="1"/>
  <c r="AY82" i="4" s="1"/>
  <c r="AD80" i="4"/>
  <c r="AD76" i="4"/>
  <c r="AF76" i="4" s="1"/>
  <c r="AE78" i="4"/>
  <c r="AF78" i="4" s="1"/>
  <c r="AD79" i="4"/>
  <c r="AS92" i="4"/>
  <c r="D93" i="45" s="1"/>
  <c r="AR92" i="4"/>
  <c r="C93" i="45" s="1"/>
  <c r="AD75" i="4"/>
  <c r="AS87" i="4"/>
  <c r="D88" i="45" s="1"/>
  <c r="AR87" i="4"/>
  <c r="C88" i="45" s="1"/>
  <c r="G88" i="45" s="1"/>
  <c r="AE88" i="4"/>
  <c r="AD88" i="4"/>
  <c r="AF88" i="4" s="1"/>
  <c r="AS91" i="4"/>
  <c r="D92" i="45" s="1"/>
  <c r="AR91" i="4"/>
  <c r="C92" i="45" s="1"/>
  <c r="G92" i="45" s="1"/>
  <c r="AR83" i="4"/>
  <c r="AR84" i="4"/>
  <c r="AE86" i="4"/>
  <c r="AF86" i="4" s="1"/>
  <c r="AR86" i="4"/>
  <c r="AS88" i="4"/>
  <c r="AS89" i="4"/>
  <c r="AE92" i="4"/>
  <c r="AF92" i="4" s="1"/>
  <c r="AR71" i="4"/>
  <c r="C41" i="44" s="1"/>
  <c r="AU71" i="4"/>
  <c r="AU72" i="4"/>
  <c r="AU73" i="4"/>
  <c r="AR74" i="4"/>
  <c r="C44" i="44" s="1"/>
  <c r="AU74" i="4"/>
  <c r="AU75" i="4"/>
  <c r="AR76" i="4"/>
  <c r="C46" i="44" s="1"/>
  <c r="AU76" i="4"/>
  <c r="AU77" i="4"/>
  <c r="AR78" i="4"/>
  <c r="C48" i="44" s="1"/>
  <c r="AU78" i="4"/>
  <c r="AJ81" i="4"/>
  <c r="AJ73" i="4"/>
  <c r="AR73" i="4" s="1"/>
  <c r="C43" i="44" s="1"/>
  <c r="AJ74" i="4"/>
  <c r="AS74" i="4" s="1"/>
  <c r="AJ75" i="4"/>
  <c r="AR75" i="4" s="1"/>
  <c r="C45" i="44" s="1"/>
  <c r="AJ76" i="4"/>
  <c r="AS76" i="4" s="1"/>
  <c r="AJ77" i="4"/>
  <c r="AR77" i="4" s="1"/>
  <c r="C47" i="44" s="1"/>
  <c r="AJ78" i="4"/>
  <c r="AS78" i="4" s="1"/>
  <c r="AJ79" i="4"/>
  <c r="AJ80" i="4"/>
  <c r="AJ72" i="4"/>
  <c r="AS72" i="4" s="1"/>
  <c r="AJ71" i="4"/>
  <c r="AS71" i="4" s="1"/>
  <c r="AU81" i="4"/>
  <c r="AR81" i="4"/>
  <c r="C51" i="44" s="1"/>
  <c r="V81" i="4"/>
  <c r="AU80" i="4"/>
  <c r="AS80" i="4"/>
  <c r="D50" i="44" s="1"/>
  <c r="AU79" i="4"/>
  <c r="AR79" i="4"/>
  <c r="C49" i="44" s="1"/>
  <c r="V73" i="4"/>
  <c r="BD71" i="4"/>
  <c r="G93" i="45" l="1"/>
  <c r="G187" i="45"/>
  <c r="G183" i="45"/>
  <c r="G188" i="45"/>
  <c r="G186" i="45"/>
  <c r="G197" i="21"/>
  <c r="G138" i="45"/>
  <c r="D41" i="44"/>
  <c r="AT71" i="4"/>
  <c r="AT78" i="4"/>
  <c r="AV78" i="4" s="1"/>
  <c r="AW78" i="4" s="1"/>
  <c r="AX78" i="4" s="1"/>
  <c r="AY78" i="4" s="1"/>
  <c r="D48" i="44"/>
  <c r="AT76" i="4"/>
  <c r="D46" i="44"/>
  <c r="AT74" i="4"/>
  <c r="AV74" i="4" s="1"/>
  <c r="AW74" i="4" s="1"/>
  <c r="AX74" i="4" s="1"/>
  <c r="AY74" i="4" s="1"/>
  <c r="D44" i="44"/>
  <c r="G48" i="44"/>
  <c r="G44" i="44"/>
  <c r="G41" i="44"/>
  <c r="D42" i="44"/>
  <c r="G46" i="44"/>
  <c r="AS77" i="4"/>
  <c r="AS73" i="4"/>
  <c r="AR72" i="4"/>
  <c r="C42" i="44" s="1"/>
  <c r="G42" i="44" s="1"/>
  <c r="AT86" i="4"/>
  <c r="C45" i="45"/>
  <c r="G45" i="45" s="1"/>
  <c r="AT100" i="4"/>
  <c r="C185" i="45"/>
  <c r="G185" i="45" s="1"/>
  <c r="AS75" i="4"/>
  <c r="AT89" i="4"/>
  <c r="D90" i="45"/>
  <c r="G90" i="45" s="1"/>
  <c r="AT84" i="4"/>
  <c r="C43" i="45"/>
  <c r="G43" i="45" s="1"/>
  <c r="AT99" i="4"/>
  <c r="D184" i="45"/>
  <c r="G184" i="45" s="1"/>
  <c r="AT150" i="4"/>
  <c r="AV150" i="4" s="1"/>
  <c r="AW150" i="4" s="1"/>
  <c r="AX150" i="4" s="1"/>
  <c r="AY150" i="4" s="1"/>
  <c r="D198" i="21"/>
  <c r="G198" i="21" s="1"/>
  <c r="AT147" i="4"/>
  <c r="AV147" i="4" s="1"/>
  <c r="AW147" i="4" s="1"/>
  <c r="AX147" i="4" s="1"/>
  <c r="AY147" i="4" s="1"/>
  <c r="C195" i="21"/>
  <c r="G195" i="21" s="1"/>
  <c r="AT144" i="4"/>
  <c r="AV144" i="4" s="1"/>
  <c r="AW144" i="4" s="1"/>
  <c r="AX144" i="4" s="1"/>
  <c r="AY144" i="4" s="1"/>
  <c r="C192" i="21"/>
  <c r="G192" i="21" s="1"/>
  <c r="AT141" i="4"/>
  <c r="AV141" i="4" s="1"/>
  <c r="AW141" i="4" s="1"/>
  <c r="AX141" i="4" s="1"/>
  <c r="AY141" i="4" s="1"/>
  <c r="C147" i="21"/>
  <c r="G147" i="21" s="1"/>
  <c r="AT139" i="4"/>
  <c r="C145" i="21"/>
  <c r="G145" i="21" s="1"/>
  <c r="AT143" i="4"/>
  <c r="AV143" i="4" s="1"/>
  <c r="AW143" i="4" s="1"/>
  <c r="AX143" i="4" s="1"/>
  <c r="AY143" i="4" s="1"/>
  <c r="C191" i="21"/>
  <c r="G191" i="21" s="1"/>
  <c r="AT129" i="4"/>
  <c r="AV129" i="4" s="1"/>
  <c r="AW129" i="4" s="1"/>
  <c r="AX129" i="4" s="1"/>
  <c r="AY129" i="4" s="1"/>
  <c r="C88" i="21"/>
  <c r="G88" i="21" s="1"/>
  <c r="AT96" i="4"/>
  <c r="AV96" i="4" s="1"/>
  <c r="AW96" i="4" s="1"/>
  <c r="AX96" i="4" s="1"/>
  <c r="AY96" i="4" s="1"/>
  <c r="C139" i="45"/>
  <c r="G139" i="45" s="1"/>
  <c r="AT88" i="4"/>
  <c r="D89" i="45"/>
  <c r="G89" i="45" s="1"/>
  <c r="AT83" i="4"/>
  <c r="C42" i="45"/>
  <c r="G42" i="45" s="1"/>
  <c r="AT97" i="4"/>
  <c r="C140" i="45"/>
  <c r="G140" i="45" s="1"/>
  <c r="AT115" i="4"/>
  <c r="C93" i="20"/>
  <c r="G93" i="20" s="1"/>
  <c r="AF106" i="4"/>
  <c r="AT145" i="4"/>
  <c r="AV145" i="4" s="1"/>
  <c r="AW145" i="4" s="1"/>
  <c r="AX145" i="4" s="1"/>
  <c r="AY145" i="4" s="1"/>
  <c r="C193" i="21"/>
  <c r="G193" i="21" s="1"/>
  <c r="AT140" i="4"/>
  <c r="C146" i="21"/>
  <c r="G146" i="21" s="1"/>
  <c r="G96" i="20"/>
  <c r="AT151" i="4"/>
  <c r="C199" i="21"/>
  <c r="G199" i="21" s="1"/>
  <c r="AT146" i="4"/>
  <c r="AV146" i="4" s="1"/>
  <c r="AW146" i="4" s="1"/>
  <c r="AX146" i="4" s="1"/>
  <c r="AY146" i="4" s="1"/>
  <c r="D194" i="21"/>
  <c r="G194" i="21" s="1"/>
  <c r="AT148" i="4"/>
  <c r="AV148" i="4" s="1"/>
  <c r="AW148" i="4" s="1"/>
  <c r="AX148" i="4" s="1"/>
  <c r="AY148" i="4" s="1"/>
  <c r="C196" i="21"/>
  <c r="G196" i="21" s="1"/>
  <c r="AT131" i="4"/>
  <c r="AV131" i="4" s="1"/>
  <c r="AW131" i="4" s="1"/>
  <c r="AX131" i="4" s="1"/>
  <c r="AY131" i="4" s="1"/>
  <c r="C90" i="21"/>
  <c r="G90" i="21" s="1"/>
  <c r="AT94" i="4"/>
  <c r="C137" i="45"/>
  <c r="G137" i="45" s="1"/>
  <c r="AF136" i="4"/>
  <c r="AF134" i="4"/>
  <c r="AF132" i="4"/>
  <c r="AV132" i="4" s="1"/>
  <c r="AW132" i="4" s="1"/>
  <c r="AX132" i="4" s="1"/>
  <c r="AY132" i="4" s="1"/>
  <c r="AV130" i="4"/>
  <c r="AW130" i="4" s="1"/>
  <c r="AX130" i="4" s="1"/>
  <c r="AY130" i="4" s="1"/>
  <c r="AF116" i="4"/>
  <c r="AT85" i="4"/>
  <c r="AV85" i="4" s="1"/>
  <c r="AW85" i="4" s="1"/>
  <c r="AX85" i="4" s="1"/>
  <c r="AY85" i="4" s="1"/>
  <c r="AF90" i="4"/>
  <c r="AT90" i="4"/>
  <c r="AT149" i="4"/>
  <c r="AT116" i="4"/>
  <c r="AV116" i="4" s="1"/>
  <c r="AW116" i="4" s="1"/>
  <c r="AX116" i="4" s="1"/>
  <c r="AY116" i="4" s="1"/>
  <c r="C94" i="20"/>
  <c r="G94" i="20" s="1"/>
  <c r="AT120" i="4"/>
  <c r="C98" i="20"/>
  <c r="G98" i="20" s="1"/>
  <c r="AT123" i="4"/>
  <c r="AT122" i="4"/>
  <c r="AT121" i="4"/>
  <c r="C99" i="20"/>
  <c r="G99" i="20" s="1"/>
  <c r="AT119" i="4"/>
  <c r="C97" i="20"/>
  <c r="G97" i="20" s="1"/>
  <c r="AT117" i="4"/>
  <c r="AV117" i="4" s="1"/>
  <c r="AW117" i="4" s="1"/>
  <c r="AX117" i="4" s="1"/>
  <c r="AY117" i="4" s="1"/>
  <c r="C95" i="20"/>
  <c r="G95" i="20" s="1"/>
  <c r="AF151" i="4"/>
  <c r="AV151" i="4" s="1"/>
  <c r="AW151" i="4" s="1"/>
  <c r="AX151" i="4" s="1"/>
  <c r="AY151" i="4" s="1"/>
  <c r="AF149" i="4"/>
  <c r="AF121" i="4"/>
  <c r="AF119" i="4"/>
  <c r="AF118" i="4"/>
  <c r="AV118" i="4" s="1"/>
  <c r="AW118" i="4" s="1"/>
  <c r="AX118" i="4" s="1"/>
  <c r="AY118" i="4" s="1"/>
  <c r="AV106" i="4"/>
  <c r="AW106" i="4" s="1"/>
  <c r="AX106" i="4" s="1"/>
  <c r="AY106" i="4" s="1"/>
  <c r="AF120" i="4"/>
  <c r="AV120" i="4" s="1"/>
  <c r="AW120" i="4" s="1"/>
  <c r="AX120" i="4" s="1"/>
  <c r="AY120" i="4" s="1"/>
  <c r="AV122" i="4"/>
  <c r="AW122" i="4" s="1"/>
  <c r="AX122" i="4" s="1"/>
  <c r="AY122" i="4" s="1"/>
  <c r="AV121" i="4"/>
  <c r="AW121" i="4" s="1"/>
  <c r="AX121" i="4" s="1"/>
  <c r="AY121" i="4" s="1"/>
  <c r="AV115" i="4"/>
  <c r="AW115" i="4" s="1"/>
  <c r="AX115" i="4" s="1"/>
  <c r="AY115" i="4" s="1"/>
  <c r="AT101" i="4"/>
  <c r="AV97" i="4"/>
  <c r="AW97" i="4" s="1"/>
  <c r="AX97" i="4" s="1"/>
  <c r="AY97" i="4" s="1"/>
  <c r="AT102" i="4"/>
  <c r="AF99" i="4"/>
  <c r="AV99" i="4" s="1"/>
  <c r="AW99" i="4" s="1"/>
  <c r="AX99" i="4" s="1"/>
  <c r="AY99" i="4" s="1"/>
  <c r="AT98" i="4"/>
  <c r="AV98" i="4" s="1"/>
  <c r="AW98" i="4" s="1"/>
  <c r="AX98" i="4" s="1"/>
  <c r="AY98" i="4" s="1"/>
  <c r="AT103" i="4"/>
  <c r="AV103" i="4" s="1"/>
  <c r="AW103" i="4" s="1"/>
  <c r="AX103" i="4" s="1"/>
  <c r="AY103" i="4" s="1"/>
  <c r="AV88" i="4"/>
  <c r="AW88" i="4" s="1"/>
  <c r="AX88" i="4" s="1"/>
  <c r="AY88" i="4" s="1"/>
  <c r="AT87" i="4"/>
  <c r="AV87" i="4" s="1"/>
  <c r="AW87" i="4" s="1"/>
  <c r="AX87" i="4" s="1"/>
  <c r="AY87" i="4" s="1"/>
  <c r="AT92" i="4"/>
  <c r="AV92" i="4" s="1"/>
  <c r="AW92" i="4" s="1"/>
  <c r="AX92" i="4" s="1"/>
  <c r="AY92" i="4" s="1"/>
  <c r="AV76" i="4"/>
  <c r="AE81" i="4"/>
  <c r="AD81" i="4"/>
  <c r="AV86" i="4"/>
  <c r="AW86" i="4" s="1"/>
  <c r="AX86" i="4" s="1"/>
  <c r="AY86" i="4" s="1"/>
  <c r="AE73" i="4"/>
  <c r="AD73" i="4"/>
  <c r="AT91" i="4"/>
  <c r="AW76" i="4"/>
  <c r="AX76" i="4" s="1"/>
  <c r="AY76" i="4" s="1"/>
  <c r="AF80" i="4"/>
  <c r="AR80" i="4"/>
  <c r="AV71" i="4"/>
  <c r="AW71" i="4" s="1"/>
  <c r="AX71" i="4" s="1"/>
  <c r="AY71" i="4" s="1"/>
  <c r="AF75" i="4"/>
  <c r="AF79" i="4"/>
  <c r="AS79" i="4"/>
  <c r="AS81" i="4"/>
  <c r="AT77" i="4" l="1"/>
  <c r="AV77" i="4" s="1"/>
  <c r="AW77" i="4" s="1"/>
  <c r="AX77" i="4" s="1"/>
  <c r="AY77" i="4" s="1"/>
  <c r="D47" i="44"/>
  <c r="G47" i="44" s="1"/>
  <c r="AT72" i="4"/>
  <c r="AV72" i="4" s="1"/>
  <c r="AW72" i="4" s="1"/>
  <c r="AX72" i="4" s="1"/>
  <c r="AY72" i="4" s="1"/>
  <c r="AT81" i="4"/>
  <c r="D51" i="44"/>
  <c r="G51" i="44" s="1"/>
  <c r="AT79" i="4"/>
  <c r="AV79" i="4" s="1"/>
  <c r="AW79" i="4" s="1"/>
  <c r="AX79" i="4" s="1"/>
  <c r="AY79" i="4" s="1"/>
  <c r="D49" i="44"/>
  <c r="G49" i="44" s="1"/>
  <c r="AT80" i="4"/>
  <c r="C50" i="44"/>
  <c r="G50" i="44" s="1"/>
  <c r="AV149" i="4"/>
  <c r="AW149" i="4" s="1"/>
  <c r="AX149" i="4" s="1"/>
  <c r="AY149" i="4" s="1"/>
  <c r="AT75" i="4"/>
  <c r="AV75" i="4" s="1"/>
  <c r="AW75" i="4" s="1"/>
  <c r="AX75" i="4" s="1"/>
  <c r="AY75" i="4" s="1"/>
  <c r="D45" i="44"/>
  <c r="G45" i="44" s="1"/>
  <c r="AT73" i="4"/>
  <c r="D43" i="44"/>
  <c r="G43" i="44" s="1"/>
  <c r="AV119" i="4"/>
  <c r="AW119" i="4" s="1"/>
  <c r="AX119" i="4" s="1"/>
  <c r="AY119" i="4" s="1"/>
  <c r="AF73" i="4"/>
  <c r="AF81" i="4"/>
  <c r="AV80" i="4"/>
  <c r="AW80" i="4" s="1"/>
  <c r="AX80" i="4" s="1"/>
  <c r="AY80" i="4" s="1"/>
  <c r="AV81" i="4"/>
  <c r="AW81" i="4" s="1"/>
  <c r="AX81" i="4" s="1"/>
  <c r="AY81" i="4" s="1"/>
  <c r="AV73" i="4" l="1"/>
  <c r="AW73" i="4" s="1"/>
  <c r="AX73" i="4" s="1"/>
  <c r="AY73" i="4" s="1"/>
  <c r="BC75" i="4"/>
  <c r="AJ43" i="4" l="1"/>
  <c r="AJ44" i="4"/>
  <c r="AJ42" i="4"/>
  <c r="B91" i="35" l="1"/>
  <c r="C91" i="35"/>
  <c r="D91" i="35"/>
  <c r="B92" i="35"/>
  <c r="C92" i="35"/>
  <c r="D92" i="35"/>
  <c r="B93" i="35"/>
  <c r="C93" i="35"/>
  <c r="D93" i="35"/>
  <c r="D90" i="35"/>
  <c r="C90" i="35"/>
  <c r="B90" i="35"/>
  <c r="E90" i="35"/>
  <c r="E91" i="35"/>
  <c r="E92" i="35"/>
  <c r="E93" i="35"/>
  <c r="B87" i="35"/>
  <c r="C87" i="35"/>
  <c r="D87" i="35"/>
  <c r="E87" i="35"/>
  <c r="B88" i="35"/>
  <c r="C88" i="35"/>
  <c r="D88" i="35"/>
  <c r="E88" i="35"/>
  <c r="B89" i="35"/>
  <c r="C89" i="35"/>
  <c r="E89" i="35" s="1"/>
  <c r="D89" i="35"/>
  <c r="B86" i="35"/>
  <c r="B69" i="35"/>
  <c r="C69" i="35"/>
  <c r="D69" i="35"/>
  <c r="E69" i="35"/>
  <c r="B70" i="35"/>
  <c r="C70" i="35"/>
  <c r="D70" i="35"/>
  <c r="E70" i="35"/>
  <c r="B71" i="35"/>
  <c r="C71" i="35"/>
  <c r="D71" i="35"/>
  <c r="E71" i="35"/>
  <c r="B68" i="35"/>
  <c r="B45" i="35"/>
  <c r="E45" i="35"/>
  <c r="F45" i="35"/>
  <c r="B46" i="35"/>
  <c r="E46" i="35"/>
  <c r="F46" i="35"/>
  <c r="B47" i="35"/>
  <c r="E47" i="35"/>
  <c r="F47" i="35"/>
  <c r="F44" i="35"/>
  <c r="E44" i="35"/>
  <c r="B44" i="35"/>
  <c r="B41" i="35"/>
  <c r="E41" i="35"/>
  <c r="F41" i="35"/>
  <c r="B42" i="35"/>
  <c r="E42" i="35"/>
  <c r="F42" i="35"/>
  <c r="B43" i="35"/>
  <c r="E43" i="35"/>
  <c r="F43" i="35"/>
  <c r="B40" i="35"/>
  <c r="D89" i="34"/>
  <c r="B94" i="34"/>
  <c r="C94" i="34"/>
  <c r="D94" i="34"/>
  <c r="B95" i="34"/>
  <c r="C95" i="34"/>
  <c r="D95" i="34"/>
  <c r="B96" i="34"/>
  <c r="C96" i="34"/>
  <c r="D96" i="34"/>
  <c r="D93" i="34"/>
  <c r="C93" i="34"/>
  <c r="B93" i="34"/>
  <c r="E93" i="34"/>
  <c r="E94" i="34"/>
  <c r="E95" i="34"/>
  <c r="E96" i="34"/>
  <c r="B90" i="34"/>
  <c r="C90" i="34"/>
  <c r="D90" i="34"/>
  <c r="B91" i="34"/>
  <c r="C91" i="34"/>
  <c r="D91" i="34"/>
  <c r="B92" i="34"/>
  <c r="C92" i="34"/>
  <c r="D92" i="34"/>
  <c r="B89" i="34"/>
  <c r="B70" i="34"/>
  <c r="C70" i="34"/>
  <c r="D70" i="34"/>
  <c r="B71" i="34"/>
  <c r="C71" i="34"/>
  <c r="D71" i="34"/>
  <c r="B72" i="34"/>
  <c r="C72" i="34"/>
  <c r="D72" i="34"/>
  <c r="B69" i="34"/>
  <c r="B45" i="34"/>
  <c r="E45" i="34"/>
  <c r="F45" i="34"/>
  <c r="B46" i="34"/>
  <c r="E46" i="34"/>
  <c r="F46" i="34"/>
  <c r="B47" i="34"/>
  <c r="E47" i="34"/>
  <c r="F47" i="34"/>
  <c r="F44" i="34"/>
  <c r="E44" i="34"/>
  <c r="B44" i="34"/>
  <c r="B41" i="34"/>
  <c r="E41" i="34"/>
  <c r="F41" i="34"/>
  <c r="B42" i="34"/>
  <c r="E42" i="34"/>
  <c r="F42" i="34"/>
  <c r="B43" i="34"/>
  <c r="E43" i="34"/>
  <c r="F43" i="34"/>
  <c r="B40" i="34"/>
  <c r="B94" i="33"/>
  <c r="C94" i="33"/>
  <c r="D94" i="33"/>
  <c r="B95" i="33"/>
  <c r="C95" i="33"/>
  <c r="D95" i="33"/>
  <c r="B96" i="33"/>
  <c r="C96" i="33"/>
  <c r="D96" i="33"/>
  <c r="D93" i="33"/>
  <c r="C93" i="33"/>
  <c r="B93" i="33"/>
  <c r="E93" i="33"/>
  <c r="E94" i="33"/>
  <c r="E95" i="33"/>
  <c r="E96" i="33"/>
  <c r="B90" i="33"/>
  <c r="C90" i="33"/>
  <c r="D90" i="33"/>
  <c r="B91" i="33"/>
  <c r="C91" i="33"/>
  <c r="D91" i="33"/>
  <c r="B92" i="33"/>
  <c r="C92" i="33"/>
  <c r="D92" i="33"/>
  <c r="D89" i="33"/>
  <c r="C89" i="33"/>
  <c r="B89" i="33"/>
  <c r="B71" i="33"/>
  <c r="C71" i="33"/>
  <c r="D71" i="33"/>
  <c r="B72" i="33"/>
  <c r="C72" i="33"/>
  <c r="D72" i="33"/>
  <c r="B73" i="33"/>
  <c r="C73" i="33"/>
  <c r="D73" i="33"/>
  <c r="D70" i="33"/>
  <c r="C70" i="33"/>
  <c r="B70" i="33"/>
  <c r="B46" i="33"/>
  <c r="E46" i="33"/>
  <c r="F46" i="33"/>
  <c r="B47" i="33"/>
  <c r="E47" i="33"/>
  <c r="F47" i="33"/>
  <c r="B48" i="33"/>
  <c r="E48" i="33"/>
  <c r="F48" i="33"/>
  <c r="F45" i="33"/>
  <c r="E45" i="33"/>
  <c r="B45" i="33"/>
  <c r="B42" i="33"/>
  <c r="E42" i="33"/>
  <c r="F42" i="33"/>
  <c r="B43" i="33"/>
  <c r="E43" i="33"/>
  <c r="F43" i="33"/>
  <c r="B44" i="33"/>
  <c r="E44" i="33"/>
  <c r="F44" i="33"/>
  <c r="F41" i="33"/>
  <c r="E41" i="33"/>
  <c r="B41" i="33"/>
  <c r="AU194" i="4" l="1"/>
  <c r="AU195" i="4"/>
  <c r="AU196" i="4"/>
  <c r="AU197" i="4"/>
  <c r="AU198" i="4"/>
  <c r="AJ198" i="4"/>
  <c r="AS198" i="4" s="1"/>
  <c r="AJ197" i="4"/>
  <c r="AR197" i="4" s="1"/>
  <c r="AS197" i="4" l="1"/>
  <c r="AT197" i="4" s="1"/>
  <c r="AV197" i="4" s="1"/>
  <c r="AW197" i="4" s="1"/>
  <c r="AX197" i="4" s="1"/>
  <c r="AY197" i="4" s="1"/>
  <c r="AR198" i="4"/>
  <c r="AT198" i="4" s="1"/>
  <c r="AV198" i="4" s="1"/>
  <c r="AW198" i="4" s="1"/>
  <c r="AX198" i="4" s="1"/>
  <c r="AY198" i="4" s="1"/>
  <c r="B44" i="23"/>
  <c r="E44" i="23"/>
  <c r="F44" i="23"/>
  <c r="B45" i="23"/>
  <c r="E45" i="23"/>
  <c r="F45" i="23"/>
  <c r="B46" i="23"/>
  <c r="E46" i="23"/>
  <c r="F46" i="23"/>
  <c r="B47" i="23"/>
  <c r="E47" i="23"/>
  <c r="F47" i="23"/>
  <c r="B48" i="23"/>
  <c r="E48" i="23"/>
  <c r="F48" i="23"/>
  <c r="B49" i="23"/>
  <c r="E49" i="23"/>
  <c r="F49" i="23"/>
  <c r="B50" i="23"/>
  <c r="E50" i="23"/>
  <c r="F50" i="23"/>
  <c r="B51" i="23"/>
  <c r="E51" i="23"/>
  <c r="F51" i="23"/>
  <c r="B52" i="23"/>
  <c r="E52" i="23"/>
  <c r="F52" i="23"/>
  <c r="B42" i="23"/>
  <c r="E42" i="23"/>
  <c r="F42" i="23"/>
  <c r="B43" i="23"/>
  <c r="E43" i="23"/>
  <c r="F43" i="23"/>
  <c r="B41" i="23"/>
  <c r="AQ157" i="4"/>
  <c r="B42" i="22"/>
  <c r="B43" i="22"/>
  <c r="B44" i="22"/>
  <c r="B45" i="22"/>
  <c r="B46" i="22"/>
  <c r="B47" i="22"/>
  <c r="B41" i="22"/>
  <c r="V164" i="4" l="1"/>
  <c r="W164" i="4" s="1"/>
  <c r="V165" i="4"/>
  <c r="W165" i="4" s="1"/>
  <c r="V166" i="4"/>
  <c r="W166" i="4" s="1"/>
  <c r="V167" i="4"/>
  <c r="W167" i="4" s="1"/>
  <c r="V163" i="4"/>
  <c r="W163" i="4" s="1"/>
  <c r="AD163" i="4" s="1"/>
  <c r="AU164" i="4"/>
  <c r="AU165" i="4"/>
  <c r="AU166" i="4"/>
  <c r="AU167" i="4"/>
  <c r="AU168" i="4"/>
  <c r="AR169" i="4"/>
  <c r="C47" i="23" s="1"/>
  <c r="AS169" i="4"/>
  <c r="AU169" i="4"/>
  <c r="AU170" i="4"/>
  <c r="AU171" i="4"/>
  <c r="AU172" i="4"/>
  <c r="AU173" i="4"/>
  <c r="AU174" i="4"/>
  <c r="AS163" i="4"/>
  <c r="AJ164" i="4"/>
  <c r="AK164" i="4" s="1"/>
  <c r="AR164" i="4" s="1"/>
  <c r="C42" i="23" s="1"/>
  <c r="AJ165" i="4"/>
  <c r="AK165" i="4" s="1"/>
  <c r="AJ166" i="4"/>
  <c r="AK166" i="4" s="1"/>
  <c r="AR166" i="4" s="1"/>
  <c r="C44" i="23" s="1"/>
  <c r="AJ167" i="4"/>
  <c r="AK167" i="4" s="1"/>
  <c r="AJ168" i="4"/>
  <c r="AK168" i="4" s="1"/>
  <c r="AR168" i="4" s="1"/>
  <c r="C46" i="23" s="1"/>
  <c r="AJ169" i="4"/>
  <c r="AJ170" i="4"/>
  <c r="AK170" i="4" s="1"/>
  <c r="AJ171" i="4"/>
  <c r="AK171" i="4" s="1"/>
  <c r="AJ172" i="4"/>
  <c r="AK172" i="4" s="1"/>
  <c r="AJ173" i="4"/>
  <c r="AK173" i="4" s="1"/>
  <c r="AJ174" i="4"/>
  <c r="AK174" i="4" s="1"/>
  <c r="AJ163" i="4"/>
  <c r="V162" i="4"/>
  <c r="W162" i="4" s="1"/>
  <c r="AD162" i="4" s="1"/>
  <c r="V161" i="4"/>
  <c r="V159" i="4"/>
  <c r="W159" i="4" s="1"/>
  <c r="AD159" i="4" s="1"/>
  <c r="V156" i="4"/>
  <c r="AS173" i="4" l="1"/>
  <c r="AR173" i="4"/>
  <c r="C51" i="23" s="1"/>
  <c r="AS171" i="4"/>
  <c r="AR171" i="4"/>
  <c r="C49" i="23" s="1"/>
  <c r="AS167" i="4"/>
  <c r="AR167" i="4"/>
  <c r="C45" i="23" s="1"/>
  <c r="AS165" i="4"/>
  <c r="AR165" i="4"/>
  <c r="C43" i="23" s="1"/>
  <c r="AR174" i="4"/>
  <c r="C52" i="23" s="1"/>
  <c r="AS174" i="4"/>
  <c r="AR172" i="4"/>
  <c r="C50" i="23" s="1"/>
  <c r="AS172" i="4"/>
  <c r="AR170" i="4"/>
  <c r="C48" i="23" s="1"/>
  <c r="AS170" i="4"/>
  <c r="AS168" i="4"/>
  <c r="AS166" i="4"/>
  <c r="AS164" i="4"/>
  <c r="AE166" i="4"/>
  <c r="AF166" i="4" s="1"/>
  <c r="AD166" i="4"/>
  <c r="AE164" i="4"/>
  <c r="AF164" i="4" s="1"/>
  <c r="AD164" i="4"/>
  <c r="AT169" i="4"/>
  <c r="AV169" i="4" s="1"/>
  <c r="AW169" i="4" s="1"/>
  <c r="AX169" i="4" s="1"/>
  <c r="AY169" i="4" s="1"/>
  <c r="D47" i="23"/>
  <c r="G47" i="23" s="1"/>
  <c r="AE167" i="4"/>
  <c r="AF167" i="4" s="1"/>
  <c r="AD167" i="4"/>
  <c r="AE165" i="4"/>
  <c r="AF165" i="4" s="1"/>
  <c r="AD165" i="4"/>
  <c r="AE162" i="4"/>
  <c r="AF162" i="4" s="1"/>
  <c r="AQ162" i="4"/>
  <c r="AQ161" i="4"/>
  <c r="AQ158" i="4"/>
  <c r="AQ159" i="4"/>
  <c r="AJ157" i="4"/>
  <c r="AK157" i="4" s="1"/>
  <c r="AJ158" i="4"/>
  <c r="AK158" i="4" s="1"/>
  <c r="AJ159" i="4"/>
  <c r="AK159" i="4" s="1"/>
  <c r="AJ160" i="4"/>
  <c r="AJ161" i="4"/>
  <c r="AK161" i="4" s="1"/>
  <c r="AJ162" i="4"/>
  <c r="AK162" i="4" s="1"/>
  <c r="AJ156" i="4"/>
  <c r="B123" i="21"/>
  <c r="D123" i="21"/>
  <c r="B124" i="21"/>
  <c r="D124" i="21"/>
  <c r="B125" i="21"/>
  <c r="D125" i="21"/>
  <c r="B126" i="21"/>
  <c r="D126" i="21"/>
  <c r="D122" i="21"/>
  <c r="B122" i="21"/>
  <c r="B93" i="21"/>
  <c r="E93" i="21"/>
  <c r="F93" i="21"/>
  <c r="B94" i="21"/>
  <c r="E94" i="21"/>
  <c r="F94" i="21"/>
  <c r="B95" i="21"/>
  <c r="E95" i="21"/>
  <c r="F95" i="21"/>
  <c r="B96" i="21"/>
  <c r="E96" i="21"/>
  <c r="F96" i="21"/>
  <c r="F92" i="21"/>
  <c r="E92" i="21"/>
  <c r="B92" i="21"/>
  <c r="B68" i="21"/>
  <c r="D68" i="21"/>
  <c r="B69" i="21"/>
  <c r="D69" i="21"/>
  <c r="B70" i="21"/>
  <c r="D70" i="21"/>
  <c r="B71" i="21"/>
  <c r="D71" i="21"/>
  <c r="B67" i="21"/>
  <c r="B42" i="21"/>
  <c r="E42" i="21"/>
  <c r="F42" i="21"/>
  <c r="B43" i="21"/>
  <c r="E43" i="21"/>
  <c r="F43" i="21"/>
  <c r="B44" i="21"/>
  <c r="E44" i="21"/>
  <c r="F44" i="21"/>
  <c r="B45" i="21"/>
  <c r="E45" i="21"/>
  <c r="F45" i="21"/>
  <c r="B41" i="21"/>
  <c r="B42" i="20"/>
  <c r="E42" i="20"/>
  <c r="F42" i="20"/>
  <c r="B43" i="20"/>
  <c r="E43" i="20"/>
  <c r="F43" i="20"/>
  <c r="B44" i="20"/>
  <c r="E44" i="20"/>
  <c r="F44" i="20"/>
  <c r="B45" i="20"/>
  <c r="E45" i="20"/>
  <c r="F45" i="20"/>
  <c r="B46" i="20"/>
  <c r="E46" i="20"/>
  <c r="F46" i="20"/>
  <c r="B47" i="20"/>
  <c r="E47" i="20"/>
  <c r="F47" i="20"/>
  <c r="B48" i="20"/>
  <c r="E48" i="20"/>
  <c r="F48" i="20"/>
  <c r="AU133" i="4"/>
  <c r="AU134" i="4"/>
  <c r="AM133" i="4"/>
  <c r="C122" i="21" s="1"/>
  <c r="E122" i="21" s="1"/>
  <c r="AM134" i="4"/>
  <c r="C123" i="21" s="1"/>
  <c r="E123" i="21" s="1"/>
  <c r="AM135" i="4"/>
  <c r="C124" i="21" s="1"/>
  <c r="E124" i="21" s="1"/>
  <c r="AM136" i="4"/>
  <c r="C125" i="21" s="1"/>
  <c r="E125" i="21" s="1"/>
  <c r="AM137" i="4"/>
  <c r="C126" i="21" s="1"/>
  <c r="E126" i="21" s="1"/>
  <c r="AM128" i="4"/>
  <c r="C71" i="21" s="1"/>
  <c r="E71" i="21" s="1"/>
  <c r="AJ133" i="4"/>
  <c r="AK133" i="4" s="1"/>
  <c r="AR133" i="4" s="1"/>
  <c r="AJ134" i="4"/>
  <c r="AK134" i="4" s="1"/>
  <c r="AJ135" i="4"/>
  <c r="AK135" i="4" s="1"/>
  <c r="AJ136" i="4"/>
  <c r="AK136" i="4" s="1"/>
  <c r="AJ137" i="4"/>
  <c r="AK137" i="4" s="1"/>
  <c r="V137" i="4"/>
  <c r="W137" i="4" s="1"/>
  <c r="AY125" i="4"/>
  <c r="AY126" i="4"/>
  <c r="AM127" i="4"/>
  <c r="C70" i="21" s="1"/>
  <c r="E70" i="21" s="1"/>
  <c r="AJ127" i="4"/>
  <c r="AK127" i="4" s="1"/>
  <c r="AM126" i="4"/>
  <c r="C69" i="21" s="1"/>
  <c r="E69" i="21" s="1"/>
  <c r="AJ126" i="4"/>
  <c r="AK126" i="4" s="1"/>
  <c r="AM125" i="4"/>
  <c r="C68" i="21" s="1"/>
  <c r="E68" i="21" s="1"/>
  <c r="AJ125" i="4"/>
  <c r="AK125" i="4" s="1"/>
  <c r="AR127" i="4" l="1"/>
  <c r="C44" i="21" s="1"/>
  <c r="AT166" i="4"/>
  <c r="AV166" i="4" s="1"/>
  <c r="AW166" i="4" s="1"/>
  <c r="AX166" i="4" s="1"/>
  <c r="AY166" i="4" s="1"/>
  <c r="D44" i="23"/>
  <c r="G44" i="23" s="1"/>
  <c r="AT170" i="4"/>
  <c r="AV170" i="4" s="1"/>
  <c r="AW170" i="4" s="1"/>
  <c r="AX170" i="4" s="1"/>
  <c r="AY170" i="4" s="1"/>
  <c r="D48" i="23"/>
  <c r="G48" i="23" s="1"/>
  <c r="AT172" i="4"/>
  <c r="D50" i="23"/>
  <c r="G50" i="23" s="1"/>
  <c r="AT174" i="4"/>
  <c r="AV174" i="4" s="1"/>
  <c r="AW174" i="4" s="1"/>
  <c r="AX174" i="4" s="1"/>
  <c r="AY174" i="4" s="1"/>
  <c r="D52" i="23"/>
  <c r="G52" i="23" s="1"/>
  <c r="AT164" i="4"/>
  <c r="AV164" i="4" s="1"/>
  <c r="AW164" i="4" s="1"/>
  <c r="AX164" i="4" s="1"/>
  <c r="AY164" i="4" s="1"/>
  <c r="D42" i="23"/>
  <c r="G42" i="23" s="1"/>
  <c r="AT168" i="4"/>
  <c r="AV168" i="4" s="1"/>
  <c r="AW168" i="4" s="1"/>
  <c r="AX168" i="4" s="1"/>
  <c r="AY168" i="4" s="1"/>
  <c r="D46" i="23"/>
  <c r="G46" i="23" s="1"/>
  <c r="AT165" i="4"/>
  <c r="AV165" i="4" s="1"/>
  <c r="AW165" i="4" s="1"/>
  <c r="AX165" i="4" s="1"/>
  <c r="AY165" i="4" s="1"/>
  <c r="D43" i="23"/>
  <c r="G43" i="23" s="1"/>
  <c r="AT167" i="4"/>
  <c r="AV167" i="4" s="1"/>
  <c r="AW167" i="4" s="1"/>
  <c r="AX167" i="4" s="1"/>
  <c r="AY167" i="4" s="1"/>
  <c r="D45" i="23"/>
  <c r="G45" i="23" s="1"/>
  <c r="AT171" i="4"/>
  <c r="D49" i="23"/>
  <c r="G49" i="23" s="1"/>
  <c r="AT173" i="4"/>
  <c r="D51" i="23"/>
  <c r="G51" i="23" s="1"/>
  <c r="AS134" i="4"/>
  <c r="D93" i="21" s="1"/>
  <c r="AR134" i="4"/>
  <c r="AS133" i="4"/>
  <c r="D92" i="21" s="1"/>
  <c r="AR125" i="4"/>
  <c r="C42" i="21" s="1"/>
  <c r="AR126" i="4"/>
  <c r="C43" i="21" s="1"/>
  <c r="AD137" i="4"/>
  <c r="C92" i="21"/>
  <c r="AE137" i="4"/>
  <c r="AF137" i="4" s="1"/>
  <c r="AS125" i="4"/>
  <c r="AS126" i="4"/>
  <c r="AS127" i="4"/>
  <c r="AU135" i="4"/>
  <c r="AS137" i="4"/>
  <c r="D96" i="21" s="1"/>
  <c r="AS136" i="4"/>
  <c r="D95" i="21" s="1"/>
  <c r="AR135" i="4"/>
  <c r="C94" i="21" s="1"/>
  <c r="AJ128" i="4"/>
  <c r="V124" i="4"/>
  <c r="B76" i="20"/>
  <c r="B75" i="20"/>
  <c r="B74" i="20"/>
  <c r="B73" i="20"/>
  <c r="B72" i="20"/>
  <c r="B71" i="20"/>
  <c r="B70" i="20"/>
  <c r="B69" i="20"/>
  <c r="D70" i="20"/>
  <c r="D71" i="20"/>
  <c r="D72" i="20"/>
  <c r="D73" i="20"/>
  <c r="D74" i="20"/>
  <c r="D75" i="20"/>
  <c r="D76" i="20"/>
  <c r="B41" i="20"/>
  <c r="AU105" i="4"/>
  <c r="AU108" i="4"/>
  <c r="AU109" i="4"/>
  <c r="AU110" i="4"/>
  <c r="AU111" i="4"/>
  <c r="AU112" i="4"/>
  <c r="AU113" i="4"/>
  <c r="C71" i="20"/>
  <c r="C72" i="20"/>
  <c r="C73" i="20"/>
  <c r="C74" i="20"/>
  <c r="C75" i="20"/>
  <c r="C76" i="20"/>
  <c r="E76" i="20" s="1"/>
  <c r="C70" i="20"/>
  <c r="AJ113" i="4"/>
  <c r="AK113" i="4" s="1"/>
  <c r="AJ108" i="4"/>
  <c r="AK108" i="4" s="1"/>
  <c r="AJ109" i="4"/>
  <c r="AK109" i="4" s="1"/>
  <c r="AJ110" i="4"/>
  <c r="AK110" i="4" s="1"/>
  <c r="AJ111" i="4"/>
  <c r="AK111" i="4" s="1"/>
  <c r="AJ112" i="4"/>
  <c r="AK112" i="4" s="1"/>
  <c r="AJ105" i="4"/>
  <c r="AK105" i="4" s="1"/>
  <c r="V111" i="4"/>
  <c r="W111" i="4" s="1"/>
  <c r="V109" i="4"/>
  <c r="W109" i="4" s="1"/>
  <c r="V105" i="4"/>
  <c r="W105" i="4" s="1"/>
  <c r="F42" i="43"/>
  <c r="E42" i="43"/>
  <c r="F50" i="43"/>
  <c r="E50" i="43"/>
  <c r="B50" i="43"/>
  <c r="B42" i="43"/>
  <c r="B43" i="43"/>
  <c r="E43" i="43"/>
  <c r="F43" i="43"/>
  <c r="B44" i="43"/>
  <c r="E44" i="43"/>
  <c r="F44" i="43"/>
  <c r="B45" i="43"/>
  <c r="E45" i="43"/>
  <c r="F45" i="43"/>
  <c r="B46" i="43"/>
  <c r="E46" i="43"/>
  <c r="F46" i="43"/>
  <c r="B47" i="43"/>
  <c r="E47" i="43"/>
  <c r="F47" i="43"/>
  <c r="B48" i="43"/>
  <c r="E48" i="43"/>
  <c r="F48" i="43"/>
  <c r="B49" i="43"/>
  <c r="E49" i="43"/>
  <c r="F49" i="43"/>
  <c r="F41" i="43"/>
  <c r="E41" i="43"/>
  <c r="B41" i="43"/>
  <c r="C10" i="43"/>
  <c r="C9" i="43"/>
  <c r="C8" i="43"/>
  <c r="C7" i="43"/>
  <c r="AU70" i="4"/>
  <c r="AT70" i="4"/>
  <c r="AC70" i="4"/>
  <c r="V70" i="4"/>
  <c r="W70" i="4" s="1"/>
  <c r="AU69" i="4"/>
  <c r="AQ69" i="4"/>
  <c r="AJ69" i="4"/>
  <c r="AK69" i="4" s="1"/>
  <c r="AC69" i="4"/>
  <c r="V69" i="4"/>
  <c r="W69" i="4" s="1"/>
  <c r="AU68" i="4"/>
  <c r="AC68" i="4"/>
  <c r="V68" i="4"/>
  <c r="W68" i="4" s="1"/>
  <c r="AU67" i="4"/>
  <c r="AQ67" i="4"/>
  <c r="AJ67" i="4"/>
  <c r="AK67" i="4" s="1"/>
  <c r="AC67" i="4"/>
  <c r="V67" i="4"/>
  <c r="W67" i="4" s="1"/>
  <c r="AU66" i="4"/>
  <c r="AQ66" i="4"/>
  <c r="AJ66" i="4"/>
  <c r="AK66" i="4" s="1"/>
  <c r="AC66" i="4"/>
  <c r="V66" i="4"/>
  <c r="W66" i="4" s="1"/>
  <c r="AU65" i="4"/>
  <c r="AQ65" i="4"/>
  <c r="AJ65" i="4"/>
  <c r="AK65" i="4" s="1"/>
  <c r="AC65" i="4"/>
  <c r="V65" i="4"/>
  <c r="W65" i="4" s="1"/>
  <c r="AU64" i="4"/>
  <c r="AQ64" i="4"/>
  <c r="AJ64" i="4"/>
  <c r="AK64" i="4" s="1"/>
  <c r="AC64" i="4"/>
  <c r="V64" i="4"/>
  <c r="W64" i="4" s="1"/>
  <c r="AU63" i="4"/>
  <c r="AQ63" i="4"/>
  <c r="AJ63" i="4"/>
  <c r="AK63" i="4" s="1"/>
  <c r="AC63" i="4"/>
  <c r="V63" i="4"/>
  <c r="W63" i="4" s="1"/>
  <c r="AU62" i="4"/>
  <c r="AQ62" i="4"/>
  <c r="AJ62" i="4"/>
  <c r="AK62" i="4" s="1"/>
  <c r="AC62" i="4"/>
  <c r="V62" i="4"/>
  <c r="W62" i="4" s="1"/>
  <c r="AU61" i="4"/>
  <c r="AQ61" i="4"/>
  <c r="AJ61" i="4"/>
  <c r="AK61" i="4" s="1"/>
  <c r="AC61" i="4"/>
  <c r="V61" i="4"/>
  <c r="W61" i="4" s="1"/>
  <c r="AU60" i="4"/>
  <c r="AC60" i="4"/>
  <c r="V60" i="4"/>
  <c r="W60" i="4" s="1"/>
  <c r="AU59" i="4"/>
  <c r="AQ59" i="4"/>
  <c r="AJ59" i="4"/>
  <c r="AK59" i="4" s="1"/>
  <c r="AC59" i="4"/>
  <c r="V59" i="4"/>
  <c r="W59" i="4" s="1"/>
  <c r="BD58" i="4"/>
  <c r="AU58" i="4"/>
  <c r="AQ58" i="4"/>
  <c r="AJ58" i="4"/>
  <c r="AK58" i="4" s="1"/>
  <c r="B42" i="36"/>
  <c r="AQ46" i="4"/>
  <c r="AJ46" i="4"/>
  <c r="AK46" i="4" s="1"/>
  <c r="AU46" i="4"/>
  <c r="AC46" i="4"/>
  <c r="V46" i="4"/>
  <c r="W46" i="4" s="1"/>
  <c r="F50" i="36"/>
  <c r="E50" i="36"/>
  <c r="B50" i="36"/>
  <c r="E42" i="36"/>
  <c r="F42" i="36"/>
  <c r="B43" i="36"/>
  <c r="E43" i="36"/>
  <c r="F43" i="36"/>
  <c r="B44" i="36"/>
  <c r="E44" i="36"/>
  <c r="F44" i="36"/>
  <c r="B45" i="36"/>
  <c r="E45" i="36"/>
  <c r="F45" i="36"/>
  <c r="B46" i="36"/>
  <c r="E46" i="36"/>
  <c r="F46" i="36"/>
  <c r="B47" i="36"/>
  <c r="E47" i="36"/>
  <c r="F47" i="36"/>
  <c r="B48" i="36"/>
  <c r="E48" i="36"/>
  <c r="F48" i="36"/>
  <c r="B49" i="36"/>
  <c r="E49" i="36"/>
  <c r="F49" i="36"/>
  <c r="B41" i="36"/>
  <c r="AU55" i="4"/>
  <c r="AT57" i="4"/>
  <c r="AU56" i="4"/>
  <c r="AU47" i="4"/>
  <c r="AU48" i="4"/>
  <c r="AU49" i="4"/>
  <c r="AU50" i="4"/>
  <c r="AU51" i="4"/>
  <c r="AU52" i="4"/>
  <c r="AU53" i="4"/>
  <c r="AU54" i="4"/>
  <c r="AQ48" i="4"/>
  <c r="AQ49" i="4"/>
  <c r="AQ50" i="4"/>
  <c r="AQ51" i="4"/>
  <c r="AQ52" i="4"/>
  <c r="AQ53" i="4"/>
  <c r="AQ54" i="4"/>
  <c r="AQ56" i="4"/>
  <c r="AQ45" i="4"/>
  <c r="AJ48" i="4"/>
  <c r="AK48" i="4" s="1"/>
  <c r="AJ49" i="4"/>
  <c r="AK49" i="4" s="1"/>
  <c r="AJ50" i="4"/>
  <c r="AK50" i="4" s="1"/>
  <c r="AJ51" i="4"/>
  <c r="AK51" i="4" s="1"/>
  <c r="AJ52" i="4"/>
  <c r="AK52" i="4" s="1"/>
  <c r="AJ53" i="4"/>
  <c r="AK53" i="4" s="1"/>
  <c r="AJ54" i="4"/>
  <c r="AK54" i="4" s="1"/>
  <c r="AJ56" i="4"/>
  <c r="AK56" i="4" s="1"/>
  <c r="AJ124" i="4"/>
  <c r="AJ45" i="4"/>
  <c r="AK45" i="4" s="1"/>
  <c r="AS112" i="4" l="1"/>
  <c r="AR112" i="4"/>
  <c r="C47" i="20" s="1"/>
  <c r="AS110" i="4"/>
  <c r="AR110" i="4"/>
  <c r="C45" i="20" s="1"/>
  <c r="AS108" i="4"/>
  <c r="AR108" i="4"/>
  <c r="C43" i="20" s="1"/>
  <c r="AR105" i="4"/>
  <c r="AS105" i="4"/>
  <c r="D42" i="20" s="1"/>
  <c r="AS111" i="4"/>
  <c r="AR111" i="4"/>
  <c r="C46" i="20" s="1"/>
  <c r="AR109" i="4"/>
  <c r="AS109" i="4"/>
  <c r="AR113" i="4"/>
  <c r="AS113" i="4"/>
  <c r="D48" i="20" s="1"/>
  <c r="AE105" i="4"/>
  <c r="AD105" i="4"/>
  <c r="AD111" i="4"/>
  <c r="AE111" i="4"/>
  <c r="AF111" i="4" s="1"/>
  <c r="AE109" i="4"/>
  <c r="AD109" i="4"/>
  <c r="AS135" i="4"/>
  <c r="D94" i="21" s="1"/>
  <c r="G94" i="21" s="1"/>
  <c r="AR67" i="4"/>
  <c r="C49" i="43" s="1"/>
  <c r="AT126" i="4"/>
  <c r="D43" i="21"/>
  <c r="G43" i="21" s="1"/>
  <c r="C93" i="21"/>
  <c r="G93" i="21" s="1"/>
  <c r="AT134" i="4"/>
  <c r="AV134" i="4" s="1"/>
  <c r="AW134" i="4" s="1"/>
  <c r="AX134" i="4" s="1"/>
  <c r="AY134" i="4" s="1"/>
  <c r="AR136" i="4"/>
  <c r="C95" i="21" s="1"/>
  <c r="G95" i="21" s="1"/>
  <c r="AT127" i="4"/>
  <c r="D44" i="21"/>
  <c r="G44" i="21" s="1"/>
  <c r="AT125" i="4"/>
  <c r="D42" i="21"/>
  <c r="G42" i="21" s="1"/>
  <c r="G92" i="21"/>
  <c r="AR137" i="4"/>
  <c r="C96" i="21" s="1"/>
  <c r="G96" i="21" s="1"/>
  <c r="AT133" i="4"/>
  <c r="AV133" i="4" s="1"/>
  <c r="AW133" i="4" s="1"/>
  <c r="AX133" i="4" s="1"/>
  <c r="AY133" i="4" s="1"/>
  <c r="AR46" i="4"/>
  <c r="C42" i="36" s="1"/>
  <c r="AE60" i="4"/>
  <c r="AE62" i="4"/>
  <c r="AS62" i="4"/>
  <c r="D44" i="43" s="1"/>
  <c r="AE68" i="4"/>
  <c r="AE64" i="4"/>
  <c r="C42" i="20"/>
  <c r="D46" i="20"/>
  <c r="C44" i="20"/>
  <c r="D44" i="20"/>
  <c r="C48" i="20"/>
  <c r="D47" i="20"/>
  <c r="D45" i="20"/>
  <c r="D43" i="20"/>
  <c r="AD46" i="4"/>
  <c r="AS46" i="4"/>
  <c r="D42" i="36" s="1"/>
  <c r="AD59" i="4"/>
  <c r="AR61" i="4"/>
  <c r="C43" i="43" s="1"/>
  <c r="AR63" i="4"/>
  <c r="C45" i="43" s="1"/>
  <c r="AS64" i="4"/>
  <c r="D46" i="43" s="1"/>
  <c r="AE66" i="4"/>
  <c r="AS66" i="4"/>
  <c r="D48" i="43" s="1"/>
  <c r="AR65" i="4"/>
  <c r="C47" i="43" s="1"/>
  <c r="AD69" i="4"/>
  <c r="AE59" i="4"/>
  <c r="AF59" i="4" s="1"/>
  <c r="AD60" i="4"/>
  <c r="AF60" i="4" s="1"/>
  <c r="AV60" i="4" s="1"/>
  <c r="AW60" i="4" s="1"/>
  <c r="AX60" i="4" s="1"/>
  <c r="AY60" i="4" s="1"/>
  <c r="AS61" i="4"/>
  <c r="AR62" i="4"/>
  <c r="AS63" i="4"/>
  <c r="D45" i="43" s="1"/>
  <c r="AR64" i="4"/>
  <c r="AS65" i="4"/>
  <c r="D47" i="43" s="1"/>
  <c r="AR66" i="4"/>
  <c r="AS67" i="4"/>
  <c r="D49" i="43" s="1"/>
  <c r="AE69" i="4"/>
  <c r="AF69" i="4" s="1"/>
  <c r="AR58" i="4"/>
  <c r="C41" i="43" s="1"/>
  <c r="AS58" i="4"/>
  <c r="D41" i="43" s="1"/>
  <c r="AR59" i="4"/>
  <c r="C42" i="43" s="1"/>
  <c r="AS59" i="4"/>
  <c r="D42" i="43" s="1"/>
  <c r="AD61" i="4"/>
  <c r="AE61" i="4"/>
  <c r="AD62" i="4"/>
  <c r="AF62" i="4" s="1"/>
  <c r="AD63" i="4"/>
  <c r="AE63" i="4"/>
  <c r="AD64" i="4"/>
  <c r="AF64" i="4" s="1"/>
  <c r="AD65" i="4"/>
  <c r="AE65" i="4"/>
  <c r="AD66" i="4"/>
  <c r="AF66" i="4" s="1"/>
  <c r="AD67" i="4"/>
  <c r="AE67" i="4"/>
  <c r="AD68" i="4"/>
  <c r="AR69" i="4"/>
  <c r="C50" i="43" s="1"/>
  <c r="AS69" i="4"/>
  <c r="D50" i="43" s="1"/>
  <c r="AD70" i="4"/>
  <c r="AE70" i="4"/>
  <c r="AE46" i="4"/>
  <c r="AF46" i="4" s="1"/>
  <c r="AS45" i="4"/>
  <c r="AR45" i="4"/>
  <c r="AR56" i="4"/>
  <c r="AS56" i="4"/>
  <c r="AS53" i="4"/>
  <c r="AR53" i="4"/>
  <c r="AS51" i="4"/>
  <c r="AR51" i="4"/>
  <c r="AS49" i="4"/>
  <c r="AR49" i="4"/>
  <c r="AR54" i="4"/>
  <c r="AS54" i="4"/>
  <c r="AR52" i="4"/>
  <c r="AS52" i="4"/>
  <c r="AR50" i="4"/>
  <c r="AS50" i="4"/>
  <c r="AR48" i="4"/>
  <c r="AS48" i="4"/>
  <c r="AC48" i="4"/>
  <c r="AC49" i="4"/>
  <c r="AC50" i="4"/>
  <c r="AC51" i="4"/>
  <c r="AC52" i="4"/>
  <c r="AC53" i="4"/>
  <c r="AC54" i="4"/>
  <c r="AC55" i="4"/>
  <c r="AC56" i="4"/>
  <c r="AC57" i="4"/>
  <c r="AC47" i="4"/>
  <c r="V48" i="4"/>
  <c r="W48" i="4" s="1"/>
  <c r="V49" i="4"/>
  <c r="W49" i="4" s="1"/>
  <c r="V50" i="4"/>
  <c r="W50" i="4" s="1"/>
  <c r="V51" i="4"/>
  <c r="W51" i="4" s="1"/>
  <c r="V52" i="4"/>
  <c r="W52" i="4" s="1"/>
  <c r="V53" i="4"/>
  <c r="W53" i="4" s="1"/>
  <c r="V54" i="4"/>
  <c r="W54" i="4" s="1"/>
  <c r="V55" i="4"/>
  <c r="W55" i="4" s="1"/>
  <c r="V56" i="4"/>
  <c r="W56" i="4" s="1"/>
  <c r="V57" i="4"/>
  <c r="W57" i="4" s="1"/>
  <c r="V47" i="4"/>
  <c r="W47" i="4" s="1"/>
  <c r="B42" i="39"/>
  <c r="B41" i="39"/>
  <c r="B40" i="39"/>
  <c r="C92" i="32"/>
  <c r="E92" i="32" s="1"/>
  <c r="D92" i="32"/>
  <c r="C93" i="32"/>
  <c r="E93" i="32" s="1"/>
  <c r="D93" i="32"/>
  <c r="C94" i="32"/>
  <c r="D94" i="32"/>
  <c r="D91" i="32"/>
  <c r="C91" i="32"/>
  <c r="E91" i="32" s="1"/>
  <c r="B94" i="32"/>
  <c r="B93" i="32"/>
  <c r="B92" i="32"/>
  <c r="B91" i="32"/>
  <c r="E94" i="32"/>
  <c r="D88" i="32"/>
  <c r="D89" i="32"/>
  <c r="D90" i="32"/>
  <c r="C88" i="32"/>
  <c r="E88" i="32" s="1"/>
  <c r="C89" i="32"/>
  <c r="E89" i="32" s="1"/>
  <c r="C90" i="32"/>
  <c r="E90" i="32" s="1"/>
  <c r="B88" i="32"/>
  <c r="B89" i="32"/>
  <c r="B90" i="32"/>
  <c r="B87" i="32"/>
  <c r="D72" i="32"/>
  <c r="D71" i="32"/>
  <c r="D70" i="32"/>
  <c r="C72" i="32"/>
  <c r="E72" i="32" s="1"/>
  <c r="C71" i="32"/>
  <c r="E71" i="32" s="1"/>
  <c r="C70" i="32"/>
  <c r="E70" i="32" s="1"/>
  <c r="B70" i="32"/>
  <c r="B71" i="32"/>
  <c r="B72" i="32"/>
  <c r="B69" i="32"/>
  <c r="E46" i="32"/>
  <c r="F46" i="32"/>
  <c r="E47" i="32"/>
  <c r="F47" i="32"/>
  <c r="E48" i="32"/>
  <c r="F48" i="32"/>
  <c r="F45" i="32"/>
  <c r="E45" i="32"/>
  <c r="E42" i="32"/>
  <c r="F42" i="32"/>
  <c r="E43" i="32"/>
  <c r="F43" i="32"/>
  <c r="E44" i="32"/>
  <c r="F44" i="32"/>
  <c r="B48" i="32"/>
  <c r="B47" i="32"/>
  <c r="B46" i="32"/>
  <c r="B45" i="32"/>
  <c r="B44" i="32"/>
  <c r="B43" i="32"/>
  <c r="B42" i="32"/>
  <c r="B41" i="32"/>
  <c r="AU25" i="4"/>
  <c r="AU26" i="4"/>
  <c r="AU27" i="4"/>
  <c r="AU28" i="4"/>
  <c r="AU29" i="4"/>
  <c r="AU30" i="4"/>
  <c r="AU31" i="4"/>
  <c r="AU32" i="4"/>
  <c r="AU33" i="4"/>
  <c r="AU34" i="4"/>
  <c r="AU35" i="4"/>
  <c r="AU36" i="4"/>
  <c r="AU37" i="4"/>
  <c r="AU38" i="4"/>
  <c r="AU39" i="4"/>
  <c r="AU40" i="4"/>
  <c r="AU41" i="4"/>
  <c r="AR40" i="4"/>
  <c r="C46" i="35" s="1"/>
  <c r="AS40" i="4"/>
  <c r="D46" i="35" s="1"/>
  <c r="AR38" i="4"/>
  <c r="C44" i="35" s="1"/>
  <c r="AS38" i="4"/>
  <c r="D44" i="35" s="1"/>
  <c r="AR36" i="4"/>
  <c r="C46" i="34" s="1"/>
  <c r="AS36" i="4"/>
  <c r="D46" i="34" s="1"/>
  <c r="AR35" i="4"/>
  <c r="C45" i="34" s="1"/>
  <c r="AS35" i="4"/>
  <c r="D45" i="34" s="1"/>
  <c r="AR32" i="4"/>
  <c r="C47" i="33" s="1"/>
  <c r="AS32" i="4"/>
  <c r="AR31" i="4"/>
  <c r="C46" i="33" s="1"/>
  <c r="AS31" i="4"/>
  <c r="AR28" i="4"/>
  <c r="C47" i="32" s="1"/>
  <c r="AS28" i="4"/>
  <c r="AR27" i="4"/>
  <c r="C46" i="32" s="1"/>
  <c r="AS27" i="4"/>
  <c r="D46" i="32" s="1"/>
  <c r="AJ22" i="4"/>
  <c r="AJ23" i="4"/>
  <c r="AJ24" i="4"/>
  <c r="AJ25" i="4"/>
  <c r="AJ26" i="4"/>
  <c r="AJ27" i="4"/>
  <c r="AJ28" i="4"/>
  <c r="AJ29" i="4"/>
  <c r="AJ30" i="4"/>
  <c r="AJ31" i="4"/>
  <c r="AJ32" i="4"/>
  <c r="AJ33" i="4"/>
  <c r="AJ34" i="4"/>
  <c r="AJ35" i="4"/>
  <c r="AJ36" i="4"/>
  <c r="AJ37" i="4"/>
  <c r="AU23" i="4"/>
  <c r="AU24" i="4"/>
  <c r="AR24" i="4"/>
  <c r="C42" i="35" s="1"/>
  <c r="AS24" i="4"/>
  <c r="D42" i="35" s="1"/>
  <c r="AR23" i="4"/>
  <c r="C41" i="35" s="1"/>
  <c r="AS23" i="4"/>
  <c r="D41" i="35" s="1"/>
  <c r="AU19" i="4"/>
  <c r="AU20" i="4"/>
  <c r="AU21" i="4"/>
  <c r="AR19" i="4"/>
  <c r="C41" i="34" s="1"/>
  <c r="AS19" i="4"/>
  <c r="D41" i="34" s="1"/>
  <c r="AR20" i="4"/>
  <c r="C42" i="34" s="1"/>
  <c r="AS20" i="4"/>
  <c r="D42" i="34" s="1"/>
  <c r="AR21" i="4"/>
  <c r="C43" i="34" s="1"/>
  <c r="AS21" i="4"/>
  <c r="D43" i="34" s="1"/>
  <c r="AU13" i="4"/>
  <c r="AU14" i="4"/>
  <c r="AU15" i="4"/>
  <c r="AU16" i="4"/>
  <c r="AU11" i="4"/>
  <c r="AU12" i="4"/>
  <c r="AJ12" i="4"/>
  <c r="AR12" i="4" s="1"/>
  <c r="C43" i="32" s="1"/>
  <c r="AJ13" i="4"/>
  <c r="AS13" i="4" s="1"/>
  <c r="D44" i="32" s="1"/>
  <c r="AJ14" i="4"/>
  <c r="AR14" i="4" s="1"/>
  <c r="C41" i="33" s="1"/>
  <c r="AJ15" i="4"/>
  <c r="AR15" i="4" s="1"/>
  <c r="C42" i="33" s="1"/>
  <c r="AJ16" i="4"/>
  <c r="AJ17" i="4"/>
  <c r="AJ18" i="4"/>
  <c r="AJ19" i="4"/>
  <c r="AJ20" i="4"/>
  <c r="AJ21" i="4"/>
  <c r="AJ11" i="4"/>
  <c r="AS11" i="4" s="1"/>
  <c r="D42" i="32" s="1"/>
  <c r="AJ10" i="4"/>
  <c r="AS10" i="4" s="1"/>
  <c r="D41" i="32" s="1"/>
  <c r="V24" i="4"/>
  <c r="AE24" i="4" s="1"/>
  <c r="V23" i="4"/>
  <c r="AE23" i="4" s="1"/>
  <c r="V22" i="4"/>
  <c r="AE22" i="4" s="1"/>
  <c r="V21" i="4"/>
  <c r="AE21" i="4" s="1"/>
  <c r="V20" i="4"/>
  <c r="AE20" i="4" s="1"/>
  <c r="V19" i="4"/>
  <c r="AE19" i="4" s="1"/>
  <c r="V18" i="4"/>
  <c r="AE18" i="4" s="1"/>
  <c r="V17" i="4"/>
  <c r="AD17" i="4" s="1"/>
  <c r="V16" i="4"/>
  <c r="AD16" i="4" s="1"/>
  <c r="V15" i="4"/>
  <c r="AD15" i="4" s="1"/>
  <c r="V14" i="4"/>
  <c r="AD14" i="4" s="1"/>
  <c r="V13" i="4"/>
  <c r="AD13" i="4" s="1"/>
  <c r="V12" i="4"/>
  <c r="AD12" i="4" s="1"/>
  <c r="V11" i="4"/>
  <c r="AD11" i="4" s="1"/>
  <c r="V10" i="4"/>
  <c r="AD10" i="4" s="1"/>
  <c r="G41" i="35" l="1"/>
  <c r="G42" i="35"/>
  <c r="G45" i="34"/>
  <c r="G46" i="34"/>
  <c r="G44" i="35"/>
  <c r="G46" i="35"/>
  <c r="AF109" i="4"/>
  <c r="AF105" i="4"/>
  <c r="AF68" i="4"/>
  <c r="AV68" i="4" s="1"/>
  <c r="AW68" i="4" s="1"/>
  <c r="AX68" i="4" s="1"/>
  <c r="AY68" i="4" s="1"/>
  <c r="G48" i="20"/>
  <c r="G42" i="20"/>
  <c r="G43" i="20"/>
  <c r="G45" i="20"/>
  <c r="G47" i="20"/>
  <c r="G44" i="20"/>
  <c r="G46" i="20"/>
  <c r="G50" i="43"/>
  <c r="G42" i="43"/>
  <c r="G41" i="43"/>
  <c r="AT67" i="4"/>
  <c r="AT62" i="4"/>
  <c r="C44" i="43"/>
  <c r="G44" i="43" s="1"/>
  <c r="AT113" i="4"/>
  <c r="AY113" i="4" s="1"/>
  <c r="AT105" i="4"/>
  <c r="AT46" i="4"/>
  <c r="AV46" i="4" s="1"/>
  <c r="AW46" i="4" s="1"/>
  <c r="AT66" i="4"/>
  <c r="AV66" i="4" s="1"/>
  <c r="AW66" i="4" s="1"/>
  <c r="AX66" i="4" s="1"/>
  <c r="AY66" i="4" s="1"/>
  <c r="C48" i="43"/>
  <c r="G48" i="43" s="1"/>
  <c r="AT64" i="4"/>
  <c r="AV64" i="4" s="1"/>
  <c r="AW64" i="4" s="1"/>
  <c r="AX64" i="4" s="1"/>
  <c r="AY64" i="4" s="1"/>
  <c r="C46" i="43"/>
  <c r="G46" i="43" s="1"/>
  <c r="AT63" i="4"/>
  <c r="AT61" i="4"/>
  <c r="D43" i="43"/>
  <c r="G43" i="43" s="1"/>
  <c r="AT108" i="4"/>
  <c r="AT110" i="4"/>
  <c r="AT112" i="4"/>
  <c r="AT109" i="4"/>
  <c r="AV109" i="4" s="1"/>
  <c r="AW109" i="4" s="1"/>
  <c r="AX109" i="4" s="1"/>
  <c r="AY109" i="4" s="1"/>
  <c r="AT111" i="4"/>
  <c r="AV111" i="4" s="1"/>
  <c r="AW111" i="4" s="1"/>
  <c r="AX111" i="4" s="1"/>
  <c r="AY111" i="4" s="1"/>
  <c r="AD56" i="4"/>
  <c r="AT65" i="4"/>
  <c r="AF67" i="4"/>
  <c r="AF63" i="4"/>
  <c r="C43" i="36"/>
  <c r="C45" i="36"/>
  <c r="C47" i="36"/>
  <c r="C49" i="36"/>
  <c r="C44" i="36"/>
  <c r="C46" i="36"/>
  <c r="G45" i="43"/>
  <c r="C48" i="36"/>
  <c r="G47" i="43"/>
  <c r="D50" i="36"/>
  <c r="G49" i="43"/>
  <c r="AX46" i="4"/>
  <c r="AY46" i="4" s="1"/>
  <c r="AF70" i="4"/>
  <c r="AV70" i="4" s="1"/>
  <c r="AW70" i="4" s="1"/>
  <c r="AX70" i="4" s="1"/>
  <c r="AY70" i="4" s="1"/>
  <c r="AT69" i="4"/>
  <c r="AV69" i="4" s="1"/>
  <c r="AW69" i="4" s="1"/>
  <c r="AX69" i="4" s="1"/>
  <c r="AY69" i="4" s="1"/>
  <c r="AF65" i="4"/>
  <c r="AF61" i="4"/>
  <c r="AV61" i="4" s="1"/>
  <c r="AW61" i="4" s="1"/>
  <c r="AX61" i="4" s="1"/>
  <c r="AY61" i="4" s="1"/>
  <c r="AT59" i="4"/>
  <c r="AV59" i="4" s="1"/>
  <c r="AW59" i="4" s="1"/>
  <c r="AX59" i="4" s="1"/>
  <c r="AY59" i="4" s="1"/>
  <c r="AT58" i="4"/>
  <c r="AV58" i="4" s="1"/>
  <c r="AW58" i="4" s="1"/>
  <c r="AX58" i="4" s="1"/>
  <c r="AY58" i="4" s="1"/>
  <c r="AV62" i="4"/>
  <c r="AW62" i="4" s="1"/>
  <c r="AX62" i="4" s="1"/>
  <c r="AY62" i="4" s="1"/>
  <c r="AS12" i="4"/>
  <c r="D43" i="32" s="1"/>
  <c r="G43" i="32" s="1"/>
  <c r="AT48" i="4"/>
  <c r="D43" i="36"/>
  <c r="AT50" i="4"/>
  <c r="D45" i="36"/>
  <c r="AT52" i="4"/>
  <c r="D47" i="36"/>
  <c r="AT54" i="4"/>
  <c r="D49" i="36"/>
  <c r="AS14" i="4"/>
  <c r="AT14" i="4" s="1"/>
  <c r="D41" i="33" s="1"/>
  <c r="G42" i="36"/>
  <c r="AT49" i="4"/>
  <c r="D44" i="36"/>
  <c r="AT51" i="4"/>
  <c r="D46" i="36"/>
  <c r="AT53" i="4"/>
  <c r="D48" i="36"/>
  <c r="AT56" i="4"/>
  <c r="C50" i="36"/>
  <c r="AD55" i="4"/>
  <c r="AE55" i="4"/>
  <c r="AE53" i="4"/>
  <c r="AD53" i="4"/>
  <c r="AD51" i="4"/>
  <c r="AE51" i="4"/>
  <c r="AE49" i="4"/>
  <c r="AD49" i="4"/>
  <c r="AD47" i="4"/>
  <c r="AE47" i="4"/>
  <c r="AE54" i="4"/>
  <c r="AD54" i="4"/>
  <c r="AD52" i="4"/>
  <c r="AE52" i="4"/>
  <c r="AE50" i="4"/>
  <c r="AD50" i="4"/>
  <c r="AD48" i="4"/>
  <c r="AE48" i="4"/>
  <c r="AR10" i="4"/>
  <c r="C41" i="32" s="1"/>
  <c r="G41" i="32" s="1"/>
  <c r="AS15" i="4"/>
  <c r="AT15" i="4" s="1"/>
  <c r="D42" i="33" s="1"/>
  <c r="AR13" i="4"/>
  <c r="C44" i="32" s="1"/>
  <c r="G44" i="32" s="1"/>
  <c r="AR11" i="4"/>
  <c r="AT20" i="4"/>
  <c r="AT23" i="4"/>
  <c r="AT24" i="4"/>
  <c r="G46" i="32"/>
  <c r="AD18" i="4"/>
  <c r="AD19" i="4"/>
  <c r="AF19" i="4" s="1"/>
  <c r="AD20" i="4"/>
  <c r="AF20" i="4" s="1"/>
  <c r="AV20" i="4" s="1"/>
  <c r="AW20" i="4" s="1"/>
  <c r="AX20" i="4" s="1"/>
  <c r="AY20" i="4" s="1"/>
  <c r="AD21" i="4"/>
  <c r="AF21" i="4" s="1"/>
  <c r="AD22" i="4"/>
  <c r="AF22" i="4" s="1"/>
  <c r="AD23" i="4"/>
  <c r="AF23" i="4" s="1"/>
  <c r="AV23" i="4" s="1"/>
  <c r="AW23" i="4" s="1"/>
  <c r="AX23" i="4" s="1"/>
  <c r="AY23" i="4" s="1"/>
  <c r="AD24" i="4"/>
  <c r="AF24" i="4" s="1"/>
  <c r="AV24" i="4" s="1"/>
  <c r="AW24" i="4" s="1"/>
  <c r="AX24" i="4" s="1"/>
  <c r="AY24" i="4" s="1"/>
  <c r="AT21" i="4"/>
  <c r="AT27" i="4"/>
  <c r="AV27" i="4" s="1"/>
  <c r="AW27" i="4" s="1"/>
  <c r="AX27" i="4" s="1"/>
  <c r="AY27" i="4" s="1"/>
  <c r="AT28" i="4"/>
  <c r="AV28" i="4" s="1"/>
  <c r="AW28" i="4" s="1"/>
  <c r="AX28" i="4" s="1"/>
  <c r="AY28" i="4" s="1"/>
  <c r="AT31" i="4"/>
  <c r="AT32" i="4"/>
  <c r="AT35" i="4"/>
  <c r="AV35" i="4" s="1"/>
  <c r="AW35" i="4" s="1"/>
  <c r="AX35" i="4" s="1"/>
  <c r="AY35" i="4" s="1"/>
  <c r="AT36" i="4"/>
  <c r="AV36" i="4" s="1"/>
  <c r="AW36" i="4" s="1"/>
  <c r="AX36" i="4" s="1"/>
  <c r="AY36" i="4" s="1"/>
  <c r="AT38" i="4"/>
  <c r="AV38" i="4" s="1"/>
  <c r="AW38" i="4" s="1"/>
  <c r="AX38" i="4" s="1"/>
  <c r="AY38" i="4" s="1"/>
  <c r="AT40" i="4"/>
  <c r="AV40" i="4" s="1"/>
  <c r="AW40" i="4" s="1"/>
  <c r="AX40" i="4" s="1"/>
  <c r="AY40" i="4" s="1"/>
  <c r="D47" i="32"/>
  <c r="G47" i="32" s="1"/>
  <c r="AT19" i="4"/>
  <c r="AF18" i="4"/>
  <c r="AE10" i="4"/>
  <c r="AF10" i="4" s="1"/>
  <c r="AE11" i="4"/>
  <c r="AF11" i="4" s="1"/>
  <c r="AE12" i="4"/>
  <c r="AF12" i="4" s="1"/>
  <c r="AE13" i="4"/>
  <c r="AF13" i="4" s="1"/>
  <c r="AE14" i="4"/>
  <c r="AF14" i="4" s="1"/>
  <c r="AE15" i="4"/>
  <c r="AF15" i="4" s="1"/>
  <c r="AE16" i="4"/>
  <c r="AF16" i="4" s="1"/>
  <c r="AE17" i="4"/>
  <c r="AF17" i="4" s="1"/>
  <c r="B44" i="5"/>
  <c r="B43" i="5"/>
  <c r="B42" i="5"/>
  <c r="B41" i="5"/>
  <c r="AV32" i="4" l="1"/>
  <c r="AW32" i="4" s="1"/>
  <c r="AX32" i="4" s="1"/>
  <c r="AY32" i="4" s="1"/>
  <c r="D47" i="33"/>
  <c r="G47" i="33" s="1"/>
  <c r="AV31" i="4"/>
  <c r="AW31" i="4" s="1"/>
  <c r="AX31" i="4" s="1"/>
  <c r="AY31" i="4" s="1"/>
  <c r="D46" i="33"/>
  <c r="G46" i="33" s="1"/>
  <c r="G44" i="36"/>
  <c r="AV67" i="4"/>
  <c r="AW67" i="4" s="1"/>
  <c r="AX67" i="4" s="1"/>
  <c r="AY67" i="4" s="1"/>
  <c r="AV65" i="4"/>
  <c r="AW65" i="4" s="1"/>
  <c r="AX65" i="4" s="1"/>
  <c r="AY65" i="4" s="1"/>
  <c r="G43" i="36"/>
  <c r="AV105" i="4"/>
  <c r="AW105" i="4" s="1"/>
  <c r="AX105" i="4" s="1"/>
  <c r="AY105" i="4" s="1"/>
  <c r="G50" i="36"/>
  <c r="G48" i="36"/>
  <c r="G46" i="36"/>
  <c r="G49" i="36"/>
  <c r="G47" i="36"/>
  <c r="G45" i="36"/>
  <c r="AV63" i="4"/>
  <c r="AW63" i="4" s="1"/>
  <c r="AX63" i="4" s="1"/>
  <c r="AY63" i="4" s="1"/>
  <c r="AF50" i="4"/>
  <c r="AF54" i="4"/>
  <c r="AV54" i="4" s="1"/>
  <c r="AW54" i="4" s="1"/>
  <c r="AX54" i="4" s="1"/>
  <c r="AY54" i="4" s="1"/>
  <c r="AF47" i="4"/>
  <c r="AF51" i="4"/>
  <c r="AF55" i="4"/>
  <c r="AV55" i="4" s="1"/>
  <c r="AW55" i="4" s="1"/>
  <c r="AX55" i="4" s="1"/>
  <c r="AY55" i="4" s="1"/>
  <c r="AV14" i="4"/>
  <c r="AW14" i="4" s="1"/>
  <c r="AX14" i="4" s="1"/>
  <c r="AY14" i="4" s="1"/>
  <c r="AV50" i="4"/>
  <c r="AW50" i="4" s="1"/>
  <c r="AX50" i="4" s="1"/>
  <c r="AY50" i="4" s="1"/>
  <c r="AV51" i="4"/>
  <c r="AW51" i="4" s="1"/>
  <c r="AX51" i="4" s="1"/>
  <c r="AY51" i="4" s="1"/>
  <c r="AV47" i="4"/>
  <c r="AW47" i="4" s="1"/>
  <c r="AX47" i="4" s="1"/>
  <c r="AY47" i="4" s="1"/>
  <c r="AT12" i="4"/>
  <c r="AV12" i="4" s="1"/>
  <c r="AW12" i="4" s="1"/>
  <c r="AX12" i="4" s="1"/>
  <c r="AY12" i="4" s="1"/>
  <c r="C42" i="32"/>
  <c r="G42" i="32" s="1"/>
  <c r="AT11" i="4"/>
  <c r="AV15" i="4"/>
  <c r="AW15" i="4" s="1"/>
  <c r="AX15" i="4" s="1"/>
  <c r="AY15" i="4" s="1"/>
  <c r="AV11" i="4"/>
  <c r="AW11" i="4" s="1"/>
  <c r="AX11" i="4" s="1"/>
  <c r="AY11" i="4" s="1"/>
  <c r="AF48" i="4"/>
  <c r="AV48" i="4" s="1"/>
  <c r="AW48" i="4" s="1"/>
  <c r="AX48" i="4" s="1"/>
  <c r="AY48" i="4" s="1"/>
  <c r="AF52" i="4"/>
  <c r="AV52" i="4" s="1"/>
  <c r="AW52" i="4" s="1"/>
  <c r="AX52" i="4" s="1"/>
  <c r="AY52" i="4" s="1"/>
  <c r="AF49" i="4"/>
  <c r="AV49" i="4" s="1"/>
  <c r="AW49" i="4" s="1"/>
  <c r="AX49" i="4" s="1"/>
  <c r="AY49" i="4" s="1"/>
  <c r="AF53" i="4"/>
  <c r="AV53" i="4" s="1"/>
  <c r="AW53" i="4" s="1"/>
  <c r="AX53" i="4" s="1"/>
  <c r="AY53" i="4" s="1"/>
  <c r="AV21" i="4"/>
  <c r="AW21" i="4" s="1"/>
  <c r="AX21" i="4" s="1"/>
  <c r="AV19" i="4"/>
  <c r="AW19" i="4" s="1"/>
  <c r="AX19" i="4" s="1"/>
  <c r="AY19" i="4" s="1"/>
  <c r="B34" i="41"/>
  <c r="B33" i="41"/>
  <c r="B32" i="41"/>
  <c r="C7" i="41"/>
  <c r="C10" i="41"/>
  <c r="C9" i="41"/>
  <c r="C8" i="41"/>
  <c r="C10" i="42"/>
  <c r="C9" i="42"/>
  <c r="C8" i="42"/>
  <c r="C7" i="42"/>
  <c r="B32" i="42"/>
  <c r="B33" i="42"/>
  <c r="B34" i="42"/>
  <c r="B35" i="42"/>
  <c r="B36" i="42"/>
  <c r="B37" i="42"/>
  <c r="B38" i="42"/>
  <c r="B39" i="42"/>
  <c r="B41" i="42"/>
  <c r="B31" i="42"/>
  <c r="C10" i="40"/>
  <c r="C9" i="40"/>
  <c r="C8" i="40"/>
  <c r="C7" i="40"/>
  <c r="C7" i="39"/>
  <c r="C10" i="23" l="1"/>
  <c r="C9" i="23"/>
  <c r="C8" i="23"/>
  <c r="C7" i="23"/>
  <c r="C10" i="22"/>
  <c r="C9" i="22"/>
  <c r="C8" i="22"/>
  <c r="C7" i="22"/>
  <c r="C10" i="21"/>
  <c r="C9" i="21"/>
  <c r="C8" i="21"/>
  <c r="C7" i="21"/>
  <c r="C69" i="20"/>
  <c r="D69" i="20"/>
  <c r="C10" i="20"/>
  <c r="C9" i="20"/>
  <c r="C8" i="20"/>
  <c r="C7" i="20"/>
  <c r="E69" i="20"/>
  <c r="C7" i="36"/>
  <c r="C10" i="36"/>
  <c r="C9" i="36"/>
  <c r="C8" i="36"/>
  <c r="C10" i="39"/>
  <c r="C9" i="39"/>
  <c r="C8" i="39"/>
  <c r="C68" i="5"/>
  <c r="C67" i="5"/>
  <c r="C66" i="5"/>
  <c r="C65" i="5"/>
  <c r="D68" i="11"/>
  <c r="D67" i="11"/>
  <c r="D66" i="11"/>
  <c r="D65" i="11"/>
  <c r="D68" i="13"/>
  <c r="D67" i="13"/>
  <c r="D66" i="13"/>
  <c r="D65" i="13"/>
  <c r="D68" i="12"/>
  <c r="D67" i="12"/>
  <c r="D66" i="12"/>
  <c r="D65" i="12"/>
  <c r="C69" i="32"/>
  <c r="E69" i="32" s="1"/>
  <c r="C69" i="34"/>
  <c r="C10" i="35"/>
  <c r="C9" i="35"/>
  <c r="C8" i="35"/>
  <c r="C7" i="35"/>
  <c r="D86" i="35"/>
  <c r="C86" i="35"/>
  <c r="E86" i="35" s="1"/>
  <c r="C68" i="35"/>
  <c r="E68" i="35" s="1"/>
  <c r="D68" i="35"/>
  <c r="F40" i="35"/>
  <c r="E40" i="35"/>
  <c r="C10" i="34"/>
  <c r="C9" i="34"/>
  <c r="C8" i="34"/>
  <c r="C7" i="34"/>
  <c r="C10" i="33" l="1"/>
  <c r="C9" i="33"/>
  <c r="C8" i="33"/>
  <c r="C7" i="33"/>
  <c r="C10" i="32"/>
  <c r="C10" i="12"/>
  <c r="C9" i="32"/>
  <c r="C8" i="32"/>
  <c r="C7" i="32"/>
  <c r="E41" i="32"/>
  <c r="F41" i="32"/>
  <c r="D69" i="32"/>
  <c r="C10" i="13"/>
  <c r="C9" i="13"/>
  <c r="C8" i="13"/>
  <c r="C7" i="13"/>
  <c r="B40" i="13"/>
  <c r="E40" i="13"/>
  <c r="F40" i="13"/>
  <c r="B41" i="13"/>
  <c r="E41" i="13"/>
  <c r="F41" i="13"/>
  <c r="B42" i="13"/>
  <c r="E42" i="13"/>
  <c r="F42" i="13"/>
  <c r="B43" i="13"/>
  <c r="E43" i="13"/>
  <c r="F43" i="13"/>
  <c r="C65" i="13"/>
  <c r="E65" i="13"/>
  <c r="F65" i="13"/>
  <c r="C66" i="13"/>
  <c r="E66" i="13"/>
  <c r="F66" i="13"/>
  <c r="C67" i="13"/>
  <c r="E67" i="13"/>
  <c r="F67" i="13"/>
  <c r="C68" i="13"/>
  <c r="E68" i="13"/>
  <c r="F68" i="13"/>
  <c r="C9" i="12"/>
  <c r="C8" i="12"/>
  <c r="C7" i="12"/>
  <c r="C10" i="11"/>
  <c r="C9" i="11"/>
  <c r="C8" i="11"/>
  <c r="C7" i="11"/>
  <c r="F66" i="11"/>
  <c r="F67" i="11"/>
  <c r="F65" i="11"/>
  <c r="F68" i="11"/>
  <c r="C9" i="5"/>
  <c r="C10" i="5"/>
  <c r="C8" i="5"/>
  <c r="C7" i="5"/>
  <c r="E84" i="11" l="1"/>
  <c r="D84" i="11"/>
  <c r="F84" i="11" s="1"/>
  <c r="E83" i="11"/>
  <c r="D83" i="11"/>
  <c r="F83" i="11" s="1"/>
  <c r="C84" i="11"/>
  <c r="C83" i="11"/>
  <c r="E32" i="42" l="1"/>
  <c r="F32" i="42"/>
  <c r="E33" i="42"/>
  <c r="F33" i="42"/>
  <c r="E34" i="42"/>
  <c r="F34" i="42"/>
  <c r="E35" i="42"/>
  <c r="F35" i="42"/>
  <c r="E36" i="42"/>
  <c r="F36" i="42"/>
  <c r="E37" i="42"/>
  <c r="F37" i="42"/>
  <c r="E38" i="42"/>
  <c r="F38" i="42"/>
  <c r="E39" i="42"/>
  <c r="F39" i="42"/>
  <c r="E41" i="42"/>
  <c r="F41" i="42"/>
  <c r="F31" i="42"/>
  <c r="E31" i="42"/>
  <c r="AU193" i="4"/>
  <c r="AU191" i="4"/>
  <c r="AU190" i="4"/>
  <c r="AU189" i="4"/>
  <c r="AU188" i="4"/>
  <c r="AU187" i="4"/>
  <c r="AU186" i="4"/>
  <c r="AU185" i="4"/>
  <c r="AU184" i="4"/>
  <c r="AU183" i="4"/>
  <c r="AR183" i="4" l="1"/>
  <c r="AS183" i="4"/>
  <c r="D31" i="42" s="1"/>
  <c r="AR191" i="4"/>
  <c r="C39" i="42" s="1"/>
  <c r="AS191" i="4"/>
  <c r="D39" i="42" s="1"/>
  <c r="AR189" i="4"/>
  <c r="C37" i="42" s="1"/>
  <c r="AS189" i="4"/>
  <c r="D37" i="42" s="1"/>
  <c r="AR187" i="4"/>
  <c r="C35" i="42" s="1"/>
  <c r="AS187" i="4"/>
  <c r="D35" i="42" s="1"/>
  <c r="AR185" i="4"/>
  <c r="AS185" i="4"/>
  <c r="D33" i="42" s="1"/>
  <c r="AR193" i="4"/>
  <c r="C41" i="42" s="1"/>
  <c r="AS193" i="4"/>
  <c r="D41" i="42" s="1"/>
  <c r="AR190" i="4"/>
  <c r="C38" i="42" s="1"/>
  <c r="AS190" i="4"/>
  <c r="D38" i="42" s="1"/>
  <c r="AR188" i="4"/>
  <c r="C36" i="42" s="1"/>
  <c r="AS188" i="4"/>
  <c r="D36" i="42" s="1"/>
  <c r="AR186" i="4"/>
  <c r="C34" i="42" s="1"/>
  <c r="AS186" i="4"/>
  <c r="D34" i="42" s="1"/>
  <c r="AR184" i="4"/>
  <c r="C32" i="42" s="1"/>
  <c r="AS184" i="4"/>
  <c r="D32" i="42" s="1"/>
  <c r="C31" i="42"/>
  <c r="C33" i="42"/>
  <c r="E45" i="22"/>
  <c r="F45" i="22"/>
  <c r="E46" i="22"/>
  <c r="F46" i="22"/>
  <c r="E47" i="22"/>
  <c r="F47" i="22"/>
  <c r="AU158" i="4"/>
  <c r="AU159" i="4"/>
  <c r="AU160" i="4"/>
  <c r="AU161" i="4"/>
  <c r="AU162" i="4"/>
  <c r="AU163" i="4"/>
  <c r="AR160" i="4"/>
  <c r="C45" i="22" s="1"/>
  <c r="AR161" i="4"/>
  <c r="C46" i="22" s="1"/>
  <c r="AR162" i="4"/>
  <c r="C47" i="22" s="1"/>
  <c r="AR156" i="4"/>
  <c r="W161" i="4"/>
  <c r="AE161" i="4" s="1"/>
  <c r="V158" i="4"/>
  <c r="W158" i="4" s="1"/>
  <c r="V157" i="4"/>
  <c r="W157" i="4" s="1"/>
  <c r="W156" i="4"/>
  <c r="C87" i="13"/>
  <c r="C86" i="13"/>
  <c r="C85" i="13"/>
  <c r="C84" i="13"/>
  <c r="E68" i="11"/>
  <c r="E67" i="11"/>
  <c r="C67" i="11"/>
  <c r="E66" i="11"/>
  <c r="E65" i="11"/>
  <c r="C68" i="11"/>
  <c r="C66" i="11"/>
  <c r="C65" i="11"/>
  <c r="E92" i="34"/>
  <c r="E91" i="34"/>
  <c r="E90" i="34"/>
  <c r="C89" i="34"/>
  <c r="E89" i="34" s="1"/>
  <c r="E72" i="34"/>
  <c r="E71" i="34"/>
  <c r="E70" i="34"/>
  <c r="D69" i="34"/>
  <c r="E69" i="34"/>
  <c r="E92" i="33"/>
  <c r="E91" i="33"/>
  <c r="E90" i="33"/>
  <c r="E89" i="33"/>
  <c r="E73" i="33"/>
  <c r="E71" i="33"/>
  <c r="E70" i="33"/>
  <c r="E72" i="33"/>
  <c r="AU22" i="4"/>
  <c r="AU17" i="4"/>
  <c r="AU18" i="4"/>
  <c r="AR33" i="4"/>
  <c r="C48" i="33" s="1"/>
  <c r="AS33" i="4"/>
  <c r="AR34" i="4"/>
  <c r="C44" i="34" s="1"/>
  <c r="AS34" i="4"/>
  <c r="D44" i="34" s="1"/>
  <c r="AR37" i="4"/>
  <c r="C47" i="34" s="1"/>
  <c r="AS37" i="4"/>
  <c r="D47" i="34" s="1"/>
  <c r="AR39" i="4"/>
  <c r="C45" i="35" s="1"/>
  <c r="AS39" i="4"/>
  <c r="D45" i="35" s="1"/>
  <c r="AR41" i="4"/>
  <c r="C47" i="35" s="1"/>
  <c r="AS41" i="4"/>
  <c r="D47" i="35" s="1"/>
  <c r="AR22" i="4"/>
  <c r="AS22" i="4"/>
  <c r="D40" i="35" s="1"/>
  <c r="AR25" i="4"/>
  <c r="C43" i="35" s="1"/>
  <c r="AS25" i="4"/>
  <c r="D43" i="35" s="1"/>
  <c r="AR26" i="4"/>
  <c r="C45" i="32" s="1"/>
  <c r="AS26" i="4"/>
  <c r="D45" i="32" s="1"/>
  <c r="AR29" i="4"/>
  <c r="C48" i="32" s="1"/>
  <c r="AS29" i="4"/>
  <c r="D48" i="32" s="1"/>
  <c r="AR30" i="4"/>
  <c r="C45" i="33" s="1"/>
  <c r="AS30" i="4"/>
  <c r="AR16" i="4"/>
  <c r="C43" i="33" s="1"/>
  <c r="AS16" i="4"/>
  <c r="AR17" i="4"/>
  <c r="C44" i="33" s="1"/>
  <c r="AS17" i="4"/>
  <c r="AR18" i="4"/>
  <c r="AS18" i="4"/>
  <c r="G43" i="35" l="1"/>
  <c r="G47" i="35"/>
  <c r="G45" i="35"/>
  <c r="G47" i="34"/>
  <c r="G44" i="34"/>
  <c r="AE156" i="4"/>
  <c r="AD156" i="4"/>
  <c r="G31" i="42"/>
  <c r="G32" i="42"/>
  <c r="G34" i="42"/>
  <c r="G36" i="42"/>
  <c r="G38" i="42"/>
  <c r="G37" i="42"/>
  <c r="G41" i="42"/>
  <c r="G33" i="42"/>
  <c r="AT186" i="4"/>
  <c r="AV186" i="4" s="1"/>
  <c r="AW186" i="4" s="1"/>
  <c r="AX186" i="4" s="1"/>
  <c r="AY186" i="4" s="1"/>
  <c r="AT190" i="4"/>
  <c r="AV190" i="4" s="1"/>
  <c r="AW190" i="4" s="1"/>
  <c r="AX190" i="4" s="1"/>
  <c r="AY190" i="4" s="1"/>
  <c r="G35" i="42"/>
  <c r="G39" i="42"/>
  <c r="G48" i="32"/>
  <c r="G45" i="32"/>
  <c r="AT193" i="4"/>
  <c r="AV193" i="4" s="1"/>
  <c r="AW193" i="4" s="1"/>
  <c r="AX193" i="4" s="1"/>
  <c r="AY193" i="4" s="1"/>
  <c r="AT188" i="4"/>
  <c r="AV188" i="4" s="1"/>
  <c r="AW188" i="4" s="1"/>
  <c r="AX188" i="4" s="1"/>
  <c r="AY188" i="4" s="1"/>
  <c r="AT184" i="4"/>
  <c r="AV184" i="4" s="1"/>
  <c r="AW184" i="4" s="1"/>
  <c r="AX184" i="4" s="1"/>
  <c r="AY184" i="4" s="1"/>
  <c r="AT185" i="4"/>
  <c r="AV185" i="4" s="1"/>
  <c r="AW185" i="4" s="1"/>
  <c r="AX185" i="4" s="1"/>
  <c r="AY185" i="4" s="1"/>
  <c r="AT187" i="4"/>
  <c r="AV187" i="4" s="1"/>
  <c r="AW187" i="4" s="1"/>
  <c r="AX187" i="4" s="1"/>
  <c r="AY187" i="4" s="1"/>
  <c r="AT189" i="4"/>
  <c r="AV189" i="4" s="1"/>
  <c r="AW189" i="4" s="1"/>
  <c r="AX189" i="4" s="1"/>
  <c r="AY189" i="4" s="1"/>
  <c r="AT191" i="4"/>
  <c r="AV191" i="4" s="1"/>
  <c r="AW191" i="4" s="1"/>
  <c r="AX191" i="4" s="1"/>
  <c r="AY191" i="4" s="1"/>
  <c r="AT183" i="4"/>
  <c r="AV183" i="4" s="1"/>
  <c r="AW183" i="4" s="1"/>
  <c r="AX183" i="4" s="1"/>
  <c r="AY183" i="4" s="1"/>
  <c r="AT25" i="4"/>
  <c r="AV25" i="4" s="1"/>
  <c r="AW25" i="4" s="1"/>
  <c r="AX25" i="4" s="1"/>
  <c r="AY25" i="4" s="1"/>
  <c r="C40" i="35"/>
  <c r="G40" i="35" s="1"/>
  <c r="AT22" i="4"/>
  <c r="G41" i="34"/>
  <c r="G43" i="34"/>
  <c r="G42" i="34"/>
  <c r="AV173" i="4"/>
  <c r="AW173" i="4" s="1"/>
  <c r="AX173" i="4" s="1"/>
  <c r="AY173" i="4" s="1"/>
  <c r="AD161" i="4"/>
  <c r="AS161" i="4"/>
  <c r="AR163" i="4"/>
  <c r="AT41" i="4"/>
  <c r="AV41" i="4" s="1"/>
  <c r="AW41" i="4" s="1"/>
  <c r="AX41" i="4" s="1"/>
  <c r="AY41" i="4" s="1"/>
  <c r="AS162" i="4"/>
  <c r="AS160" i="4"/>
  <c r="AT39" i="4"/>
  <c r="AV39" i="4" s="1"/>
  <c r="AW39" i="4" s="1"/>
  <c r="AX39" i="4" s="1"/>
  <c r="AY39" i="4" s="1"/>
  <c r="AT34" i="4"/>
  <c r="AV34" i="4" s="1"/>
  <c r="AW34" i="4" s="1"/>
  <c r="AX34" i="4" s="1"/>
  <c r="AT33" i="4"/>
  <c r="E87" i="13"/>
  <c r="E86" i="13"/>
  <c r="E85" i="13"/>
  <c r="E84" i="13"/>
  <c r="D87" i="13"/>
  <c r="F87" i="13" s="1"/>
  <c r="D86" i="13"/>
  <c r="F86" i="13" s="1"/>
  <c r="D85" i="13"/>
  <c r="F85" i="13" s="1"/>
  <c r="D84" i="13"/>
  <c r="F84" i="13" s="1"/>
  <c r="E85" i="12"/>
  <c r="D85" i="12"/>
  <c r="F85" i="12" s="1"/>
  <c r="E84" i="12"/>
  <c r="D84" i="12"/>
  <c r="F84" i="12" s="1"/>
  <c r="E83" i="12"/>
  <c r="D83" i="12"/>
  <c r="F83" i="12" s="1"/>
  <c r="E82" i="12"/>
  <c r="D82" i="12"/>
  <c r="F82" i="12" s="1"/>
  <c r="C85" i="12"/>
  <c r="C84" i="12"/>
  <c r="C83" i="12"/>
  <c r="C82" i="12"/>
  <c r="E68" i="12"/>
  <c r="F68" i="12"/>
  <c r="E67" i="12"/>
  <c r="F67" i="12"/>
  <c r="E66" i="12"/>
  <c r="F66" i="12"/>
  <c r="E65" i="12"/>
  <c r="F65" i="12"/>
  <c r="C68" i="12"/>
  <c r="C67" i="12"/>
  <c r="C66" i="12"/>
  <c r="C65" i="12"/>
  <c r="F43" i="12"/>
  <c r="F42" i="12"/>
  <c r="E43" i="12"/>
  <c r="E42" i="12"/>
  <c r="B43" i="12"/>
  <c r="B42" i="12"/>
  <c r="F44" i="11"/>
  <c r="F43" i="11"/>
  <c r="E44" i="11"/>
  <c r="E43" i="11"/>
  <c r="B44" i="11"/>
  <c r="B43" i="11"/>
  <c r="D87" i="5"/>
  <c r="D86" i="5"/>
  <c r="C87" i="5"/>
  <c r="C86" i="5"/>
  <c r="B87" i="5"/>
  <c r="E87" i="5" s="1"/>
  <c r="B86" i="5"/>
  <c r="E86" i="5" s="1"/>
  <c r="D68" i="5"/>
  <c r="D67" i="5"/>
  <c r="B68" i="5"/>
  <c r="E68" i="5" s="1"/>
  <c r="B67" i="5"/>
  <c r="E67" i="5" s="1"/>
  <c r="E44" i="5"/>
  <c r="F44" i="5"/>
  <c r="F43" i="5"/>
  <c r="E43" i="5"/>
  <c r="C40" i="13"/>
  <c r="D40" i="13"/>
  <c r="C41" i="13"/>
  <c r="D41" i="13"/>
  <c r="C43" i="5"/>
  <c r="C44" i="5"/>
  <c r="C44" i="11"/>
  <c r="C42" i="12"/>
  <c r="D42" i="12"/>
  <c r="D43" i="12"/>
  <c r="C42" i="13"/>
  <c r="D42" i="13"/>
  <c r="C43" i="13"/>
  <c r="D43" i="13"/>
  <c r="AV33" i="4" l="1"/>
  <c r="AW33" i="4" s="1"/>
  <c r="AX33" i="4" s="1"/>
  <c r="AY33" i="4" s="1"/>
  <c r="D48" i="33"/>
  <c r="G48" i="33" s="1"/>
  <c r="AY34" i="4"/>
  <c r="G43" i="13"/>
  <c r="G42" i="13"/>
  <c r="G41" i="13"/>
  <c r="G40" i="13"/>
  <c r="G42" i="12"/>
  <c r="AT160" i="4"/>
  <c r="AV160" i="4" s="1"/>
  <c r="AW160" i="4" s="1"/>
  <c r="AX160" i="4" s="1"/>
  <c r="AY160" i="4" s="1"/>
  <c r="D45" i="22"/>
  <c r="G45" i="22" s="1"/>
  <c r="AT161" i="4"/>
  <c r="D46" i="22"/>
  <c r="G46" i="22" s="1"/>
  <c r="AT162" i="4"/>
  <c r="D47" i="22"/>
  <c r="G47" i="22" s="1"/>
  <c r="AV172" i="4"/>
  <c r="AW172" i="4" s="1"/>
  <c r="AX172" i="4" s="1"/>
  <c r="AY172" i="4" s="1"/>
  <c r="AV171" i="4"/>
  <c r="AW171" i="4" s="1"/>
  <c r="AX171" i="4" s="1"/>
  <c r="AY171" i="4" s="1"/>
  <c r="AF161" i="4"/>
  <c r="D43" i="5"/>
  <c r="G43" i="5" s="1"/>
  <c r="AV22" i="4"/>
  <c r="D43" i="11"/>
  <c r="C43" i="11"/>
  <c r="C43" i="12"/>
  <c r="G43" i="12" s="1"/>
  <c r="D44" i="11"/>
  <c r="G44" i="11" s="1"/>
  <c r="D44" i="5"/>
  <c r="G44" i="5" s="1"/>
  <c r="AT37" i="4"/>
  <c r="AV37" i="4" s="1"/>
  <c r="AW37" i="4" s="1"/>
  <c r="AX37" i="4" s="1"/>
  <c r="AY37" i="4" s="1"/>
  <c r="AT30" i="4"/>
  <c r="AT29" i="4"/>
  <c r="AV29" i="4" s="1"/>
  <c r="AW29" i="4" s="1"/>
  <c r="AX29" i="4" s="1"/>
  <c r="AY29" i="4" s="1"/>
  <c r="AT26" i="4"/>
  <c r="AV26" i="4" s="1"/>
  <c r="AW26" i="4" s="1"/>
  <c r="AX26" i="4" s="1"/>
  <c r="AY26" i="4" s="1"/>
  <c r="AE104" i="4"/>
  <c r="AD104" i="4"/>
  <c r="F34" i="41"/>
  <c r="E34" i="41"/>
  <c r="F33" i="41"/>
  <c r="E33" i="41"/>
  <c r="F32" i="41"/>
  <c r="E32" i="41"/>
  <c r="AQ196" i="4"/>
  <c r="AJ196" i="4"/>
  <c r="AC196" i="4"/>
  <c r="V196" i="4"/>
  <c r="AQ195" i="4"/>
  <c r="AJ195" i="4"/>
  <c r="AC195" i="4"/>
  <c r="V195" i="4"/>
  <c r="BD194" i="4"/>
  <c r="AQ194" i="4"/>
  <c r="AJ194" i="4"/>
  <c r="AC194" i="4"/>
  <c r="V194" i="4"/>
  <c r="B42" i="40"/>
  <c r="B43" i="40"/>
  <c r="B44" i="40"/>
  <c r="B45" i="40"/>
  <c r="B46" i="40"/>
  <c r="B47" i="40"/>
  <c r="B48" i="40"/>
  <c r="E42" i="40"/>
  <c r="F42" i="40"/>
  <c r="E43" i="40"/>
  <c r="F43" i="40"/>
  <c r="B41" i="40"/>
  <c r="AV30" i="4" l="1"/>
  <c r="AW30" i="4" s="1"/>
  <c r="AX30" i="4" s="1"/>
  <c r="AY30" i="4" s="1"/>
  <c r="D45" i="33"/>
  <c r="G45" i="33" s="1"/>
  <c r="AR194" i="4"/>
  <c r="AW22" i="4"/>
  <c r="AX22" i="4" s="1"/>
  <c r="AY22" i="4" s="1"/>
  <c r="AV162" i="4"/>
  <c r="AW162" i="4" s="1"/>
  <c r="AX162" i="4" s="1"/>
  <c r="AY162" i="4" s="1"/>
  <c r="AR195" i="4"/>
  <c r="AD196" i="4"/>
  <c r="AR196" i="4"/>
  <c r="AV161" i="4"/>
  <c r="AW161" i="4" s="1"/>
  <c r="AX161" i="4" s="1"/>
  <c r="AY161" i="4" s="1"/>
  <c r="AE194" i="4"/>
  <c r="AS194" i="4"/>
  <c r="D32" i="41" s="1"/>
  <c r="AD195" i="4"/>
  <c r="AS195" i="4"/>
  <c r="D33" i="41" s="1"/>
  <c r="AE196" i="4"/>
  <c r="AF196" i="4" s="1"/>
  <c r="G43" i="11"/>
  <c r="AD194" i="4"/>
  <c r="AE195" i="4"/>
  <c r="AK194" i="4"/>
  <c r="AS196" i="4"/>
  <c r="D34" i="41" s="1"/>
  <c r="W194" i="4"/>
  <c r="W195" i="4"/>
  <c r="AK195" i="4"/>
  <c r="W196" i="4"/>
  <c r="AK196" i="4"/>
  <c r="AQ176" i="4"/>
  <c r="AQ177" i="4"/>
  <c r="AQ178" i="4"/>
  <c r="AQ179" i="4"/>
  <c r="AQ180" i="4"/>
  <c r="AQ181" i="4"/>
  <c r="AQ182" i="4"/>
  <c r="AQ175" i="4"/>
  <c r="AI182" i="4"/>
  <c r="AJ182" i="4" s="1"/>
  <c r="AI181" i="4"/>
  <c r="AJ181" i="4" s="1"/>
  <c r="AI180" i="4"/>
  <c r="AJ180" i="4" s="1"/>
  <c r="AI179" i="4"/>
  <c r="AJ179" i="4" s="1"/>
  <c r="AI178" i="4"/>
  <c r="AJ178" i="4" s="1"/>
  <c r="AI177" i="4"/>
  <c r="AJ177" i="4" s="1"/>
  <c r="AI176" i="4"/>
  <c r="AJ176" i="4" s="1"/>
  <c r="AI175" i="4"/>
  <c r="AJ175" i="4" s="1"/>
  <c r="AU179" i="4"/>
  <c r="AU178" i="4"/>
  <c r="AU177" i="4"/>
  <c r="AU176" i="4"/>
  <c r="AU175" i="4"/>
  <c r="AC182" i="4"/>
  <c r="AC180" i="4"/>
  <c r="AC178" i="4"/>
  <c r="AC175" i="4"/>
  <c r="V182" i="4"/>
  <c r="W182" i="4" s="1"/>
  <c r="V180" i="4"/>
  <c r="W180" i="4" s="1"/>
  <c r="V178" i="4"/>
  <c r="W178" i="4" s="1"/>
  <c r="V175" i="4"/>
  <c r="W175" i="4" s="1"/>
  <c r="AU182" i="4"/>
  <c r="AU181" i="4"/>
  <c r="BD175" i="4"/>
  <c r="AU180" i="4"/>
  <c r="F41" i="40"/>
  <c r="E41" i="40"/>
  <c r="E75" i="20"/>
  <c r="E70" i="20"/>
  <c r="E71" i="20"/>
  <c r="E72" i="20"/>
  <c r="E73" i="20"/>
  <c r="E74" i="20"/>
  <c r="AR157" i="4"/>
  <c r="AR158" i="4"/>
  <c r="AR159" i="4"/>
  <c r="AQ43" i="4"/>
  <c r="AQ44" i="4"/>
  <c r="AQ42" i="4"/>
  <c r="AK43" i="4"/>
  <c r="AK44" i="4"/>
  <c r="AC43" i="4"/>
  <c r="AC44" i="4"/>
  <c r="AC42" i="4"/>
  <c r="V44" i="4"/>
  <c r="V110" i="4"/>
  <c r="W110" i="4" s="1"/>
  <c r="V108" i="4"/>
  <c r="W108" i="4" s="1"/>
  <c r="V104" i="4"/>
  <c r="W128" i="4"/>
  <c r="AE110" i="4" l="1"/>
  <c r="AD110" i="4"/>
  <c r="AF110" i="4" s="1"/>
  <c r="AD108" i="4"/>
  <c r="AE108" i="4"/>
  <c r="C34" i="41"/>
  <c r="AT196" i="4"/>
  <c r="AV196" i="4" s="1"/>
  <c r="AW196" i="4" s="1"/>
  <c r="AX196" i="4" s="1"/>
  <c r="AY196" i="4" s="1"/>
  <c r="AT195" i="4"/>
  <c r="C33" i="41"/>
  <c r="AT194" i="4"/>
  <c r="C32" i="41"/>
  <c r="AD124" i="4"/>
  <c r="AF195" i="4"/>
  <c r="AS42" i="4"/>
  <c r="AE175" i="4"/>
  <c r="AD175" i="4"/>
  <c r="AE180" i="4"/>
  <c r="AD180" i="4"/>
  <c r="AK176" i="4"/>
  <c r="AS176" i="4" s="1"/>
  <c r="D42" i="40" s="1"/>
  <c r="AR176" i="4"/>
  <c r="AK178" i="4"/>
  <c r="AS178" i="4" s="1"/>
  <c r="D44" i="40" s="1"/>
  <c r="AR178" i="4"/>
  <c r="AK180" i="4"/>
  <c r="AS180" i="4" s="1"/>
  <c r="D46" i="40" s="1"/>
  <c r="AR180" i="4"/>
  <c r="C46" i="40" s="1"/>
  <c r="AK182" i="4"/>
  <c r="AS182" i="4" s="1"/>
  <c r="D48" i="40" s="1"/>
  <c r="AR182" i="4"/>
  <c r="C48" i="40" s="1"/>
  <c r="AD178" i="4"/>
  <c r="AE178" i="4"/>
  <c r="AD182" i="4"/>
  <c r="AE182" i="4"/>
  <c r="AR175" i="4"/>
  <c r="AK175" i="4"/>
  <c r="AS175" i="4" s="1"/>
  <c r="D41" i="40" s="1"/>
  <c r="AR177" i="4"/>
  <c r="AK177" i="4"/>
  <c r="AS177" i="4" s="1"/>
  <c r="D43" i="40" s="1"/>
  <c r="AR179" i="4"/>
  <c r="AK179" i="4"/>
  <c r="AS179" i="4" s="1"/>
  <c r="D45" i="40" s="1"/>
  <c r="AR181" i="4"/>
  <c r="C47" i="40" s="1"/>
  <c r="AK181" i="4"/>
  <c r="AS181" i="4" s="1"/>
  <c r="D47" i="40" s="1"/>
  <c r="AD44" i="4"/>
  <c r="AE44" i="4"/>
  <c r="AS43" i="4"/>
  <c r="V42" i="4"/>
  <c r="V43" i="4"/>
  <c r="W44" i="4"/>
  <c r="AK42" i="4"/>
  <c r="AS44" i="4"/>
  <c r="AR42" i="4"/>
  <c r="AF194" i="4"/>
  <c r="AR43" i="4"/>
  <c r="AR44" i="4"/>
  <c r="AU136" i="4"/>
  <c r="AU137" i="4"/>
  <c r="AF108" i="4" l="1"/>
  <c r="AV194" i="4"/>
  <c r="AW194" i="4" s="1"/>
  <c r="AX194" i="4" s="1"/>
  <c r="AY194" i="4" s="1"/>
  <c r="AV195" i="4"/>
  <c r="AW195" i="4" s="1"/>
  <c r="AX195" i="4" s="1"/>
  <c r="AY195" i="4" s="1"/>
  <c r="AT180" i="4"/>
  <c r="AT181" i="4"/>
  <c r="AV181" i="4" s="1"/>
  <c r="AW181" i="4" s="1"/>
  <c r="AX181" i="4" s="1"/>
  <c r="AY181" i="4" s="1"/>
  <c r="AV108" i="4"/>
  <c r="AW108" i="4" s="1"/>
  <c r="AX108" i="4" s="1"/>
  <c r="AY108" i="4" s="1"/>
  <c r="AF175" i="4"/>
  <c r="AD43" i="4"/>
  <c r="AE43" i="4"/>
  <c r="W43" i="4"/>
  <c r="AT182" i="4"/>
  <c r="AE42" i="4"/>
  <c r="AD42" i="4"/>
  <c r="W42" i="4"/>
  <c r="G47" i="40"/>
  <c r="C45" i="40"/>
  <c r="G45" i="40" s="1"/>
  <c r="AT179" i="4"/>
  <c r="AV179" i="4" s="1"/>
  <c r="AW179" i="4" s="1"/>
  <c r="AX179" i="4" s="1"/>
  <c r="AY179" i="4" s="1"/>
  <c r="C43" i="40"/>
  <c r="G43" i="40" s="1"/>
  <c r="AT177" i="4"/>
  <c r="AV177" i="4" s="1"/>
  <c r="AW177" i="4" s="1"/>
  <c r="AX177" i="4" s="1"/>
  <c r="AY177" i="4" s="1"/>
  <c r="C41" i="40"/>
  <c r="G41" i="40" s="1"/>
  <c r="AT175" i="4"/>
  <c r="AF182" i="4"/>
  <c r="AF178" i="4"/>
  <c r="G48" i="40"/>
  <c r="G46" i="40"/>
  <c r="C44" i="40"/>
  <c r="G44" i="40" s="1"/>
  <c r="AT178" i="4"/>
  <c r="AV178" i="4" s="1"/>
  <c r="AW178" i="4" s="1"/>
  <c r="AX178" i="4" s="1"/>
  <c r="AY178" i="4" s="1"/>
  <c r="C42" i="40"/>
  <c r="G42" i="40" s="1"/>
  <c r="AT176" i="4"/>
  <c r="AV176" i="4" s="1"/>
  <c r="AW176" i="4" s="1"/>
  <c r="AX176" i="4" s="1"/>
  <c r="AY176" i="4" s="1"/>
  <c r="AF180" i="4"/>
  <c r="AV180" i="4" l="1"/>
  <c r="AW180" i="4" s="1"/>
  <c r="AX180" i="4" s="1"/>
  <c r="AY180" i="4" s="1"/>
  <c r="AV175" i="4"/>
  <c r="AW175" i="4" s="1"/>
  <c r="AX175" i="4" s="1"/>
  <c r="AY175" i="4" s="1"/>
  <c r="AV182" i="4"/>
  <c r="AW182" i="4" s="1"/>
  <c r="AX182" i="4" s="1"/>
  <c r="AY182" i="4" s="1"/>
  <c r="AT136" i="4"/>
  <c r="AV136" i="4" s="1"/>
  <c r="AW136" i="4" s="1"/>
  <c r="AX136" i="4" s="1"/>
  <c r="AY136" i="4" s="1"/>
  <c r="AT137" i="4"/>
  <c r="AV137" i="4" s="1"/>
  <c r="AW137" i="4" s="1"/>
  <c r="AX137" i="4" s="1"/>
  <c r="AY137" i="4" s="1"/>
  <c r="BC195" i="4" l="1"/>
  <c r="AK128" i="4"/>
  <c r="D67" i="21"/>
  <c r="C67" i="21"/>
  <c r="E67" i="21" s="1"/>
  <c r="D87" i="32"/>
  <c r="C87" i="32"/>
  <c r="E87" i="32" s="1"/>
  <c r="E86" i="11"/>
  <c r="D86" i="11"/>
  <c r="F86" i="11" s="1"/>
  <c r="C86" i="11"/>
  <c r="E85" i="11"/>
  <c r="D85" i="11"/>
  <c r="F85" i="11" s="1"/>
  <c r="C85" i="11"/>
  <c r="D85" i="5" l="1"/>
  <c r="C85" i="5"/>
  <c r="B85" i="5"/>
  <c r="E85" i="5" s="1"/>
  <c r="D84" i="5"/>
  <c r="C84" i="5"/>
  <c r="B84" i="5"/>
  <c r="E84" i="5" s="1"/>
  <c r="D66" i="5"/>
  <c r="B66" i="5"/>
  <c r="E66" i="5" s="1"/>
  <c r="D65" i="5"/>
  <c r="B65" i="5"/>
  <c r="E65" i="5" s="1"/>
  <c r="AU157" i="4"/>
  <c r="AU156" i="4"/>
  <c r="AU128" i="4"/>
  <c r="AU127" i="4"/>
  <c r="AU124" i="4"/>
  <c r="AU104" i="4"/>
  <c r="AU57" i="4"/>
  <c r="AU45" i="4"/>
  <c r="AU44" i="4"/>
  <c r="AU43" i="4"/>
  <c r="AU42" i="4"/>
  <c r="AU10" i="4"/>
  <c r="AS159" i="4"/>
  <c r="AS158" i="4"/>
  <c r="AS157" i="4"/>
  <c r="AS156" i="4"/>
  <c r="C40" i="39"/>
  <c r="AE163" i="4"/>
  <c r="AF163" i="4" s="1"/>
  <c r="AE159" i="4"/>
  <c r="AE158" i="4"/>
  <c r="AD158" i="4"/>
  <c r="AE157" i="4"/>
  <c r="AD157" i="4"/>
  <c r="AE128" i="4"/>
  <c r="AD128" i="4"/>
  <c r="AE124" i="4"/>
  <c r="AE57" i="4"/>
  <c r="AD57" i="4"/>
  <c r="AE56" i="4"/>
  <c r="AS128" i="4" l="1"/>
  <c r="D45" i="21" s="1"/>
  <c r="AR128" i="4"/>
  <c r="C45" i="21" s="1"/>
  <c r="AT10" i="4"/>
  <c r="AT13" i="4"/>
  <c r="AT157" i="4"/>
  <c r="AT158" i="4"/>
  <c r="AT159" i="4"/>
  <c r="G33" i="41"/>
  <c r="G34" i="41"/>
  <c r="AT16" i="4"/>
  <c r="D43" i="33" s="1"/>
  <c r="G43" i="33" s="1"/>
  <c r="AT17" i="4"/>
  <c r="D44" i="33" s="1"/>
  <c r="G44" i="33" s="1"/>
  <c r="AT163" i="4"/>
  <c r="AV163" i="4" s="1"/>
  <c r="AW163" i="4" s="1"/>
  <c r="AX163" i="4" s="1"/>
  <c r="AY163" i="4" s="1"/>
  <c r="AT124" i="4"/>
  <c r="AT104" i="4"/>
  <c r="F42" i="39"/>
  <c r="E42" i="39"/>
  <c r="F41" i="39"/>
  <c r="E41" i="39"/>
  <c r="F40" i="39"/>
  <c r="E40" i="39"/>
  <c r="E42" i="5"/>
  <c r="G45" i="21" l="1"/>
  <c r="G32" i="41"/>
  <c r="D40" i="39"/>
  <c r="AT135" i="4"/>
  <c r="AV135" i="4" s="1"/>
  <c r="AW135" i="4" s="1"/>
  <c r="AX135" i="4" s="1"/>
  <c r="AY135" i="4" s="1"/>
  <c r="AT128" i="4"/>
  <c r="AT43" i="4"/>
  <c r="AT42" i="4"/>
  <c r="AF44" i="4"/>
  <c r="AF42" i="4"/>
  <c r="AT44" i="4"/>
  <c r="AF43" i="4"/>
  <c r="AV44" i="4" l="1"/>
  <c r="AW44" i="4" s="1"/>
  <c r="AX44" i="4" s="1"/>
  <c r="AY44" i="4" s="1"/>
  <c r="AV43" i="4"/>
  <c r="AW43" i="4" s="1"/>
  <c r="AX43" i="4" s="1"/>
  <c r="AY43" i="4" s="1"/>
  <c r="AV42" i="4"/>
  <c r="AW42" i="4" s="1"/>
  <c r="AX42" i="4" s="1"/>
  <c r="AV127" i="4"/>
  <c r="AV110" i="4"/>
  <c r="AW110" i="4" s="1"/>
  <c r="AX110" i="4" s="1"/>
  <c r="AY110" i="4" s="1"/>
  <c r="AY42" i="4" l="1"/>
  <c r="AW127" i="4"/>
  <c r="AX127" i="4" s="1"/>
  <c r="AY127" i="4" s="1"/>
  <c r="F41" i="36"/>
  <c r="E41" i="36"/>
  <c r="F40" i="34"/>
  <c r="E40" i="34"/>
  <c r="D40" i="34" l="1"/>
  <c r="C40" i="34"/>
  <c r="G40" i="34" l="1"/>
  <c r="D42" i="39"/>
  <c r="D41" i="36"/>
  <c r="C41" i="39"/>
  <c r="C41" i="36"/>
  <c r="G40" i="39"/>
  <c r="D41" i="39"/>
  <c r="C42" i="39"/>
  <c r="AT18" i="4"/>
  <c r="AF56" i="4"/>
  <c r="AV56" i="4" s="1"/>
  <c r="AW56" i="4" s="1"/>
  <c r="AX56" i="4" s="1"/>
  <c r="AY56" i="4" s="1"/>
  <c r="AY21" i="4"/>
  <c r="AT45" i="4"/>
  <c r="AF57" i="4"/>
  <c r="AV57" i="4" s="1"/>
  <c r="G42" i="39" l="1"/>
  <c r="G41" i="36"/>
  <c r="AV45" i="4"/>
  <c r="G41" i="39"/>
  <c r="AV18" i="4"/>
  <c r="AW18" i="4" s="1"/>
  <c r="AX18" i="4" s="1"/>
  <c r="AY18" i="4" s="1"/>
  <c r="AV16" i="4"/>
  <c r="AW16" i="4" s="1"/>
  <c r="AX16" i="4" s="1"/>
  <c r="AY16" i="4" s="1"/>
  <c r="AV17" i="4"/>
  <c r="AW17" i="4" s="1"/>
  <c r="AX17" i="4" s="1"/>
  <c r="AY17" i="4" s="1"/>
  <c r="AV13" i="4"/>
  <c r="AW13" i="4" s="1"/>
  <c r="AX13" i="4" s="1"/>
  <c r="AY13" i="4" s="1"/>
  <c r="AW45" i="4"/>
  <c r="AX45" i="4" s="1"/>
  <c r="AV10" i="4"/>
  <c r="AW10" i="4" s="1"/>
  <c r="AX10" i="4" s="1"/>
  <c r="G41" i="33"/>
  <c r="AW57" i="4"/>
  <c r="AX57" i="4" s="1"/>
  <c r="AY57" i="4" s="1"/>
  <c r="G42" i="33"/>
  <c r="E41" i="22"/>
  <c r="E42" i="22"/>
  <c r="E43" i="22"/>
  <c r="E44" i="22"/>
  <c r="F44" i="22"/>
  <c r="F43" i="22"/>
  <c r="F42" i="22"/>
  <c r="AY45" i="4" l="1"/>
  <c r="BC43" i="4"/>
  <c r="BC10" i="4"/>
  <c r="AY10" i="4"/>
  <c r="F41" i="21"/>
  <c r="E41" i="21"/>
  <c r="F41" i="12"/>
  <c r="E41" i="12"/>
  <c r="B41" i="12"/>
  <c r="E40" i="12"/>
  <c r="B40" i="12"/>
  <c r="D40" i="12"/>
  <c r="D41" i="12"/>
  <c r="D41" i="20"/>
  <c r="D41" i="21"/>
  <c r="D41" i="22"/>
  <c r="D42" i="22"/>
  <c r="D43" i="22"/>
  <c r="D44" i="22"/>
  <c r="D41" i="23"/>
  <c r="F42" i="11" l="1"/>
  <c r="E42" i="11"/>
  <c r="B42" i="11"/>
  <c r="F41" i="11"/>
  <c r="E41" i="11"/>
  <c r="B41" i="11"/>
  <c r="F42" i="5"/>
  <c r="E41" i="5"/>
  <c r="C40" i="12" l="1"/>
  <c r="G40" i="12" s="1"/>
  <c r="AF104" i="4"/>
  <c r="AF159" i="4"/>
  <c r="AV159" i="4" s="1"/>
  <c r="AW159" i="4" s="1"/>
  <c r="AX159" i="4" s="1"/>
  <c r="AY159" i="4" s="1"/>
  <c r="AF157" i="4"/>
  <c r="C41" i="23"/>
  <c r="G41" i="23" s="1"/>
  <c r="C42" i="22"/>
  <c r="G42" i="22" s="1"/>
  <c r="AF158" i="4"/>
  <c r="AV158" i="4" s="1"/>
  <c r="AW158" i="4" s="1"/>
  <c r="AX158" i="4" s="1"/>
  <c r="AY158" i="4" s="1"/>
  <c r="AF124" i="4"/>
  <c r="AF156" i="4"/>
  <c r="C43" i="22"/>
  <c r="G43" i="22" s="1"/>
  <c r="AV112" i="4"/>
  <c r="AW112" i="4" s="1"/>
  <c r="AX112" i="4" s="1"/>
  <c r="AY112" i="4" s="1"/>
  <c r="AF128" i="4"/>
  <c r="C44" i="22"/>
  <c r="G44" i="22" s="1"/>
  <c r="AT156" i="4"/>
  <c r="C41" i="22"/>
  <c r="G41" i="22" s="1"/>
  <c r="C41" i="21"/>
  <c r="G41" i="21" s="1"/>
  <c r="C41" i="20"/>
  <c r="G41" i="20" s="1"/>
  <c r="C41" i="12"/>
  <c r="G41" i="12" s="1"/>
  <c r="C42" i="11"/>
  <c r="C41" i="11"/>
  <c r="C41" i="5"/>
  <c r="C42" i="5"/>
  <c r="AV157" i="4" l="1"/>
  <c r="AV104" i="4"/>
  <c r="AV128" i="4"/>
  <c r="AV124" i="4"/>
  <c r="AV156" i="4"/>
  <c r="D42" i="5"/>
  <c r="G42" i="5" s="1"/>
  <c r="D41" i="5"/>
  <c r="G41" i="5" s="1"/>
  <c r="D41" i="11"/>
  <c r="G41" i="11" s="1"/>
  <c r="D42" i="11"/>
  <c r="G42" i="11" s="1"/>
  <c r="AW104" i="4" l="1"/>
  <c r="AX104" i="4" s="1"/>
  <c r="AW128" i="4"/>
  <c r="AX128" i="4" s="1"/>
  <c r="AY128" i="4" s="1"/>
  <c r="AW124" i="4"/>
  <c r="AX124" i="4" s="1"/>
  <c r="AY124" i="4" s="1"/>
  <c r="AW156" i="4"/>
  <c r="AX156" i="4" s="1"/>
  <c r="AW157" i="4"/>
  <c r="AX157" i="4" s="1"/>
  <c r="AY157" i="4" s="1"/>
  <c r="BC56" i="4" l="1"/>
  <c r="BC69" i="4"/>
  <c r="BC175" i="4"/>
  <c r="BC159" i="4"/>
  <c r="AY156" i="4"/>
  <c r="BC104" i="4"/>
  <c r="AY104" i="4"/>
  <c r="F41" i="23"/>
  <c r="E41" i="23"/>
  <c r="F41" i="22"/>
  <c r="F41" i="20"/>
  <c r="E41" i="20"/>
  <c r="BC199" i="4" l="1"/>
  <c r="BD42" i="4" s="1"/>
  <c r="F40" i="12"/>
  <c r="F41" i="5"/>
  <c r="BD156" i="4" l="1"/>
  <c r="BD45" i="4" l="1"/>
  <c r="BD10" i="4"/>
  <c r="BD104" i="4"/>
</calcChain>
</file>

<file path=xl/sharedStrings.xml><?xml version="1.0" encoding="utf-8"?>
<sst xmlns="http://schemas.openxmlformats.org/spreadsheetml/2006/main" count="2686" uniqueCount="231">
  <si>
    <t>MARCA</t>
  </si>
  <si>
    <t xml:space="preserve">MODELO </t>
  </si>
  <si>
    <t>MAGNITUD</t>
  </si>
  <si>
    <t>ESTACION</t>
  </si>
  <si>
    <t>SERIE</t>
  </si>
  <si>
    <t xml:space="preserve">RESOLUCION </t>
  </si>
  <si>
    <t>DIOXIDO CO2</t>
  </si>
  <si>
    <t>HIDROCARBUROS HC</t>
  </si>
  <si>
    <t>OXIGENO O2</t>
  </si>
  <si>
    <t>GASES</t>
  </si>
  <si>
    <t>REVOLUCIONES POR MINUTO</t>
  </si>
  <si>
    <t>LUXOMETRO</t>
  </si>
  <si>
    <t>INTENSIDAD</t>
  </si>
  <si>
    <t>INCLINACION</t>
  </si>
  <si>
    <t>1 PPM</t>
  </si>
  <si>
    <t>10 rpm</t>
  </si>
  <si>
    <t>1 N</t>
  </si>
  <si>
    <t>0,1 Klux</t>
  </si>
  <si>
    <t>0,5 a 3, 5</t>
  </si>
  <si>
    <t>±ppm</t>
  </si>
  <si>
    <t>±%</t>
  </si>
  <si>
    <t xml:space="preserve">EXACTITUD SEGÚN NTC </t>
  </si>
  <si>
    <t>10 a 9999</t>
  </si>
  <si>
    <t>rpm</t>
  </si>
  <si>
    <t>T2 - T1</t>
  </si>
  <si>
    <t>FECHA (T2)</t>
  </si>
  <si>
    <t xml:space="preserve">DERIVA </t>
  </si>
  <si>
    <t>RANGO DE MEDICION EQUIPO</t>
  </si>
  <si>
    <t>E = e + U (Donde e es el error y U es la Incert Exp)</t>
  </si>
  <si>
    <t>E = e - U (Donde e es el error y U es la Incert Exp)</t>
  </si>
  <si>
    <t>DESCRIPCION INSTRUMENTO</t>
  </si>
  <si>
    <t>Valor maximo entre E+ y E -</t>
  </si>
  <si>
    <t>METODO DE AJUSTE AUTOMATICO</t>
  </si>
  <si>
    <t>METODO CARTAS DE CONTROL</t>
  </si>
  <si>
    <t>√</t>
  </si>
  <si>
    <t>3 COMPROBACIONES ENTRE CALIBRACIONES</t>
  </si>
  <si>
    <t>Vt1 Valor maximo entre E+ y E-</t>
  </si>
  <si>
    <t>INT. CALIBRACION CON CONDICION</t>
  </si>
  <si>
    <t xml:space="preserve">CONFORMIDAD DE ACUERDO A NTC: 5385:2011
</t>
  </si>
  <si>
    <t>INTERVALO DE CALIBRACION [%]</t>
  </si>
  <si>
    <t>MIN</t>
  </si>
  <si>
    <t>FORMULACION CALIBRACION</t>
  </si>
  <si>
    <t>FORMULACION VERIFICACION</t>
  </si>
  <si>
    <t>INTERVALO DETIEMPO EN CALIBRACION VALOR NUMERICO EN AÑOS</t>
  </si>
  <si>
    <r>
      <rPr>
        <b/>
        <sz val="11"/>
        <color theme="1"/>
        <rFont val="Calibri"/>
        <family val="2"/>
      </rPr>
      <t>±</t>
    </r>
    <r>
      <rPr>
        <b/>
        <sz val="11"/>
        <color theme="1"/>
        <rFont val="Calibri"/>
        <family val="2"/>
        <scheme val="minor"/>
      </rPr>
      <t>%</t>
    </r>
  </si>
  <si>
    <t xml:space="preserve">0,00 a 15,00 </t>
  </si>
  <si>
    <t>0,0 a 19,9</t>
  </si>
  <si>
    <r>
      <rPr>
        <sz val="11"/>
        <color theme="1"/>
        <rFont val="Calibri"/>
        <family val="2"/>
      </rPr>
      <t>±</t>
    </r>
    <r>
      <rPr>
        <sz val="11"/>
        <color theme="1"/>
        <rFont val="Calibri"/>
        <family val="2"/>
        <scheme val="minor"/>
      </rPr>
      <t>ppm</t>
    </r>
  </si>
  <si>
    <t>0,00 a 25,00</t>
  </si>
  <si>
    <t>0 a 20000</t>
  </si>
  <si>
    <t>BRAIN BEE</t>
  </si>
  <si>
    <t>FECHA (T1)</t>
  </si>
  <si>
    <t>PUNTOS DE CALIBRACION</t>
  </si>
  <si>
    <t>DESVIACION Vt2 - Vt1</t>
  </si>
  <si>
    <t xml:space="preserve">FRENOMETRO </t>
  </si>
  <si>
    <t xml:space="preserve"> MGT 300 EVO</t>
  </si>
  <si>
    <t>2 COMPROBACIONES ENTRE CALIBRACIONES</t>
  </si>
  <si>
    <t>INTERVALO DE TIEMPO DE COMPROBACIONES VALOR NUMERICO EN AÑOS</t>
  </si>
  <si>
    <t>TEMPERATURA 4 TIEMPOS</t>
  </si>
  <si>
    <t>TEMPERATURA</t>
  </si>
  <si>
    <t>1 Grado</t>
  </si>
  <si>
    <t>20 a 100</t>
  </si>
  <si>
    <t>1. SE TOMAN LAS INCERTIDUMBRES MAS ALTAS PARA PODER ASEGURAR LA ESCALA COMPLETA</t>
  </si>
  <si>
    <t>2. ESTADISTICAMENTE DE ACUERDO A LA DERIVA DE LOS EQUIPOS SE PUEDEN CALIBRAR CADA 2 AÑOS</t>
  </si>
  <si>
    <t>4. CABE ANOTAR QUE LOS EQUIPOS SUCEPTIBLES DE REPARACIONES Y AJUSTES NO APLICA ESTE METODO PUES DEBEN SER CALIBRADOS INMEDIATAMENTE.</t>
  </si>
  <si>
    <t>3. ESTADISTICAMENTE DE ACUERDO AL PRCEDIMIENTO DE SELECCIONAR EL INTERVALO MINIMO DE TODA LA TOMA DE DATOS SE PUEDE HACER VERIFICACIONES CADA NUEVE MESES.</t>
  </si>
  <si>
    <t xml:space="preserve">PRECISION SEGÚN NTC </t>
  </si>
  <si>
    <t>RUIDO SEGÚN NTC 5365 / 5.2.7.1.</t>
  </si>
  <si>
    <t>REPETIBILIDAD SEGÚN NTC NTC 4983 / 5.2.7.1.</t>
  </si>
  <si>
    <t>-</t>
  </si>
  <si>
    <t>NUMERO CERTIFICADO DE CAL 1</t>
  </si>
  <si>
    <t>PROMEDIOS DE INDICACION DEL INSTRUMENTO (Vt2)</t>
  </si>
  <si>
    <t xml:space="preserve">ERRORES DE CALIBRACION </t>
  </si>
  <si>
    <t xml:space="preserve">ERRORES % </t>
  </si>
  <si>
    <t xml:space="preserve">PRECISION </t>
  </si>
  <si>
    <t xml:space="preserve">PRECISION % </t>
  </si>
  <si>
    <t xml:space="preserve">RUIDO </t>
  </si>
  <si>
    <t xml:space="preserve">REPETIBILIDAD </t>
  </si>
  <si>
    <t xml:space="preserve">INCERTIDUMBRE DE CALIBRACION </t>
  </si>
  <si>
    <t xml:space="preserve">% INCERTIDUMBRE DE CALIBRACION </t>
  </si>
  <si>
    <t>NUMERO CERTIFICADO DE CAL 2</t>
  </si>
  <si>
    <t>PROMEDIOS DE INDICACION DEL INSTRUMENTO (Vt1)</t>
  </si>
  <si>
    <r>
      <rPr>
        <sz val="11"/>
        <color theme="1"/>
        <rFont val="Calibri"/>
        <family val="2"/>
      </rPr>
      <t>°</t>
    </r>
    <r>
      <rPr>
        <sz val="8.8000000000000007"/>
        <color theme="1"/>
        <rFont val="Calibri"/>
        <family val="2"/>
      </rPr>
      <t xml:space="preserve"> C</t>
    </r>
  </si>
  <si>
    <t>CONFIRMACION METROLOGICA RESPECTO AL RUIDO</t>
  </si>
  <si>
    <t>RUIDO CAL 2</t>
  </si>
  <si>
    <t>Ruido NTC 4983 Numeral 5.2.7.1 (+) [%]</t>
  </si>
  <si>
    <t xml:space="preserve">CONFORMIDAD DE ACUERDO A NTC 4983 Numeral 5.2.7.
</t>
  </si>
  <si>
    <t>CONFIRMACION METROLOGICA RESPECTO A LA REPETIBILIDAD</t>
  </si>
  <si>
    <t>REPETIBILIDAD  CAL 2</t>
  </si>
  <si>
    <t>PRECISION CAL 2</t>
  </si>
  <si>
    <t xml:space="preserve">CONFORMIDAD DE ACUERDO A NTC 5385
</t>
  </si>
  <si>
    <t>Precision NTC 5385</t>
  </si>
  <si>
    <t>ERROR + U EXPANDIDA CAL 2 [%]</t>
  </si>
  <si>
    <t>ERROR - U EXPANDIDA CAL 2 [%]</t>
  </si>
  <si>
    <t>Exactitud NTC 5365 Numeral 5.2.7.1 (+) [%]</t>
  </si>
  <si>
    <t>Exactitud NTC 5365 Numeral 5.2.7.1 (-) [%]</t>
  </si>
  <si>
    <t xml:space="preserve">CONFORMIDAD DE ACUERDO A NTC 5365 Numeral 5.2.7.
</t>
  </si>
  <si>
    <t>INTERVALO DE CALIBRACION [mm]</t>
  </si>
  <si>
    <t>ERROR + U EXPANDIDA CAL 2 [mm]</t>
  </si>
  <si>
    <t>ERROR - U EXPANDIDA CAL 2 [mm]</t>
  </si>
  <si>
    <t>EXACTITUD DE ACUERDO A NTC: 5385:2011 (+) [mm]</t>
  </si>
  <si>
    <t>EXACTITUD DE ACUERDO A NTC: 5385:2011 (-) [mm]</t>
  </si>
  <si>
    <t>EXACTITUD DE ACUERDO A NTC: 5385:2011 (+) [%]</t>
  </si>
  <si>
    <t>EXACTITUD DE ACUERDO A NTC: 5385:2011 (-) [%]</t>
  </si>
  <si>
    <t>VAMAG</t>
  </si>
  <si>
    <t>1 kg</t>
  </si>
  <si>
    <t>FECHA CAL # 2 (2021)</t>
  </si>
  <si>
    <t>CAL 1 (2020)</t>
  </si>
  <si>
    <t>ERROR + U EXPANDIDA CAL 2 [%] 2021</t>
  </si>
  <si>
    <t>ERROR - U EXPANDIDA CAL 2 [%] 2021</t>
  </si>
  <si>
    <t>PRECISION CAL 2 2021</t>
  </si>
  <si>
    <t>VALOR APLICADO</t>
  </si>
  <si>
    <t>REVOLUCIONES POR MINUTO 2 TIEMPOS</t>
  </si>
  <si>
    <t>TECNIMAQ</t>
  </si>
  <si>
    <t>INTERFAZ RPM 2T/4T</t>
  </si>
  <si>
    <t>TMI-RPM0063</t>
  </si>
  <si>
    <t>TMI-TEM0063</t>
  </si>
  <si>
    <t>ACTIA</t>
  </si>
  <si>
    <t>AT505</t>
  </si>
  <si>
    <t>Repetibilidad NTC 4983 Numeral 5.2.7.1 (+) [%]</t>
  </si>
  <si>
    <t>TMI-LUX</t>
  </si>
  <si>
    <t xml:space="preserve">2,5 a 100 </t>
  </si>
  <si>
    <t>PROFUNDIMENTRO</t>
  </si>
  <si>
    <t>0.01 mm</t>
  </si>
  <si>
    <t>0 a 25 mm</t>
  </si>
  <si>
    <t>mm</t>
  </si>
  <si>
    <t>LONGITUD</t>
  </si>
  <si>
    <t>CUMPLIMIENTO DE LOS REQUISITOS COMUNES PARA LOS INFORMES (ENSAYO, CALIBRACION O MUESTREO)
 (NTC ISO IEC 17025:2017)</t>
  </si>
  <si>
    <t>No.</t>
  </si>
  <si>
    <t>Descripción</t>
  </si>
  <si>
    <t>Cumple</t>
  </si>
  <si>
    <t>Observaciones</t>
  </si>
  <si>
    <t>Un titulo (por ejemplo, "informe de ensayo", "Certificado de calibración" o "Informe de muestreo")</t>
  </si>
  <si>
    <t>Si</t>
  </si>
  <si>
    <t>El nombre y la dirección del laboratorio.</t>
  </si>
  <si>
    <t>El lugar en que se realizan las actividades del laboratorio, incluso cuando se realizan en las instalaciones del cliente o en sitios alejados de las instalaciones permanentes del laboratorio, o en instalaciones temporales o móviles asociadas.</t>
  </si>
  <si>
    <t>Identificación única de que todos sus componentes se reconocen como una parte de un informe completo y una clara identificación del final.</t>
  </si>
  <si>
    <t>El nombre y la información de contacto del cliente.</t>
  </si>
  <si>
    <t>Una descripción, una identificación inequívoca y, cuando sea necesario la condición del ítem.</t>
  </si>
  <si>
    <t>Fecha de recepción de los ítems de calibración o ensayo, y la fecha del muestreo, cuando este sea critico para la validez y aplicación de los resultados.</t>
  </si>
  <si>
    <t>Fecha de ejecución de la actividad del laboratorio.</t>
  </si>
  <si>
    <t>Fecha de emisión del informe.</t>
  </si>
  <si>
    <t>Referencia al plan y método de muestreo usados por el laboratorio u otros organismos, cuando sean pertinentes para la validez o aplicación de los resultados.</t>
  </si>
  <si>
    <t>Declaración acerca de que los resultados se relacionan solamente con los ítems sometidos a ensayos, calibración o muestreo.</t>
  </si>
  <si>
    <t>Resultados con las unidades de medición, cuando sea apropiado.</t>
  </si>
  <si>
    <t>Las adiciones, desviaciones o exclusiones del método.</t>
  </si>
  <si>
    <t>Identificación de las personas que autorizan el informe.</t>
  </si>
  <si>
    <t>Identificación clara cuando los resultados provengan de proveedores externos.
NOTA: La inclusión de una declaración que especifique que sin la aprobación del laboratorio no se puede reproducir el informe, excepto cuando se reproduce en su totalidad, puede proporcionar seguridad de que partes de un informe no se sacan de contexto</t>
  </si>
  <si>
    <t>Cumplimiento de los requisitos especificos certificados de calibracion (NTC ISO IEC 17025:2017)</t>
  </si>
  <si>
    <t>La incertidumbre de medición del resultado de medición presentado en la misma unida del mesurado o en termino relativo a dicha unidad (ej.: porcentaje)
NOTA: De acuerdo con la Guía ISO /IEC99, un resultado de medición se expresa generalmente como un valor de una magnitud única medida, incluyendo la unidad de medición y una incertidumbre de medición.</t>
  </si>
  <si>
    <t>SI</t>
  </si>
  <si>
    <t xml:space="preserve">Condiciones (por ejemplo, ambientales) en las que se hicieron las calibraciones, que influyen  en los resultados de medición </t>
  </si>
  <si>
    <t>Declaración que identifique como las mediciones son trazables metrológicamente.</t>
  </si>
  <si>
    <t xml:space="preserve">Resultados antes y después de cualquier ajuste o reparación, si están disponibles </t>
  </si>
  <si>
    <t>N/A</t>
  </si>
  <si>
    <t>Cuando sea pertinente, una declaración de conformidad con los requisitos o especificaciones</t>
  </si>
  <si>
    <t>Cuando sea apropiado, opiniones e interpretaciones.</t>
  </si>
  <si>
    <t>EQUIPO:</t>
  </si>
  <si>
    <t>MARCA:</t>
  </si>
  <si>
    <t>MODELO:</t>
  </si>
  <si>
    <t>SERIE:</t>
  </si>
  <si>
    <t>VALORES MONOXIDO DE CARBONO</t>
  </si>
  <si>
    <t>VALORES DIOXIDO DE CARBONO</t>
  </si>
  <si>
    <t>TEMPERATURA 2 TIEMPOS</t>
  </si>
  <si>
    <t>1785-20c</t>
  </si>
  <si>
    <t>MONOXIDO CO</t>
  </si>
  <si>
    <t>SENSOR DE VIBRACION</t>
  </si>
  <si>
    <t>1792-20C</t>
  </si>
  <si>
    <t>INTERVALO DE CALIBRACION [N]</t>
  </si>
  <si>
    <t>SONOMETRO</t>
  </si>
  <si>
    <t xml:space="preserve">DECIBELES </t>
  </si>
  <si>
    <t>EXTECH INSTRUMENTS</t>
  </si>
  <si>
    <t>30 a 130 dB</t>
  </si>
  <si>
    <t>0.1 dB</t>
  </si>
  <si>
    <t>dB</t>
  </si>
  <si>
    <t>V-22484</t>
  </si>
  <si>
    <t xml:space="preserve">ANALIZADOR DE GASES </t>
  </si>
  <si>
    <t>018/18</t>
  </si>
  <si>
    <t>1809-20C</t>
  </si>
  <si>
    <t>1807-20c</t>
  </si>
  <si>
    <t>REVOLUCIONES POR MINUTO  (VIBRACION)</t>
  </si>
  <si>
    <t>REVOLUCIONES POR MINUTO (BATERIA)</t>
  </si>
  <si>
    <t>1807-20C</t>
  </si>
  <si>
    <t xml:space="preserve">ALINEADOR AL PASO </t>
  </si>
  <si>
    <t>LONGITUD DIVERGENTE</t>
  </si>
  <si>
    <t>TRZ</t>
  </si>
  <si>
    <t>TRZM-025</t>
  </si>
  <si>
    <t>0,1 m/Km</t>
  </si>
  <si>
    <t>±12 m/Km</t>
  </si>
  <si>
    <t>±m/Km</t>
  </si>
  <si>
    <t>ALINEADOR AL PASO LIVIANO</t>
  </si>
  <si>
    <t>.-</t>
  </si>
  <si>
    <t>LONGITUD CONVERGENTE</t>
  </si>
  <si>
    <t>1813-20C</t>
  </si>
  <si>
    <t>INTERVALO DE CALIBRACION [m/km]</t>
  </si>
  <si>
    <t>ERROR + U EXPANDIDA CAL 2 [m/km]</t>
  </si>
  <si>
    <t>ERROR - U EXPANDIDA CAL 2 [m/km]</t>
  </si>
  <si>
    <t>Exactitud NTC 5365 Numeral 5.2.7.1 (+) [m/km]</t>
  </si>
  <si>
    <t>Exactitud NTC 5365 Numeral 5.2.7.1 (-) [m/km]</t>
  </si>
  <si>
    <t xml:space="preserve">ANALIZADOR DE SUSPENSION </t>
  </si>
  <si>
    <t>0 a 1000 Kg</t>
  </si>
  <si>
    <t>VTEQ</t>
  </si>
  <si>
    <t>EUSA 3012</t>
  </si>
  <si>
    <t>00207720</t>
  </si>
  <si>
    <t>2023-20C</t>
  </si>
  <si>
    <t>0-30000   N</t>
  </si>
  <si>
    <t>FRENOMETRO MIXTO</t>
  </si>
  <si>
    <t>PESO   LADO  DERECHO</t>
  </si>
  <si>
    <t>PESO  LADO IZQUIERDO</t>
  </si>
  <si>
    <t>LADO DERECHO</t>
  </si>
  <si>
    <t>CONFIRMACION METROLOGICA RESPECTO A PRECISION LADO DERECHO</t>
  </si>
  <si>
    <t>LADO IZQUIERDO</t>
  </si>
  <si>
    <t>CONFIRMACION METROLOGICA RESPECTO A PRECISION LADO IZQUIERDO</t>
  </si>
  <si>
    <t>FUERZA  LADO DERECHO</t>
  </si>
  <si>
    <t>FUERZA  LADO IZQUIERDO</t>
  </si>
  <si>
    <t xml:space="preserve">PESO  LADO DERECHO </t>
  </si>
  <si>
    <t>RBT/C2VFW</t>
  </si>
  <si>
    <t xml:space="preserve">LADO DERECHO </t>
  </si>
  <si>
    <t>OPACIDAD</t>
  </si>
  <si>
    <t>% OPACIDAD</t>
  </si>
  <si>
    <t>SENSORS</t>
  </si>
  <si>
    <t>LCS 2400</t>
  </si>
  <si>
    <t xml:space="preserve">C17137636 </t>
  </si>
  <si>
    <t>0 a 100</t>
  </si>
  <si>
    <t>1812-20C</t>
  </si>
  <si>
    <t>TMI-LUX-0048</t>
  </si>
  <si>
    <t>1815-20C</t>
  </si>
  <si>
    <t>TIC-055</t>
  </si>
  <si>
    <t>LML-1157-21</t>
  </si>
  <si>
    <t>.</t>
  </si>
  <si>
    <t>DIGITAL THREAD   DEPTH GAUGE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</si>
</sst>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00"/>
    <numFmt numFmtId="165" formatCode="0.0%"/>
    <numFmt numFmtId="166" formatCode="0.0"/>
    <numFmt numFmtId="167" formatCode="yyyy\-mm\-dd;@"/>
    <numFmt numFmtId="168" formatCode="0.0000"/>
  </numFmts>
  <fonts count="28" x14ac:knownFonts="1">
    <font>
      <sz val="11"/>
      <color theme="1"/>
      <name val="Calibri"/>
      <family val="2"/>
      <scheme val="minor"/>
    </font>
    <font>
      <sz val="11"/>
      <color theme="1"/>
      <name val="Arial"/>
      <family val="2"/>
    </font>
    <font>
      <b/>
      <sz val="11"/>
      <color theme="1"/>
      <name val="Arial"/>
      <family val="2"/>
    </font>
    <font>
      <sz val="8"/>
      <color theme="1"/>
      <name val="Calibri"/>
      <family val="2"/>
      <scheme val="minor"/>
    </font>
    <font>
      <sz val="11"/>
      <color theme="1"/>
      <name val="Calibri"/>
      <family val="2"/>
    </font>
    <font>
      <sz val="11"/>
      <name val="Calibri"/>
      <family val="2"/>
      <scheme val="minor"/>
    </font>
    <font>
      <b/>
      <sz val="11"/>
      <color theme="1"/>
      <name val="Calibri"/>
      <family val="2"/>
      <scheme val="minor"/>
    </font>
    <font>
      <b/>
      <i/>
      <u/>
      <sz val="11"/>
      <color theme="1"/>
      <name val="Calibri"/>
      <family val="2"/>
      <scheme val="minor"/>
    </font>
    <font>
      <b/>
      <u/>
      <sz val="11"/>
      <color theme="1"/>
      <name val="Calibri"/>
      <family val="2"/>
      <scheme val="minor"/>
    </font>
    <font>
      <b/>
      <sz val="11"/>
      <color theme="1"/>
      <name val="Calibri"/>
      <family val="2"/>
    </font>
    <font>
      <b/>
      <sz val="8"/>
      <color theme="1"/>
      <name val="Arial"/>
      <family val="2"/>
    </font>
    <font>
      <b/>
      <sz val="9"/>
      <color theme="1"/>
      <name val="Arial"/>
      <family val="2"/>
    </font>
    <font>
      <b/>
      <sz val="11"/>
      <color rgb="FFFF0000"/>
      <name val="Calibri"/>
      <family val="2"/>
      <scheme val="minor"/>
    </font>
    <font>
      <sz val="8.8000000000000007"/>
      <color theme="1"/>
      <name val="Calibri"/>
      <family val="2"/>
    </font>
    <font>
      <sz val="11"/>
      <name val="Calibri"/>
      <family val="2"/>
    </font>
    <font>
      <sz val="8"/>
      <name val="Calibri"/>
      <family val="2"/>
      <scheme val="minor"/>
    </font>
    <font>
      <b/>
      <sz val="8"/>
      <color theme="1"/>
      <name val="Calibri"/>
      <family val="2"/>
      <scheme val="minor"/>
    </font>
    <font>
      <b/>
      <sz val="18"/>
      <color theme="1"/>
      <name val="Arial"/>
      <family val="2"/>
    </font>
    <font>
      <sz val="9"/>
      <color theme="1"/>
      <name val="Arial"/>
      <family val="2"/>
    </font>
    <font>
      <sz val="8"/>
      <color theme="1"/>
      <name val="Arial"/>
      <family val="2"/>
    </font>
    <font>
      <sz val="8"/>
      <name val="Arial"/>
      <family val="2"/>
    </font>
    <font>
      <sz val="11"/>
      <color rgb="FFFF0000"/>
      <name val="Arial"/>
      <family val="2"/>
    </font>
    <font>
      <sz val="12"/>
      <color theme="1"/>
      <name val="Arial"/>
      <family val="2"/>
    </font>
    <font>
      <sz val="11"/>
      <color rgb="FFFF0000"/>
      <name val="Calibri"/>
      <family val="2"/>
      <scheme val="minor"/>
    </font>
    <font>
      <b/>
      <sz val="11"/>
      <color rgb="FFFF0000"/>
      <name val="Calibri"/>
      <family val="2"/>
    </font>
    <font>
      <sz val="11"/>
      <color rgb="FFFF0000"/>
      <name val="Calibri"/>
      <family val="2"/>
    </font>
    <font>
      <b/>
      <u/>
      <sz val="11"/>
      <name val="Calibri"/>
      <family val="2"/>
      <scheme val="minor"/>
    </font>
    <font>
      <b/>
      <i/>
      <u/>
      <sz val="11"/>
      <name val="Calibri"/>
      <family val="2"/>
      <scheme val="minor"/>
    </font>
  </fonts>
  <fills count="15">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0000"/>
        <bgColor indexed="64"/>
      </patternFill>
    </fill>
    <fill>
      <patternFill patternType="solid">
        <fgColor rgb="FF92D050"/>
        <bgColor indexed="64"/>
      </patternFill>
    </fill>
    <fill>
      <patternFill patternType="solid">
        <fgColor theme="5" tint="0.59999389629810485"/>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style="medium">
        <color indexed="64"/>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thin">
        <color indexed="64"/>
      </right>
      <top style="thin">
        <color indexed="64"/>
      </top>
      <bottom style="thin">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hair">
        <color auto="1"/>
      </left>
      <right style="hair">
        <color auto="1"/>
      </right>
      <top style="medium">
        <color auto="1"/>
      </top>
      <bottom style="hair">
        <color auto="1"/>
      </bottom>
      <diagonal/>
    </border>
    <border>
      <left style="hair">
        <color indexed="64"/>
      </left>
      <right style="hair">
        <color indexed="64"/>
      </right>
      <top/>
      <bottom style="hair">
        <color indexed="64"/>
      </bottom>
      <diagonal/>
    </border>
    <border>
      <left/>
      <right/>
      <top style="hair">
        <color auto="1"/>
      </top>
      <bottom style="medium">
        <color auto="1"/>
      </bottom>
      <diagonal/>
    </border>
    <border>
      <left style="hair">
        <color indexed="64"/>
      </left>
      <right style="hair">
        <color indexed="64"/>
      </right>
      <top/>
      <bottom/>
      <diagonal/>
    </border>
    <border>
      <left style="medium">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hair">
        <color indexed="64"/>
      </left>
      <right style="hair">
        <color indexed="64"/>
      </right>
      <top style="hair">
        <color indexed="64"/>
      </top>
      <bottom/>
      <diagonal/>
    </border>
    <border>
      <left style="hair">
        <color indexed="64"/>
      </left>
      <right style="medium">
        <color indexed="64"/>
      </right>
      <top style="medium">
        <color indexed="64"/>
      </top>
      <bottom/>
      <diagonal/>
    </border>
    <border>
      <left style="hair">
        <color indexed="64"/>
      </left>
      <right style="medium">
        <color indexed="64"/>
      </right>
      <top/>
      <bottom/>
      <diagonal/>
    </border>
    <border>
      <left style="hair">
        <color indexed="64"/>
      </left>
      <right style="medium">
        <color indexed="64"/>
      </right>
      <top/>
      <bottom style="medium">
        <color indexed="64"/>
      </bottom>
      <diagonal/>
    </border>
    <border>
      <left style="hair">
        <color auto="1"/>
      </left>
      <right style="hair">
        <color indexed="64"/>
      </right>
      <top style="medium">
        <color auto="1"/>
      </top>
      <bottom/>
      <diagonal/>
    </border>
    <border>
      <left style="hair">
        <color auto="1"/>
      </left>
      <right style="hair">
        <color indexed="64"/>
      </right>
      <top/>
      <bottom style="medium">
        <color indexed="64"/>
      </bottom>
      <diagonal/>
    </border>
    <border>
      <left/>
      <right/>
      <top/>
      <bottom style="medium">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right/>
      <top style="thin">
        <color indexed="64"/>
      </top>
      <bottom style="thin">
        <color indexed="64"/>
      </bottom>
      <diagonal/>
    </border>
    <border>
      <left/>
      <right style="hair">
        <color indexed="64"/>
      </right>
      <top style="medium">
        <color indexed="64"/>
      </top>
      <bottom style="hair">
        <color indexed="64"/>
      </bottom>
      <diagonal/>
    </border>
    <border>
      <left/>
      <right style="hair">
        <color indexed="64"/>
      </right>
      <top/>
      <bottom style="hair">
        <color indexed="64"/>
      </bottom>
      <diagonal/>
    </border>
    <border>
      <left/>
      <right style="hair">
        <color indexed="64"/>
      </right>
      <top style="hair">
        <color indexed="64"/>
      </top>
      <bottom/>
      <diagonal/>
    </border>
    <border>
      <left/>
      <right style="hair">
        <color indexed="64"/>
      </right>
      <top style="hair">
        <color indexed="64"/>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hair">
        <color auto="1"/>
      </left>
      <right/>
      <top style="medium">
        <color auto="1"/>
      </top>
      <bottom style="hair">
        <color auto="1"/>
      </bottom>
      <diagonal/>
    </border>
    <border>
      <left style="hair">
        <color indexed="64"/>
      </left>
      <right/>
      <top style="hair">
        <color indexed="64"/>
      </top>
      <bottom/>
      <diagonal/>
    </border>
    <border>
      <left style="medium">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hair">
        <color indexed="64"/>
      </left>
      <right/>
      <top/>
      <bottom style="hair">
        <color indexed="64"/>
      </bottom>
      <diagonal/>
    </border>
    <border>
      <left style="thin">
        <color indexed="64"/>
      </left>
      <right style="hair">
        <color indexed="64"/>
      </right>
      <top style="hair">
        <color indexed="64"/>
      </top>
      <bottom style="medium">
        <color indexed="64"/>
      </bottom>
      <diagonal/>
    </border>
    <border>
      <left style="medium">
        <color indexed="64"/>
      </left>
      <right style="hair">
        <color indexed="64"/>
      </right>
      <top style="medium">
        <color indexed="64"/>
      </top>
      <bottom/>
      <diagonal/>
    </border>
    <border>
      <left style="medium">
        <color indexed="64"/>
      </left>
      <right style="hair">
        <color indexed="64"/>
      </right>
      <top/>
      <bottom/>
      <diagonal/>
    </border>
    <border>
      <left style="medium">
        <color indexed="64"/>
      </left>
      <right style="hair">
        <color indexed="64"/>
      </right>
      <top/>
      <bottom style="medium">
        <color indexed="64"/>
      </bottom>
      <diagonal/>
    </border>
    <border>
      <left style="hair">
        <color indexed="64"/>
      </left>
      <right style="medium">
        <color indexed="64"/>
      </right>
      <top style="hair">
        <color indexed="64"/>
      </top>
      <bottom/>
      <diagonal/>
    </border>
  </borders>
  <cellStyleXfs count="1">
    <xf numFmtId="0" fontId="0" fillId="0" borderId="0"/>
  </cellStyleXfs>
  <cellXfs count="792">
    <xf numFmtId="0" fontId="0" fillId="0" borderId="0" xfId="0"/>
    <xf numFmtId="0" fontId="1" fillId="0" borderId="0" xfId="0" applyFont="1"/>
    <xf numFmtId="0" fontId="2" fillId="3" borderId="3" xfId="0" applyFont="1" applyFill="1" applyBorder="1" applyAlignment="1">
      <alignment horizontal="center" vertical="center" wrapText="1"/>
    </xf>
    <xf numFmtId="0" fontId="1" fillId="0" borderId="3" xfId="0" applyFont="1" applyBorder="1" applyAlignment="1">
      <alignment horizontal="center" vertical="center" wrapText="1"/>
    </xf>
    <xf numFmtId="164" fontId="1" fillId="2" borderId="3" xfId="0" applyNumberFormat="1" applyFont="1" applyFill="1" applyBorder="1" applyAlignment="1">
      <alignment horizontal="center"/>
    </xf>
    <xf numFmtId="0" fontId="3" fillId="0" borderId="3" xfId="0" applyFont="1" applyBorder="1" applyAlignment="1">
      <alignment horizontal="center" vertical="center" wrapText="1"/>
    </xf>
    <xf numFmtId="2" fontId="1" fillId="0" borderId="3" xfId="0" applyNumberFormat="1" applyFont="1" applyBorder="1" applyAlignment="1">
      <alignment horizontal="center"/>
    </xf>
    <xf numFmtId="2" fontId="1" fillId="2" borderId="3" xfId="0" applyNumberFormat="1" applyFont="1" applyFill="1" applyBorder="1" applyAlignment="1">
      <alignment horizontal="center"/>
    </xf>
    <xf numFmtId="0" fontId="6" fillId="0" borderId="3" xfId="0" applyFont="1" applyBorder="1" applyAlignment="1">
      <alignment horizontal="center" vertical="center"/>
    </xf>
    <xf numFmtId="0" fontId="7" fillId="0" borderId="3" xfId="0" applyFont="1" applyBorder="1" applyAlignment="1">
      <alignment horizontal="center" vertical="center"/>
    </xf>
    <xf numFmtId="0" fontId="2" fillId="5" borderId="3"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0" fillId="0" borderId="0" xfId="0" applyFont="1"/>
    <xf numFmtId="0" fontId="6" fillId="0" borderId="5" xfId="0" applyFont="1" applyBorder="1" applyAlignment="1">
      <alignment horizontal="center" vertical="center" wrapText="1"/>
    </xf>
    <xf numFmtId="0" fontId="6" fillId="4" borderId="3" xfId="0" applyFont="1" applyFill="1" applyBorder="1" applyAlignment="1">
      <alignment horizontal="center" vertical="center" wrapText="1"/>
    </xf>
    <xf numFmtId="0" fontId="6" fillId="0" borderId="3" xfId="0" applyFont="1" applyBorder="1" applyAlignment="1">
      <alignment horizontal="center" vertical="center" wrapText="1"/>
    </xf>
    <xf numFmtId="0" fontId="6" fillId="4" borderId="7" xfId="0" applyFont="1" applyFill="1" applyBorder="1" applyAlignment="1">
      <alignment horizontal="center" vertical="center" wrapText="1"/>
    </xf>
    <xf numFmtId="0" fontId="6" fillId="0" borderId="7" xfId="0" applyFont="1" applyBorder="1" applyAlignment="1">
      <alignment horizontal="center" vertical="center"/>
    </xf>
    <xf numFmtId="0" fontId="6" fillId="0" borderId="8" xfId="0" applyFont="1" applyBorder="1" applyAlignment="1">
      <alignment horizontal="center" vertical="center"/>
    </xf>
    <xf numFmtId="0" fontId="6" fillId="0" borderId="10" xfId="0" applyFont="1" applyBorder="1" applyAlignment="1">
      <alignment horizontal="center" vertical="center" wrapText="1"/>
    </xf>
    <xf numFmtId="166" fontId="1" fillId="0" borderId="3" xfId="0" applyNumberFormat="1" applyFont="1" applyBorder="1" applyAlignment="1">
      <alignment horizontal="center" vertical="center" wrapText="1"/>
    </xf>
    <xf numFmtId="0" fontId="10" fillId="3" borderId="3" xfId="0" applyFont="1" applyFill="1" applyBorder="1" applyAlignment="1">
      <alignment horizontal="center" vertical="center" wrapText="1"/>
    </xf>
    <xf numFmtId="0" fontId="11" fillId="3" borderId="3" xfId="0" applyFont="1" applyFill="1" applyBorder="1" applyAlignment="1">
      <alignment horizontal="center" vertical="center" wrapText="1"/>
    </xf>
    <xf numFmtId="166" fontId="6" fillId="0" borderId="3" xfId="0" applyNumberFormat="1" applyFont="1" applyBorder="1" applyAlignment="1">
      <alignment horizontal="center" vertical="center"/>
    </xf>
    <xf numFmtId="166" fontId="0" fillId="0" borderId="0" xfId="0" applyNumberFormat="1"/>
    <xf numFmtId="0" fontId="6" fillId="5" borderId="7" xfId="0" applyFont="1" applyFill="1" applyBorder="1" applyAlignment="1">
      <alignment horizontal="center" vertical="center" wrapText="1"/>
    </xf>
    <xf numFmtId="0" fontId="6" fillId="5" borderId="8" xfId="0" applyFont="1" applyFill="1" applyBorder="1" applyAlignment="1">
      <alignment horizontal="center" vertical="center" wrapText="1"/>
    </xf>
    <xf numFmtId="0" fontId="6" fillId="4" borderId="8" xfId="0" applyFont="1" applyFill="1" applyBorder="1" applyAlignment="1">
      <alignment horizontal="center" vertical="center" wrapText="1"/>
    </xf>
    <xf numFmtId="0" fontId="12" fillId="5" borderId="7" xfId="0" applyFont="1" applyFill="1" applyBorder="1" applyAlignment="1">
      <alignment horizontal="center" vertical="center" wrapText="1"/>
    </xf>
    <xf numFmtId="0" fontId="12" fillId="4" borderId="7" xfId="0" applyFont="1" applyFill="1" applyBorder="1" applyAlignment="1">
      <alignment horizontal="center" vertical="center" wrapText="1"/>
    </xf>
    <xf numFmtId="0" fontId="12" fillId="4" borderId="3" xfId="0" applyFont="1" applyFill="1" applyBorder="1" applyAlignment="1">
      <alignment horizontal="center" vertical="center" wrapText="1"/>
    </xf>
    <xf numFmtId="0" fontId="6" fillId="6" borderId="3" xfId="0" applyFont="1" applyFill="1" applyBorder="1" applyAlignment="1">
      <alignment horizontal="center" vertical="center" wrapText="1"/>
    </xf>
    <xf numFmtId="0" fontId="6" fillId="2" borderId="3" xfId="0" applyFont="1" applyFill="1" applyBorder="1" applyAlignment="1">
      <alignment horizontal="center" vertical="center"/>
    </xf>
    <xf numFmtId="0" fontId="6" fillId="2" borderId="4" xfId="0" applyFont="1" applyFill="1" applyBorder="1" applyAlignment="1">
      <alignment horizontal="center" vertical="center"/>
    </xf>
    <xf numFmtId="0" fontId="6" fillId="8" borderId="7" xfId="0" applyFont="1" applyFill="1" applyBorder="1" applyAlignment="1">
      <alignment horizontal="center" vertical="center" wrapText="1"/>
    </xf>
    <xf numFmtId="0" fontId="6" fillId="6" borderId="7" xfId="0" applyFont="1" applyFill="1" applyBorder="1" applyAlignment="1">
      <alignment horizontal="center" vertical="center" wrapText="1"/>
    </xf>
    <xf numFmtId="0" fontId="6" fillId="10" borderId="7" xfId="0" applyFont="1" applyFill="1" applyBorder="1" applyAlignment="1">
      <alignment horizontal="center" vertical="center" wrapText="1"/>
    </xf>
    <xf numFmtId="0" fontId="0" fillId="11" borderId="15" xfId="0" applyFill="1" applyBorder="1" applyAlignment="1">
      <alignment horizontal="center" vertical="center"/>
    </xf>
    <xf numFmtId="167" fontId="0" fillId="5" borderId="15" xfId="0" applyNumberFormat="1" applyFill="1" applyBorder="1" applyAlignment="1">
      <alignment horizontal="center" vertical="center"/>
    </xf>
    <xf numFmtId="164" fontId="0" fillId="5" borderId="15" xfId="0" applyNumberFormat="1" applyFont="1" applyFill="1" applyBorder="1" applyAlignment="1">
      <alignment horizontal="center"/>
    </xf>
    <xf numFmtId="164" fontId="0" fillId="0" borderId="15" xfId="0" applyNumberFormat="1" applyBorder="1" applyAlignment="1">
      <alignment horizontal="center"/>
    </xf>
    <xf numFmtId="167" fontId="0" fillId="4" borderId="15" xfId="0" applyNumberFormat="1" applyFill="1" applyBorder="1" applyAlignment="1">
      <alignment horizontal="center" vertical="center"/>
    </xf>
    <xf numFmtId="164" fontId="0" fillId="4" borderId="15" xfId="0" applyNumberFormat="1" applyFont="1" applyFill="1" applyBorder="1" applyAlignment="1">
      <alignment horizontal="center"/>
    </xf>
    <xf numFmtId="2" fontId="3" fillId="6" borderId="15" xfId="0" applyNumberFormat="1" applyFont="1" applyFill="1" applyBorder="1" applyAlignment="1">
      <alignment horizontal="center" vertical="center"/>
    </xf>
    <xf numFmtId="2" fontId="0" fillId="6" borderId="15" xfId="0" applyNumberFormat="1" applyFill="1" applyBorder="1" applyAlignment="1">
      <alignment horizontal="center"/>
    </xf>
    <xf numFmtId="164" fontId="0" fillId="6" borderId="15" xfId="0" applyNumberFormat="1" applyFont="1" applyFill="1" applyBorder="1" applyAlignment="1">
      <alignment horizontal="center"/>
    </xf>
    <xf numFmtId="166" fontId="0" fillId="6" borderId="15" xfId="0" applyNumberFormat="1" applyFill="1" applyBorder="1" applyAlignment="1">
      <alignment horizontal="center" vertical="center"/>
    </xf>
    <xf numFmtId="0" fontId="0" fillId="11" borderId="18" xfId="0" applyFill="1" applyBorder="1" applyAlignment="1">
      <alignment horizontal="center" vertical="center"/>
    </xf>
    <xf numFmtId="164" fontId="0" fillId="5" borderId="18" xfId="0" applyNumberFormat="1" applyFont="1" applyFill="1" applyBorder="1" applyAlignment="1">
      <alignment horizontal="center"/>
    </xf>
    <xf numFmtId="164" fontId="0" fillId="0" borderId="18" xfId="0" applyNumberFormat="1" applyBorder="1" applyAlignment="1">
      <alignment horizontal="center"/>
    </xf>
    <xf numFmtId="164" fontId="0" fillId="4" borderId="18" xfId="0" applyNumberFormat="1" applyFont="1" applyFill="1" applyBorder="1" applyAlignment="1">
      <alignment horizontal="center"/>
    </xf>
    <xf numFmtId="2" fontId="3" fillId="6" borderId="18" xfId="0" applyNumberFormat="1" applyFont="1" applyFill="1" applyBorder="1" applyAlignment="1">
      <alignment horizontal="center" vertical="center"/>
    </xf>
    <xf numFmtId="2" fontId="0" fillId="6" borderId="18" xfId="0" applyNumberFormat="1" applyFill="1" applyBorder="1" applyAlignment="1">
      <alignment horizontal="center"/>
    </xf>
    <xf numFmtId="166" fontId="0" fillId="6" borderId="18" xfId="0" applyNumberFormat="1" applyFill="1" applyBorder="1" applyAlignment="1">
      <alignment horizontal="center" vertical="center"/>
    </xf>
    <xf numFmtId="2" fontId="1" fillId="0" borderId="3" xfId="0" applyNumberFormat="1" applyFont="1" applyBorder="1" applyAlignment="1">
      <alignment horizontal="center" vertical="center" wrapText="1"/>
    </xf>
    <xf numFmtId="0" fontId="9" fillId="9" borderId="20" xfId="0" applyFont="1" applyFill="1" applyBorder="1" applyAlignment="1">
      <alignment horizontal="center" vertical="center"/>
    </xf>
    <xf numFmtId="0" fontId="9" fillId="12" borderId="20" xfId="0" applyFont="1" applyFill="1" applyBorder="1" applyAlignment="1">
      <alignment horizontal="center" vertical="center"/>
    </xf>
    <xf numFmtId="0" fontId="0" fillId="11" borderId="20" xfId="0" applyFill="1" applyBorder="1" applyAlignment="1">
      <alignment horizontal="center" vertical="center"/>
    </xf>
    <xf numFmtId="167" fontId="0" fillId="5" borderId="20" xfId="0" applyNumberFormat="1" applyFill="1" applyBorder="1" applyAlignment="1">
      <alignment horizontal="center" vertical="center"/>
    </xf>
    <xf numFmtId="164" fontId="0" fillId="0" borderId="20" xfId="0" applyNumberFormat="1" applyBorder="1" applyAlignment="1">
      <alignment horizontal="center"/>
    </xf>
    <xf numFmtId="167" fontId="0" fillId="4" borderId="20" xfId="0" applyNumberFormat="1" applyFill="1" applyBorder="1" applyAlignment="1">
      <alignment horizontal="center" vertical="center"/>
    </xf>
    <xf numFmtId="164" fontId="0" fillId="4" borderId="20" xfId="0" applyNumberFormat="1" applyFont="1" applyFill="1" applyBorder="1" applyAlignment="1">
      <alignment horizontal="center"/>
    </xf>
    <xf numFmtId="2" fontId="3" fillId="6" borderId="20" xfId="0" applyNumberFormat="1" applyFont="1" applyFill="1" applyBorder="1" applyAlignment="1">
      <alignment horizontal="center" vertical="center"/>
    </xf>
    <xf numFmtId="2" fontId="0" fillId="6" borderId="20" xfId="0" applyNumberFormat="1" applyFill="1" applyBorder="1" applyAlignment="1">
      <alignment horizontal="center"/>
    </xf>
    <xf numFmtId="164" fontId="0" fillId="6" borderId="20" xfId="0" applyNumberFormat="1" applyFont="1" applyFill="1" applyBorder="1" applyAlignment="1">
      <alignment horizontal="center"/>
    </xf>
    <xf numFmtId="166" fontId="0" fillId="6" borderId="20" xfId="0" applyNumberFormat="1" applyFill="1" applyBorder="1" applyAlignment="1">
      <alignment horizontal="center" vertical="center"/>
    </xf>
    <xf numFmtId="0" fontId="3" fillId="6" borderId="20" xfId="0" applyNumberFormat="1" applyFont="1" applyFill="1" applyBorder="1" applyAlignment="1" applyProtection="1">
      <alignment horizontal="center" vertical="center" wrapText="1"/>
    </xf>
    <xf numFmtId="166" fontId="0" fillId="0" borderId="20" xfId="0" applyNumberFormat="1" applyBorder="1" applyAlignment="1"/>
    <xf numFmtId="0" fontId="0" fillId="0" borderId="20" xfId="0" applyBorder="1"/>
    <xf numFmtId="0" fontId="9" fillId="9" borderId="15" xfId="0" applyFont="1" applyFill="1" applyBorder="1" applyAlignment="1">
      <alignment horizontal="center" vertical="center"/>
    </xf>
    <xf numFmtId="0" fontId="9" fillId="7" borderId="15" xfId="0" applyFont="1" applyFill="1" applyBorder="1" applyAlignment="1">
      <alignment horizontal="center" vertical="center"/>
    </xf>
    <xf numFmtId="0" fontId="9" fillId="12" borderId="15" xfId="0" applyFont="1" applyFill="1" applyBorder="1" applyAlignment="1">
      <alignment horizontal="center" vertical="center"/>
    </xf>
    <xf numFmtId="0" fontId="3" fillId="6" borderId="15" xfId="0" applyNumberFormat="1" applyFont="1" applyFill="1" applyBorder="1" applyAlignment="1" applyProtection="1">
      <alignment horizontal="center" vertical="center" wrapText="1"/>
    </xf>
    <xf numFmtId="0" fontId="0" fillId="0" borderId="15" xfId="0" applyBorder="1"/>
    <xf numFmtId="0" fontId="0" fillId="0" borderId="15" xfId="0" applyBorder="1" applyAlignment="1"/>
    <xf numFmtId="0" fontId="0" fillId="0" borderId="22" xfId="0" applyBorder="1"/>
    <xf numFmtId="2" fontId="6" fillId="9" borderId="20" xfId="0" applyNumberFormat="1" applyFont="1" applyFill="1" applyBorder="1" applyAlignment="1">
      <alignment horizontal="center" vertical="center"/>
    </xf>
    <xf numFmtId="10" fontId="6" fillId="9" borderId="20" xfId="0" applyNumberFormat="1" applyFont="1" applyFill="1" applyBorder="1" applyAlignment="1">
      <alignment horizontal="center" vertical="center"/>
    </xf>
    <xf numFmtId="2" fontId="6" fillId="6" borderId="20" xfId="0" applyNumberFormat="1" applyFont="1" applyFill="1" applyBorder="1" applyAlignment="1">
      <alignment horizontal="center" vertical="center"/>
    </xf>
    <xf numFmtId="10" fontId="6" fillId="6" borderId="20" xfId="0" applyNumberFormat="1" applyFont="1" applyFill="1" applyBorder="1" applyAlignment="1">
      <alignment horizontal="center" vertical="center"/>
    </xf>
    <xf numFmtId="2" fontId="6" fillId="10" borderId="20" xfId="0" applyNumberFormat="1" applyFont="1" applyFill="1" applyBorder="1" applyAlignment="1">
      <alignment horizontal="center" vertical="center"/>
    </xf>
    <xf numFmtId="10" fontId="6" fillId="10" borderId="20" xfId="0" applyNumberFormat="1" applyFont="1" applyFill="1" applyBorder="1" applyAlignment="1">
      <alignment horizontal="center" vertical="center"/>
    </xf>
    <xf numFmtId="0" fontId="4" fillId="11" borderId="20" xfId="0" applyFont="1" applyFill="1" applyBorder="1" applyAlignment="1">
      <alignment horizontal="center" vertical="center"/>
    </xf>
    <xf numFmtId="164" fontId="0" fillId="5" borderId="20" xfId="0" applyNumberFormat="1" applyFill="1" applyBorder="1" applyAlignment="1">
      <alignment horizontal="center" vertical="center"/>
    </xf>
    <xf numFmtId="164" fontId="0" fillId="4" borderId="20" xfId="0" applyNumberFormat="1" applyFill="1" applyBorder="1" applyAlignment="1">
      <alignment horizontal="center"/>
    </xf>
    <xf numFmtId="164" fontId="0" fillId="6" borderId="20" xfId="0" applyNumberFormat="1" applyFill="1" applyBorder="1" applyAlignment="1">
      <alignment horizontal="center"/>
    </xf>
    <xf numFmtId="2" fontId="6" fillId="9" borderId="15" xfId="0" applyNumberFormat="1" applyFont="1" applyFill="1" applyBorder="1" applyAlignment="1">
      <alignment horizontal="center" vertical="center"/>
    </xf>
    <xf numFmtId="10" fontId="6" fillId="9" borderId="15" xfId="0" applyNumberFormat="1" applyFont="1" applyFill="1" applyBorder="1" applyAlignment="1">
      <alignment horizontal="center" vertical="center"/>
    </xf>
    <xf numFmtId="2" fontId="6" fillId="6" borderId="15" xfId="0" applyNumberFormat="1" applyFont="1" applyFill="1" applyBorder="1" applyAlignment="1">
      <alignment horizontal="center" vertical="center"/>
    </xf>
    <xf numFmtId="10" fontId="6" fillId="6" borderId="15" xfId="0" applyNumberFormat="1" applyFont="1" applyFill="1" applyBorder="1" applyAlignment="1">
      <alignment horizontal="center" vertical="center"/>
    </xf>
    <xf numFmtId="2" fontId="6" fillId="10" borderId="15" xfId="0" applyNumberFormat="1" applyFont="1" applyFill="1" applyBorder="1" applyAlignment="1">
      <alignment horizontal="center" vertical="center"/>
    </xf>
    <xf numFmtId="10" fontId="6" fillId="10" borderId="15" xfId="0" applyNumberFormat="1" applyFont="1" applyFill="1" applyBorder="1" applyAlignment="1">
      <alignment horizontal="center" vertical="center"/>
    </xf>
    <xf numFmtId="0" fontId="4" fillId="11" borderId="15" xfId="0" applyFont="1" applyFill="1" applyBorder="1" applyAlignment="1">
      <alignment horizontal="center" vertical="center"/>
    </xf>
    <xf numFmtId="164" fontId="0" fillId="5" borderId="15" xfId="0" applyNumberFormat="1" applyFill="1" applyBorder="1" applyAlignment="1">
      <alignment horizontal="center" vertical="center"/>
    </xf>
    <xf numFmtId="164" fontId="0" fillId="4" borderId="15" xfId="0" applyNumberFormat="1" applyFill="1" applyBorder="1" applyAlignment="1">
      <alignment horizontal="center"/>
    </xf>
    <xf numFmtId="164" fontId="0" fillId="6" borderId="15" xfId="0" applyNumberFormat="1" applyFill="1" applyBorder="1" applyAlignment="1">
      <alignment horizontal="center"/>
    </xf>
    <xf numFmtId="164" fontId="0" fillId="5" borderId="15" xfId="0" applyNumberFormat="1" applyFill="1" applyBorder="1" applyAlignment="1">
      <alignment horizontal="center"/>
    </xf>
    <xf numFmtId="0" fontId="6" fillId="9" borderId="15" xfId="0" applyFont="1" applyFill="1" applyBorder="1" applyAlignment="1">
      <alignment horizontal="center" vertical="center"/>
    </xf>
    <xf numFmtId="0" fontId="0" fillId="9" borderId="15" xfId="0" applyFont="1" applyFill="1" applyBorder="1" applyAlignment="1">
      <alignment horizontal="center" vertical="center"/>
    </xf>
    <xf numFmtId="0" fontId="6" fillId="6" borderId="15" xfId="0" applyFont="1" applyFill="1" applyBorder="1" applyAlignment="1">
      <alignment horizontal="center" vertical="center"/>
    </xf>
    <xf numFmtId="0" fontId="0" fillId="6" borderId="15" xfId="0" applyFont="1" applyFill="1" applyBorder="1" applyAlignment="1">
      <alignment horizontal="center" vertical="center"/>
    </xf>
    <xf numFmtId="0" fontId="6" fillId="10" borderId="15" xfId="0" applyFont="1" applyFill="1" applyBorder="1" applyAlignment="1">
      <alignment horizontal="center" vertical="center"/>
    </xf>
    <xf numFmtId="0" fontId="0" fillId="10" borderId="15" xfId="0" applyFont="1" applyFill="1" applyBorder="1" applyAlignment="1">
      <alignment horizontal="center" vertical="center"/>
    </xf>
    <xf numFmtId="0" fontId="4" fillId="9" borderId="15" xfId="0" applyFont="1" applyFill="1" applyBorder="1" applyAlignment="1">
      <alignment horizontal="center" vertical="center"/>
    </xf>
    <xf numFmtId="0" fontId="9" fillId="6" borderId="15" xfId="0" applyFont="1" applyFill="1" applyBorder="1" applyAlignment="1">
      <alignment horizontal="center" vertical="center"/>
    </xf>
    <xf numFmtId="0" fontId="4" fillId="6" borderId="15" xfId="0" applyFont="1" applyFill="1" applyBorder="1" applyAlignment="1">
      <alignment horizontal="center" vertical="center"/>
    </xf>
    <xf numFmtId="0" fontId="9" fillId="10" borderId="15" xfId="0" applyFont="1" applyFill="1" applyBorder="1" applyAlignment="1">
      <alignment horizontal="center" vertical="center"/>
    </xf>
    <xf numFmtId="0" fontId="4" fillId="10" borderId="15" xfId="0" applyFont="1" applyFill="1" applyBorder="1" applyAlignment="1">
      <alignment horizontal="center" vertical="center"/>
    </xf>
    <xf numFmtId="0" fontId="9" fillId="9" borderId="18" xfId="0" applyFont="1" applyFill="1" applyBorder="1" applyAlignment="1">
      <alignment horizontal="center" vertical="center"/>
    </xf>
    <xf numFmtId="0" fontId="9" fillId="12" borderId="18" xfId="0" applyFont="1" applyFill="1" applyBorder="1" applyAlignment="1">
      <alignment horizontal="center" vertical="center"/>
    </xf>
    <xf numFmtId="0" fontId="4" fillId="11" borderId="18" xfId="0" applyFont="1" applyFill="1" applyBorder="1" applyAlignment="1">
      <alignment horizontal="center" vertical="center"/>
    </xf>
    <xf numFmtId="167" fontId="0" fillId="5" borderId="18" xfId="0" applyNumberFormat="1" applyFill="1" applyBorder="1" applyAlignment="1">
      <alignment horizontal="center" vertical="center"/>
    </xf>
    <xf numFmtId="164" fontId="0" fillId="5" borderId="18" xfId="0" applyNumberFormat="1" applyFill="1" applyBorder="1" applyAlignment="1">
      <alignment horizontal="center"/>
    </xf>
    <xf numFmtId="164" fontId="0" fillId="5" borderId="18" xfId="0" applyNumberFormat="1" applyFill="1" applyBorder="1" applyAlignment="1">
      <alignment horizontal="center" vertical="center"/>
    </xf>
    <xf numFmtId="167" fontId="0" fillId="4" borderId="18" xfId="0" applyNumberFormat="1" applyFill="1" applyBorder="1" applyAlignment="1">
      <alignment horizontal="center" vertical="center"/>
    </xf>
    <xf numFmtId="164" fontId="0" fillId="4" borderId="18" xfId="0" applyNumberFormat="1" applyFill="1" applyBorder="1" applyAlignment="1">
      <alignment horizontal="center"/>
    </xf>
    <xf numFmtId="164" fontId="0" fillId="6" borderId="18" xfId="0" applyNumberFormat="1" applyFill="1" applyBorder="1" applyAlignment="1">
      <alignment horizontal="center"/>
    </xf>
    <xf numFmtId="0" fontId="0" fillId="5" borderId="15" xfId="0" applyFill="1" applyBorder="1" applyAlignment="1">
      <alignment horizontal="center" vertical="center"/>
    </xf>
    <xf numFmtId="166" fontId="6" fillId="0" borderId="25" xfId="0" applyNumberFormat="1" applyFont="1" applyBorder="1" applyAlignment="1">
      <alignment horizontal="center" vertical="center"/>
    </xf>
    <xf numFmtId="166" fontId="0" fillId="0" borderId="15" xfId="0" applyNumberFormat="1" applyBorder="1" applyAlignment="1">
      <alignment horizontal="center"/>
    </xf>
    <xf numFmtId="0" fontId="3" fillId="6" borderId="18" xfId="0" applyNumberFormat="1" applyFont="1" applyFill="1" applyBorder="1" applyAlignment="1" applyProtection="1">
      <alignment horizontal="center" vertical="center" wrapText="1"/>
    </xf>
    <xf numFmtId="0" fontId="0" fillId="0" borderId="18" xfId="0" applyBorder="1" applyAlignment="1"/>
    <xf numFmtId="166" fontId="6" fillId="0" borderId="16" xfId="0" applyNumberFormat="1" applyFont="1" applyBorder="1" applyAlignment="1">
      <alignment horizontal="center" vertical="center"/>
    </xf>
    <xf numFmtId="166" fontId="6" fillId="0" borderId="19" xfId="0" applyNumberFormat="1" applyFont="1" applyBorder="1" applyAlignment="1">
      <alignment horizontal="center" vertical="center"/>
    </xf>
    <xf numFmtId="166" fontId="0" fillId="0" borderId="20" xfId="0" applyNumberFormat="1" applyBorder="1" applyAlignment="1">
      <alignment horizontal="center"/>
    </xf>
    <xf numFmtId="0" fontId="0" fillId="0" borderId="18" xfId="0" applyBorder="1" applyAlignment="1">
      <alignment horizontal="center"/>
    </xf>
    <xf numFmtId="1" fontId="6" fillId="8" borderId="15" xfId="0" applyNumberFormat="1" applyFont="1" applyFill="1" applyBorder="1" applyAlignment="1">
      <alignment horizontal="center" vertical="center" wrapText="1"/>
    </xf>
    <xf numFmtId="0" fontId="9" fillId="9" borderId="20" xfId="0" applyFont="1" applyFill="1" applyBorder="1" applyAlignment="1">
      <alignment horizontal="center" vertical="center"/>
    </xf>
    <xf numFmtId="0" fontId="9" fillId="12" borderId="20" xfId="0" applyFont="1" applyFill="1" applyBorder="1" applyAlignment="1">
      <alignment horizontal="center" vertical="center"/>
    </xf>
    <xf numFmtId="1" fontId="0" fillId="0" borderId="20" xfId="0" applyNumberFormat="1" applyBorder="1" applyAlignment="1">
      <alignment horizontal="center" vertical="center"/>
    </xf>
    <xf numFmtId="0" fontId="9" fillId="9" borderId="15" xfId="0" applyFont="1" applyFill="1" applyBorder="1" applyAlignment="1">
      <alignment horizontal="center" vertical="center"/>
    </xf>
    <xf numFmtId="0" fontId="9" fillId="12" borderId="15" xfId="0" applyFont="1" applyFill="1" applyBorder="1" applyAlignment="1">
      <alignment horizontal="center" vertical="center"/>
    </xf>
    <xf numFmtId="1" fontId="0" fillId="0" borderId="15" xfId="0" applyNumberFormat="1" applyBorder="1" applyAlignment="1">
      <alignment horizontal="center" vertical="center"/>
    </xf>
    <xf numFmtId="164" fontId="0" fillId="5" borderId="20" xfId="0" applyNumberFormat="1" applyFill="1" applyBorder="1" applyAlignment="1">
      <alignment horizontal="center"/>
    </xf>
    <xf numFmtId="164" fontId="5" fillId="4" borderId="20" xfId="0" applyNumberFormat="1" applyFont="1" applyFill="1" applyBorder="1" applyAlignment="1">
      <alignment horizontal="center"/>
    </xf>
    <xf numFmtId="164" fontId="5" fillId="4" borderId="15" xfId="0" applyNumberFormat="1" applyFont="1" applyFill="1" applyBorder="1" applyAlignment="1">
      <alignment horizontal="center"/>
    </xf>
    <xf numFmtId="0" fontId="9" fillId="9" borderId="18" xfId="0" applyFont="1" applyFill="1" applyBorder="1" applyAlignment="1">
      <alignment horizontal="center" vertical="center"/>
    </xf>
    <xf numFmtId="0" fontId="9" fillId="12" borderId="18" xfId="0" applyFont="1" applyFill="1" applyBorder="1" applyAlignment="1">
      <alignment horizontal="center" vertical="center"/>
    </xf>
    <xf numFmtId="164" fontId="5" fillId="4" borderId="18" xfId="0" applyNumberFormat="1" applyFont="1" applyFill="1" applyBorder="1" applyAlignment="1">
      <alignment horizontal="center"/>
    </xf>
    <xf numFmtId="1" fontId="0" fillId="0" borderId="18" xfId="0" applyNumberFormat="1" applyBorder="1" applyAlignment="1">
      <alignment horizontal="center" vertical="center"/>
    </xf>
    <xf numFmtId="0" fontId="14" fillId="9" borderId="20" xfId="0" applyFont="1" applyFill="1" applyBorder="1" applyAlignment="1">
      <alignment horizontal="center" vertical="center"/>
    </xf>
    <xf numFmtId="0" fontId="14" fillId="12" borderId="20" xfId="0" applyFont="1" applyFill="1" applyBorder="1" applyAlignment="1">
      <alignment horizontal="center" vertical="center"/>
    </xf>
    <xf numFmtId="0" fontId="5" fillId="11" borderId="20" xfId="0" applyFont="1" applyFill="1" applyBorder="1" applyAlignment="1">
      <alignment horizontal="center" vertical="center"/>
    </xf>
    <xf numFmtId="0" fontId="14" fillId="11" borderId="20" xfId="0" applyFont="1" applyFill="1" applyBorder="1" applyAlignment="1">
      <alignment horizontal="center" vertical="center"/>
    </xf>
    <xf numFmtId="167" fontId="5" fillId="5" borderId="20" xfId="0" applyNumberFormat="1" applyFont="1" applyFill="1" applyBorder="1" applyAlignment="1">
      <alignment horizontal="center" vertical="center"/>
    </xf>
    <xf numFmtId="164" fontId="5" fillId="5" borderId="20" xfId="0" applyNumberFormat="1" applyFont="1" applyFill="1" applyBorder="1" applyAlignment="1">
      <alignment horizontal="center"/>
    </xf>
    <xf numFmtId="164" fontId="5" fillId="0" borderId="20" xfId="0" applyNumberFormat="1" applyFont="1" applyBorder="1" applyAlignment="1">
      <alignment horizontal="center"/>
    </xf>
    <xf numFmtId="167" fontId="5" fillId="4" borderId="20" xfId="0" applyNumberFormat="1" applyFont="1" applyFill="1" applyBorder="1" applyAlignment="1">
      <alignment horizontal="center" vertical="center"/>
    </xf>
    <xf numFmtId="2" fontId="15" fillId="6" borderId="20" xfId="0" applyNumberFormat="1" applyFont="1" applyFill="1" applyBorder="1" applyAlignment="1">
      <alignment horizontal="center" vertical="center"/>
    </xf>
    <xf numFmtId="2" fontId="5" fillId="6" borderId="20" xfId="0" applyNumberFormat="1" applyFont="1" applyFill="1" applyBorder="1" applyAlignment="1">
      <alignment horizontal="center"/>
    </xf>
    <xf numFmtId="164" fontId="5" fillId="6" borderId="20" xfId="0" applyNumberFormat="1" applyFont="1" applyFill="1" applyBorder="1" applyAlignment="1">
      <alignment horizontal="center"/>
    </xf>
    <xf numFmtId="166" fontId="5" fillId="6" borderId="20" xfId="0" applyNumberFormat="1" applyFont="1" applyFill="1" applyBorder="1" applyAlignment="1">
      <alignment horizontal="center" vertical="center"/>
    </xf>
    <xf numFmtId="0" fontId="15" fillId="6" borderId="20" xfId="0" applyNumberFormat="1" applyFont="1" applyFill="1" applyBorder="1" applyAlignment="1" applyProtection="1">
      <alignment horizontal="center" vertical="center" wrapText="1"/>
    </xf>
    <xf numFmtId="166" fontId="5" fillId="0" borderId="20" xfId="0" applyNumberFormat="1" applyFont="1" applyBorder="1" applyAlignment="1">
      <alignment horizontal="center"/>
    </xf>
    <xf numFmtId="0" fontId="14" fillId="9" borderId="15" xfId="0" applyFont="1" applyFill="1" applyBorder="1" applyAlignment="1">
      <alignment horizontal="center" vertical="center"/>
    </xf>
    <xf numFmtId="0" fontId="14" fillId="12" borderId="15" xfId="0" applyFont="1" applyFill="1" applyBorder="1" applyAlignment="1">
      <alignment horizontal="center" vertical="center"/>
    </xf>
    <xf numFmtId="0" fontId="5" fillId="11" borderId="15" xfId="0" applyFont="1" applyFill="1" applyBorder="1" applyAlignment="1">
      <alignment horizontal="center" vertical="center"/>
    </xf>
    <xf numFmtId="0" fontId="14" fillId="11" borderId="15" xfId="0" applyFont="1" applyFill="1" applyBorder="1" applyAlignment="1">
      <alignment horizontal="center" vertical="center"/>
    </xf>
    <xf numFmtId="167" fontId="5" fillId="5" borderId="15" xfId="0" applyNumberFormat="1" applyFont="1" applyFill="1" applyBorder="1" applyAlignment="1">
      <alignment horizontal="center" vertical="center"/>
    </xf>
    <xf numFmtId="164" fontId="5" fillId="5" borderId="15" xfId="0" applyNumberFormat="1" applyFont="1" applyFill="1" applyBorder="1" applyAlignment="1">
      <alignment horizontal="center"/>
    </xf>
    <xf numFmtId="164" fontId="5" fillId="0" borderId="15" xfId="0" applyNumberFormat="1" applyFont="1" applyBorder="1" applyAlignment="1">
      <alignment horizontal="center"/>
    </xf>
    <xf numFmtId="167" fontId="5" fillId="4" borderId="15" xfId="0" applyNumberFormat="1" applyFont="1" applyFill="1" applyBorder="1" applyAlignment="1">
      <alignment horizontal="center" vertical="center"/>
    </xf>
    <xf numFmtId="2" fontId="15" fillId="6" borderId="15" xfId="0" applyNumberFormat="1" applyFont="1" applyFill="1" applyBorder="1" applyAlignment="1">
      <alignment horizontal="center" vertical="center"/>
    </xf>
    <xf numFmtId="2" fontId="5" fillId="6" borderId="15" xfId="0" applyNumberFormat="1" applyFont="1" applyFill="1" applyBorder="1" applyAlignment="1">
      <alignment horizontal="center"/>
    </xf>
    <xf numFmtId="164" fontId="5" fillId="6" borderId="15" xfId="0" applyNumberFormat="1" applyFont="1" applyFill="1" applyBorder="1" applyAlignment="1">
      <alignment horizontal="center"/>
    </xf>
    <xf numFmtId="166" fontId="5" fillId="6" borderId="15" xfId="0" applyNumberFormat="1" applyFont="1" applyFill="1" applyBorder="1" applyAlignment="1">
      <alignment horizontal="center" vertical="center"/>
    </xf>
    <xf numFmtId="0" fontId="15" fillId="6" borderId="15" xfId="0" applyNumberFormat="1" applyFont="1" applyFill="1" applyBorder="1" applyAlignment="1" applyProtection="1">
      <alignment horizontal="center" vertical="center" wrapText="1"/>
    </xf>
    <xf numFmtId="166" fontId="5" fillId="0" borderId="15" xfId="0" applyNumberFormat="1" applyFont="1" applyBorder="1" applyAlignment="1">
      <alignment horizontal="center"/>
    </xf>
    <xf numFmtId="166" fontId="0" fillId="11" borderId="20" xfId="0" applyNumberFormat="1" applyFill="1" applyBorder="1" applyAlignment="1">
      <alignment horizontal="center" vertical="center"/>
    </xf>
    <xf numFmtId="164" fontId="0" fillId="9" borderId="20" xfId="0" applyNumberFormat="1" applyFont="1" applyFill="1" applyBorder="1" applyAlignment="1">
      <alignment horizontal="center"/>
    </xf>
    <xf numFmtId="166" fontId="0" fillId="11" borderId="15" xfId="0" applyNumberFormat="1" applyFill="1" applyBorder="1" applyAlignment="1">
      <alignment horizontal="center" vertical="center"/>
    </xf>
    <xf numFmtId="164" fontId="0" fillId="9" borderId="15" xfId="0" applyNumberFormat="1" applyFont="1" applyFill="1" applyBorder="1" applyAlignment="1">
      <alignment horizontal="center"/>
    </xf>
    <xf numFmtId="164" fontId="0" fillId="9" borderId="15" xfId="0" applyNumberFormat="1" applyFill="1" applyBorder="1" applyAlignment="1">
      <alignment horizontal="center"/>
    </xf>
    <xf numFmtId="164" fontId="0" fillId="9" borderId="18" xfId="0" applyNumberFormat="1" applyFill="1" applyBorder="1" applyAlignment="1">
      <alignment horizontal="center"/>
    </xf>
    <xf numFmtId="166" fontId="0" fillId="0" borderId="20" xfId="0" applyNumberFormat="1" applyBorder="1" applyAlignment="1">
      <alignment horizontal="center" vertical="center"/>
    </xf>
    <xf numFmtId="166" fontId="0" fillId="0" borderId="15" xfId="0" applyNumberFormat="1" applyBorder="1" applyAlignment="1">
      <alignment horizontal="center" vertical="center"/>
    </xf>
    <xf numFmtId="166" fontId="0" fillId="0" borderId="18" xfId="0" applyNumberFormat="1" applyBorder="1" applyAlignment="1">
      <alignment horizontal="center" vertical="center"/>
    </xf>
    <xf numFmtId="1" fontId="0" fillId="11" borderId="20" xfId="0" applyNumberFormat="1" applyFill="1" applyBorder="1" applyAlignment="1">
      <alignment horizontal="center" vertical="center"/>
    </xf>
    <xf numFmtId="1" fontId="0" fillId="11" borderId="15" xfId="0" applyNumberFormat="1" applyFill="1" applyBorder="1" applyAlignment="1">
      <alignment horizontal="center" vertical="center"/>
    </xf>
    <xf numFmtId="166" fontId="0" fillId="11" borderId="18" xfId="0" applyNumberFormat="1" applyFill="1" applyBorder="1" applyAlignment="1">
      <alignment horizontal="center" vertical="center"/>
    </xf>
    <xf numFmtId="0" fontId="6" fillId="5" borderId="3" xfId="0" applyFont="1" applyFill="1" applyBorder="1" applyAlignment="1">
      <alignment horizontal="center" vertical="center" wrapText="1"/>
    </xf>
    <xf numFmtId="0" fontId="6" fillId="5" borderId="4" xfId="0" applyFont="1" applyFill="1" applyBorder="1" applyAlignment="1">
      <alignment horizontal="center" vertical="center" wrapText="1"/>
    </xf>
    <xf numFmtId="0" fontId="6" fillId="8" borderId="3" xfId="0" applyFont="1" applyFill="1" applyBorder="1" applyAlignment="1">
      <alignment horizontal="center" vertical="center" wrapText="1"/>
    </xf>
    <xf numFmtId="0" fontId="6" fillId="10" borderId="3" xfId="0" applyFont="1" applyFill="1" applyBorder="1" applyAlignment="1">
      <alignment horizontal="center" vertical="center" wrapText="1"/>
    </xf>
    <xf numFmtId="0" fontId="12" fillId="5" borderId="3" xfId="0" applyFont="1" applyFill="1" applyBorder="1" applyAlignment="1">
      <alignment horizontal="center" vertical="center" wrapText="1"/>
    </xf>
    <xf numFmtId="0" fontId="6" fillId="4" borderId="4" xfId="0" applyFont="1" applyFill="1" applyBorder="1" applyAlignment="1">
      <alignment horizontal="center" vertical="center" wrapText="1"/>
    </xf>
    <xf numFmtId="164" fontId="0" fillId="9" borderId="20" xfId="0" applyNumberFormat="1" applyFill="1" applyBorder="1" applyAlignment="1">
      <alignment horizontal="center"/>
    </xf>
    <xf numFmtId="0" fontId="16" fillId="0" borderId="7" xfId="0" applyFont="1" applyBorder="1" applyAlignment="1">
      <alignment horizontal="center" vertical="center"/>
    </xf>
    <xf numFmtId="0" fontId="0" fillId="0" borderId="32" xfId="0" applyBorder="1" applyAlignment="1"/>
    <xf numFmtId="0" fontId="17" fillId="0" borderId="0" xfId="0" applyFont="1" applyAlignment="1">
      <alignment horizontal="right" vertical="center" wrapText="1"/>
    </xf>
    <xf numFmtId="0" fontId="18" fillId="0" borderId="0" xfId="0" applyFont="1"/>
    <xf numFmtId="0" fontId="19" fillId="0" borderId="15" xfId="0" applyFont="1" applyBorder="1" applyAlignment="1">
      <alignment horizontal="center" vertical="center"/>
    </xf>
    <xf numFmtId="0" fontId="19" fillId="0" borderId="15" xfId="0" applyFont="1" applyBorder="1" applyAlignment="1">
      <alignment horizontal="center" vertical="center"/>
    </xf>
    <xf numFmtId="0" fontId="20" fillId="0" borderId="15" xfId="0" applyFont="1" applyBorder="1" applyAlignment="1">
      <alignment horizontal="center" vertical="center"/>
    </xf>
    <xf numFmtId="0" fontId="21" fillId="0" borderId="0" xfId="0" applyFont="1"/>
    <xf numFmtId="0" fontId="19" fillId="0" borderId="0" xfId="0" applyFont="1" applyFill="1" applyBorder="1" applyAlignment="1">
      <alignment horizontal="center" vertical="center" wrapText="1"/>
    </xf>
    <xf numFmtId="0" fontId="19" fillId="0" borderId="0" xfId="0" applyFont="1" applyFill="1" applyBorder="1" applyAlignment="1">
      <alignment horizontal="justify" vertical="center" wrapText="1"/>
    </xf>
    <xf numFmtId="0" fontId="19" fillId="0" borderId="0" xfId="0" applyFont="1" applyFill="1" applyBorder="1" applyAlignment="1">
      <alignment horizontal="center" vertical="center"/>
    </xf>
    <xf numFmtId="0" fontId="1" fillId="0" borderId="0" xfId="0" applyFont="1" applyFill="1" applyBorder="1"/>
    <xf numFmtId="0" fontId="19" fillId="0" borderId="15" xfId="0" applyFont="1" applyFill="1" applyBorder="1" applyAlignment="1">
      <alignment horizontal="center" vertical="center"/>
    </xf>
    <xf numFmtId="0" fontId="10" fillId="2" borderId="15" xfId="0" applyFont="1" applyFill="1" applyBorder="1" applyAlignment="1">
      <alignment horizontal="center" vertical="center"/>
    </xf>
    <xf numFmtId="0" fontId="10" fillId="2" borderId="15" xfId="0" applyFont="1" applyFill="1" applyBorder="1" applyAlignment="1">
      <alignment horizontal="center" vertical="center"/>
    </xf>
    <xf numFmtId="0" fontId="17" fillId="0" borderId="0" xfId="0" applyFont="1" applyBorder="1" applyAlignment="1">
      <alignment horizontal="right" vertical="center" wrapText="1"/>
    </xf>
    <xf numFmtId="0" fontId="0" fillId="0" borderId="0" xfId="0" applyBorder="1"/>
    <xf numFmtId="0" fontId="10" fillId="2" borderId="0" xfId="0" applyFont="1" applyFill="1" applyBorder="1" applyAlignment="1">
      <alignment vertical="center" wrapText="1"/>
    </xf>
    <xf numFmtId="0" fontId="18" fillId="2" borderId="0" xfId="0" applyFont="1" applyFill="1" applyBorder="1"/>
    <xf numFmtId="0" fontId="1" fillId="0" borderId="0" xfId="0" applyFont="1" applyBorder="1"/>
    <xf numFmtId="0" fontId="10" fillId="2" borderId="14" xfId="0" applyFont="1" applyFill="1" applyBorder="1" applyAlignment="1">
      <alignment horizontal="center" vertical="center"/>
    </xf>
    <xf numFmtId="0" fontId="19" fillId="0" borderId="14" xfId="0" applyFont="1" applyBorder="1" applyAlignment="1">
      <alignment horizontal="center" vertical="center" wrapText="1"/>
    </xf>
    <xf numFmtId="0" fontId="20" fillId="0" borderId="14" xfId="0" applyFont="1" applyBorder="1" applyAlignment="1">
      <alignment horizontal="center" vertical="center" wrapText="1"/>
    </xf>
    <xf numFmtId="0" fontId="19" fillId="0" borderId="17" xfId="0" applyFont="1" applyBorder="1" applyAlignment="1">
      <alignment horizontal="center" vertical="center" wrapText="1"/>
    </xf>
    <xf numFmtId="0" fontId="19" fillId="0" borderId="18" xfId="0" applyFont="1" applyBorder="1" applyAlignment="1">
      <alignment horizontal="center" vertical="center"/>
    </xf>
    <xf numFmtId="0" fontId="19" fillId="0" borderId="18" xfId="0" applyFont="1" applyBorder="1" applyAlignment="1">
      <alignment horizontal="center" vertical="center"/>
    </xf>
    <xf numFmtId="0" fontId="1" fillId="0" borderId="0" xfId="0" applyFont="1" applyAlignment="1">
      <alignment horizontal="center"/>
    </xf>
    <xf numFmtId="0" fontId="0" fillId="0" borderId="0" xfId="0" applyAlignment="1">
      <alignment horizontal="center"/>
    </xf>
    <xf numFmtId="0" fontId="17" fillId="0" borderId="0" xfId="0" applyFont="1" applyAlignment="1">
      <alignment horizontal="center" vertical="center" wrapText="1"/>
    </xf>
    <xf numFmtId="0" fontId="19" fillId="0" borderId="14" xfId="0" applyFont="1" applyFill="1" applyBorder="1" applyAlignment="1">
      <alignment horizontal="center" vertical="center" wrapText="1"/>
    </xf>
    <xf numFmtId="0" fontId="19" fillId="0" borderId="17" xfId="0" applyFont="1" applyFill="1" applyBorder="1" applyAlignment="1">
      <alignment horizontal="center" vertical="center" wrapText="1"/>
    </xf>
    <xf numFmtId="0" fontId="19" fillId="0" borderId="18" xfId="0" applyFont="1" applyFill="1" applyBorder="1" applyAlignment="1">
      <alignment horizontal="center" vertical="center"/>
    </xf>
    <xf numFmtId="0" fontId="1" fillId="2" borderId="0" xfId="0" applyFont="1" applyFill="1"/>
    <xf numFmtId="0" fontId="11" fillId="2" borderId="14" xfId="0" applyFont="1" applyFill="1" applyBorder="1" applyAlignment="1">
      <alignment horizontal="center"/>
    </xf>
    <xf numFmtId="0" fontId="11" fillId="2" borderId="15" xfId="0" applyFont="1" applyFill="1" applyBorder="1" applyAlignment="1">
      <alignment horizontal="center"/>
    </xf>
    <xf numFmtId="0" fontId="11" fillId="2" borderId="12" xfId="0" applyFont="1" applyFill="1" applyBorder="1" applyAlignment="1">
      <alignment vertical="center" wrapText="1"/>
    </xf>
    <xf numFmtId="0" fontId="11" fillId="2" borderId="0" xfId="0" applyFont="1" applyFill="1" applyBorder="1" applyAlignment="1">
      <alignment vertical="center" wrapText="1"/>
    </xf>
    <xf numFmtId="0" fontId="1" fillId="2" borderId="12" xfId="0" applyFont="1" applyFill="1" applyBorder="1"/>
    <xf numFmtId="0" fontId="1" fillId="2" borderId="0" xfId="0" applyFont="1" applyFill="1" applyBorder="1"/>
    <xf numFmtId="0" fontId="1" fillId="0" borderId="12" xfId="0" applyFont="1" applyBorder="1"/>
    <xf numFmtId="0" fontId="0" fillId="0" borderId="4" xfId="0" applyBorder="1" applyAlignment="1"/>
    <xf numFmtId="0" fontId="0" fillId="0" borderId="5" xfId="0" applyBorder="1" applyAlignment="1"/>
    <xf numFmtId="0" fontId="0" fillId="0" borderId="6" xfId="0" applyBorder="1" applyAlignment="1"/>
    <xf numFmtId="0" fontId="0" fillId="0" borderId="12" xfId="0" applyBorder="1" applyAlignment="1"/>
    <xf numFmtId="0" fontId="22" fillId="0" borderId="1" xfId="0" applyFont="1" applyBorder="1" applyAlignment="1">
      <alignment horizontal="left" vertical="center" wrapText="1"/>
    </xf>
    <xf numFmtId="0" fontId="0" fillId="0" borderId="9" xfId="0" applyBorder="1" applyAlignment="1">
      <alignment horizontal="center"/>
    </xf>
    <xf numFmtId="0" fontId="19" fillId="0" borderId="0" xfId="0" applyFont="1" applyBorder="1" applyAlignment="1">
      <alignment horizontal="center" vertical="center" wrapText="1"/>
    </xf>
    <xf numFmtId="0" fontId="19" fillId="0" borderId="0" xfId="0" applyNumberFormat="1" applyFont="1" applyFill="1" applyBorder="1" applyAlignment="1">
      <alignment horizontal="justify" vertical="center" wrapText="1"/>
    </xf>
    <xf numFmtId="0" fontId="19" fillId="0" borderId="0" xfId="0" applyFont="1" applyBorder="1" applyAlignment="1">
      <alignment horizontal="center" vertical="center"/>
    </xf>
    <xf numFmtId="0" fontId="17" fillId="0" borderId="0" xfId="0" applyFont="1" applyAlignment="1">
      <alignment horizontal="right" vertical="center" wrapText="1"/>
    </xf>
    <xf numFmtId="0" fontId="19" fillId="0" borderId="18" xfId="0" applyFont="1" applyBorder="1" applyAlignment="1">
      <alignment horizontal="center" vertical="center"/>
    </xf>
    <xf numFmtId="0" fontId="11" fillId="2" borderId="15" xfId="0" applyFont="1" applyFill="1" applyBorder="1" applyAlignment="1">
      <alignment horizontal="center"/>
    </xf>
    <xf numFmtId="0" fontId="19" fillId="0" borderId="15" xfId="0" applyFont="1" applyBorder="1" applyAlignment="1">
      <alignment horizontal="center" vertical="center"/>
    </xf>
    <xf numFmtId="0" fontId="10" fillId="2" borderId="15" xfId="0" applyFont="1" applyFill="1" applyBorder="1" applyAlignment="1">
      <alignment horizontal="center" vertical="center"/>
    </xf>
    <xf numFmtId="0" fontId="1" fillId="0" borderId="3" xfId="0" applyFont="1" applyFill="1" applyBorder="1" applyAlignment="1">
      <alignment horizontal="center" vertical="center" wrapText="1"/>
    </xf>
    <xf numFmtId="164" fontId="1" fillId="0" borderId="3" xfId="0" applyNumberFormat="1" applyFont="1" applyFill="1" applyBorder="1" applyAlignment="1">
      <alignment horizontal="center"/>
    </xf>
    <xf numFmtId="2" fontId="1" fillId="0" borderId="3" xfId="0" applyNumberFormat="1" applyFont="1" applyFill="1" applyBorder="1" applyAlignment="1">
      <alignment horizontal="center"/>
    </xf>
    <xf numFmtId="0" fontId="3" fillId="0" borderId="3" xfId="0" applyFont="1" applyFill="1" applyBorder="1" applyAlignment="1">
      <alignment horizontal="center" vertical="center" wrapText="1"/>
    </xf>
    <xf numFmtId="0" fontId="9" fillId="9" borderId="15" xfId="0" applyFont="1" applyFill="1" applyBorder="1" applyAlignment="1">
      <alignment horizontal="center" vertical="center"/>
    </xf>
    <xf numFmtId="0" fontId="9" fillId="9" borderId="18" xfId="0" applyFont="1" applyFill="1" applyBorder="1" applyAlignment="1">
      <alignment horizontal="center" vertical="center"/>
    </xf>
    <xf numFmtId="0" fontId="9" fillId="12" borderId="20" xfId="0" applyFont="1" applyFill="1" applyBorder="1" applyAlignment="1">
      <alignment horizontal="center" vertical="center"/>
    </xf>
    <xf numFmtId="0" fontId="9" fillId="12" borderId="15" xfId="0" applyFont="1" applyFill="1" applyBorder="1" applyAlignment="1">
      <alignment horizontal="center" vertical="center"/>
    </xf>
    <xf numFmtId="0" fontId="9" fillId="12" borderId="18" xfId="0" applyFont="1" applyFill="1" applyBorder="1" applyAlignment="1">
      <alignment horizontal="center" vertical="center"/>
    </xf>
    <xf numFmtId="2" fontId="6" fillId="9" borderId="21" xfId="0" applyNumberFormat="1" applyFont="1" applyFill="1" applyBorder="1" applyAlignment="1">
      <alignment horizontal="center" vertical="center"/>
    </xf>
    <xf numFmtId="2" fontId="6" fillId="6" borderId="21" xfId="0" applyNumberFormat="1" applyFont="1" applyFill="1" applyBorder="1" applyAlignment="1">
      <alignment horizontal="center" vertical="center"/>
    </xf>
    <xf numFmtId="2" fontId="6" fillId="10" borderId="21" xfId="0" applyNumberFormat="1" applyFont="1" applyFill="1" applyBorder="1" applyAlignment="1">
      <alignment horizontal="center" vertical="center"/>
    </xf>
    <xf numFmtId="0" fontId="0" fillId="11" borderId="21" xfId="0" applyFill="1" applyBorder="1" applyAlignment="1">
      <alignment horizontal="center" vertical="center"/>
    </xf>
    <xf numFmtId="0" fontId="4" fillId="11" borderId="21" xfId="0" applyFont="1" applyFill="1" applyBorder="1" applyAlignment="1">
      <alignment horizontal="center" vertical="center"/>
    </xf>
    <xf numFmtId="167" fontId="0" fillId="5" borderId="21" xfId="0" applyNumberFormat="1" applyFill="1" applyBorder="1" applyAlignment="1">
      <alignment horizontal="center" vertical="center"/>
    </xf>
    <xf numFmtId="164" fontId="0" fillId="5" borderId="21" xfId="0" applyNumberFormat="1" applyFill="1" applyBorder="1" applyAlignment="1">
      <alignment horizontal="center" vertical="center"/>
    </xf>
    <xf numFmtId="164" fontId="0" fillId="0" borderId="21" xfId="0" applyNumberFormat="1" applyBorder="1" applyAlignment="1">
      <alignment horizontal="center"/>
    </xf>
    <xf numFmtId="167" fontId="0" fillId="4" borderId="21" xfId="0" applyNumberFormat="1" applyFill="1" applyBorder="1" applyAlignment="1">
      <alignment horizontal="center" vertical="center"/>
    </xf>
    <xf numFmtId="164" fontId="0" fillId="4" borderId="21" xfId="0" applyNumberFormat="1" applyFill="1" applyBorder="1" applyAlignment="1">
      <alignment horizontal="center"/>
    </xf>
    <xf numFmtId="2" fontId="3" fillId="6" borderId="21" xfId="0" applyNumberFormat="1" applyFont="1" applyFill="1" applyBorder="1" applyAlignment="1">
      <alignment horizontal="center" vertical="center"/>
    </xf>
    <xf numFmtId="2" fontId="0" fillId="6" borderId="21" xfId="0" applyNumberFormat="1" applyFill="1" applyBorder="1" applyAlignment="1">
      <alignment horizontal="center"/>
    </xf>
    <xf numFmtId="164" fontId="0" fillId="6" borderId="21" xfId="0" applyNumberFormat="1" applyFill="1" applyBorder="1" applyAlignment="1">
      <alignment horizontal="center"/>
    </xf>
    <xf numFmtId="166" fontId="0" fillId="6" borderId="21" xfId="0" applyNumberFormat="1" applyFill="1" applyBorder="1" applyAlignment="1">
      <alignment horizontal="center" vertical="center"/>
    </xf>
    <xf numFmtId="167" fontId="0" fillId="5" borderId="26" xfId="0" applyNumberFormat="1" applyFill="1" applyBorder="1" applyAlignment="1">
      <alignment horizontal="center" vertical="center"/>
    </xf>
    <xf numFmtId="164" fontId="0" fillId="5" borderId="26" xfId="0" applyNumberFormat="1" applyFill="1" applyBorder="1" applyAlignment="1">
      <alignment horizontal="center"/>
    </xf>
    <xf numFmtId="164" fontId="0" fillId="5" borderId="26" xfId="0" applyNumberFormat="1" applyFill="1" applyBorder="1" applyAlignment="1">
      <alignment horizontal="center" vertical="center"/>
    </xf>
    <xf numFmtId="164" fontId="0" fillId="0" borderId="26" xfId="0" applyNumberFormat="1" applyBorder="1" applyAlignment="1">
      <alignment horizontal="center"/>
    </xf>
    <xf numFmtId="167" fontId="0" fillId="4" borderId="26" xfId="0" applyNumberFormat="1" applyFill="1" applyBorder="1" applyAlignment="1">
      <alignment horizontal="center" vertical="center"/>
    </xf>
    <xf numFmtId="164" fontId="0" fillId="4" borderId="26" xfId="0" applyNumberFormat="1" applyFill="1" applyBorder="1" applyAlignment="1">
      <alignment horizontal="center"/>
    </xf>
    <xf numFmtId="2" fontId="12" fillId="2" borderId="20" xfId="0" applyNumberFormat="1" applyFont="1" applyFill="1" applyBorder="1" applyAlignment="1">
      <alignment horizontal="center" vertical="center"/>
    </xf>
    <xf numFmtId="2" fontId="12" fillId="2" borderId="21" xfId="0" applyNumberFormat="1" applyFont="1" applyFill="1" applyBorder="1" applyAlignment="1">
      <alignment horizontal="center" vertical="center"/>
    </xf>
    <xf numFmtId="10" fontId="12" fillId="2" borderId="21" xfId="0" applyNumberFormat="1" applyFont="1" applyFill="1" applyBorder="1" applyAlignment="1">
      <alignment horizontal="center" vertical="center"/>
    </xf>
    <xf numFmtId="2" fontId="12" fillId="2" borderId="15" xfId="0" applyNumberFormat="1" applyFont="1" applyFill="1" applyBorder="1" applyAlignment="1">
      <alignment horizontal="center" vertical="center"/>
    </xf>
    <xf numFmtId="10" fontId="12" fillId="2" borderId="15" xfId="0" applyNumberFormat="1" applyFont="1" applyFill="1" applyBorder="1" applyAlignment="1">
      <alignment horizontal="center" vertical="center"/>
    </xf>
    <xf numFmtId="0" fontId="12" fillId="2" borderId="15" xfId="0" applyFont="1" applyFill="1" applyBorder="1" applyAlignment="1">
      <alignment horizontal="center" vertical="center"/>
    </xf>
    <xf numFmtId="0" fontId="23" fillId="2" borderId="15" xfId="0" applyFont="1" applyFill="1" applyBorder="1" applyAlignment="1">
      <alignment horizontal="center" vertical="center"/>
    </xf>
    <xf numFmtId="0" fontId="24" fillId="2" borderId="15" xfId="0" applyFont="1" applyFill="1" applyBorder="1" applyAlignment="1">
      <alignment horizontal="center" vertical="center"/>
    </xf>
    <xf numFmtId="0" fontId="25" fillId="2" borderId="15" xfId="0" applyFont="1" applyFill="1" applyBorder="1" applyAlignment="1">
      <alignment horizontal="center" vertical="center"/>
    </xf>
    <xf numFmtId="0" fontId="25" fillId="2" borderId="26" xfId="0" applyFont="1" applyFill="1" applyBorder="1" applyAlignment="1">
      <alignment horizontal="center" vertical="center"/>
    </xf>
    <xf numFmtId="0" fontId="24" fillId="2" borderId="18" xfId="0" applyFont="1" applyFill="1" applyBorder="1" applyAlignment="1">
      <alignment horizontal="center" vertical="center"/>
    </xf>
    <xf numFmtId="0" fontId="25" fillId="2" borderId="20" xfId="0" applyFont="1" applyFill="1" applyBorder="1" applyAlignment="1">
      <alignment horizontal="center" vertical="center"/>
    </xf>
    <xf numFmtId="0" fontId="25" fillId="2" borderId="15" xfId="0" applyFont="1" applyFill="1" applyBorder="1" applyAlignment="1">
      <alignment horizontal="center" vertical="center"/>
    </xf>
    <xf numFmtId="10" fontId="24" fillId="2" borderId="20" xfId="0" applyNumberFormat="1" applyFont="1" applyFill="1" applyBorder="1" applyAlignment="1">
      <alignment horizontal="center" vertical="center"/>
    </xf>
    <xf numFmtId="10" fontId="24" fillId="2" borderId="15" xfId="0" applyNumberFormat="1" applyFont="1" applyFill="1" applyBorder="1" applyAlignment="1">
      <alignment horizontal="center" vertical="center"/>
    </xf>
    <xf numFmtId="0" fontId="9" fillId="12" borderId="20" xfId="0" applyFont="1" applyFill="1" applyBorder="1" applyAlignment="1">
      <alignment horizontal="center" vertical="center"/>
    </xf>
    <xf numFmtId="0" fontId="9" fillId="12" borderId="15" xfId="0" applyFont="1" applyFill="1" applyBorder="1" applyAlignment="1">
      <alignment horizontal="center" vertical="center"/>
    </xf>
    <xf numFmtId="0" fontId="9" fillId="12" borderId="18" xfId="0" applyFont="1" applyFill="1" applyBorder="1" applyAlignment="1">
      <alignment horizontal="center" vertical="center"/>
    </xf>
    <xf numFmtId="0" fontId="9" fillId="9" borderId="15" xfId="0" applyFont="1" applyFill="1" applyBorder="1" applyAlignment="1">
      <alignment horizontal="center" vertical="center"/>
    </xf>
    <xf numFmtId="0" fontId="9" fillId="9" borderId="18" xfId="0" applyFont="1" applyFill="1" applyBorder="1" applyAlignment="1">
      <alignment horizontal="center" vertical="center"/>
    </xf>
    <xf numFmtId="0" fontId="17" fillId="0" borderId="0" xfId="0" applyFont="1" applyAlignment="1">
      <alignment horizontal="right" vertical="center" wrapText="1"/>
    </xf>
    <xf numFmtId="0" fontId="19" fillId="0" borderId="15" xfId="0" applyFont="1" applyBorder="1" applyAlignment="1">
      <alignment horizontal="center" vertical="center"/>
    </xf>
    <xf numFmtId="0" fontId="10" fillId="2" borderId="15" xfId="0" applyFont="1" applyFill="1" applyBorder="1" applyAlignment="1">
      <alignment horizontal="center" vertical="center"/>
    </xf>
    <xf numFmtId="0" fontId="19" fillId="0" borderId="18" xfId="0" applyFont="1" applyBorder="1" applyAlignment="1">
      <alignment horizontal="center" vertical="center"/>
    </xf>
    <xf numFmtId="0" fontId="11" fillId="2" borderId="15" xfId="0" applyFont="1" applyFill="1" applyBorder="1" applyAlignment="1">
      <alignment horizontal="center"/>
    </xf>
    <xf numFmtId="0" fontId="3" fillId="6" borderId="21" xfId="0" applyNumberFormat="1" applyFont="1" applyFill="1" applyBorder="1" applyAlignment="1" applyProtection="1">
      <alignment horizontal="center" vertical="center" wrapText="1"/>
    </xf>
    <xf numFmtId="0" fontId="14" fillId="9" borderId="26" xfId="0" applyFont="1" applyFill="1" applyBorder="1" applyAlignment="1">
      <alignment horizontal="center" vertical="center"/>
    </xf>
    <xf numFmtId="0" fontId="14" fillId="12" borderId="26" xfId="0" applyFont="1" applyFill="1" applyBorder="1" applyAlignment="1">
      <alignment horizontal="center" vertical="center"/>
    </xf>
    <xf numFmtId="0" fontId="5" fillId="11" borderId="26" xfId="0" applyFont="1" applyFill="1" applyBorder="1" applyAlignment="1">
      <alignment horizontal="center" vertical="center"/>
    </xf>
    <xf numFmtId="0" fontId="14" fillId="11" borderId="26" xfId="0" applyFont="1" applyFill="1" applyBorder="1" applyAlignment="1">
      <alignment horizontal="center" vertical="center"/>
    </xf>
    <xf numFmtId="167" fontId="5" fillId="5" borderId="26" xfId="0" applyNumberFormat="1" applyFont="1" applyFill="1" applyBorder="1" applyAlignment="1">
      <alignment horizontal="center" vertical="center"/>
    </xf>
    <xf numFmtId="164" fontId="5" fillId="5" borderId="26" xfId="0" applyNumberFormat="1" applyFont="1" applyFill="1" applyBorder="1" applyAlignment="1">
      <alignment horizontal="center"/>
    </xf>
    <xf numFmtId="164" fontId="5" fillId="0" borderId="26" xfId="0" applyNumberFormat="1" applyFont="1" applyBorder="1" applyAlignment="1">
      <alignment horizontal="center"/>
    </xf>
    <xf numFmtId="167" fontId="5" fillId="4" borderId="26" xfId="0" applyNumberFormat="1" applyFont="1" applyFill="1" applyBorder="1" applyAlignment="1">
      <alignment horizontal="center" vertical="center"/>
    </xf>
    <xf numFmtId="164" fontId="5" fillId="4" borderId="26" xfId="0" applyNumberFormat="1" applyFont="1" applyFill="1" applyBorder="1" applyAlignment="1">
      <alignment horizontal="center"/>
    </xf>
    <xf numFmtId="2" fontId="15" fillId="6" borderId="26" xfId="0" applyNumberFormat="1" applyFont="1" applyFill="1" applyBorder="1" applyAlignment="1">
      <alignment horizontal="center" vertical="center"/>
    </xf>
    <xf numFmtId="2" fontId="5" fillId="6" borderId="26" xfId="0" applyNumberFormat="1" applyFont="1" applyFill="1" applyBorder="1" applyAlignment="1">
      <alignment horizontal="center"/>
    </xf>
    <xf numFmtId="164" fontId="5" fillId="6" borderId="26" xfId="0" applyNumberFormat="1" applyFont="1" applyFill="1" applyBorder="1" applyAlignment="1">
      <alignment horizontal="center"/>
    </xf>
    <xf numFmtId="166" fontId="5" fillId="6" borderId="26" xfId="0" applyNumberFormat="1" applyFont="1" applyFill="1" applyBorder="1" applyAlignment="1">
      <alignment horizontal="center" vertical="center"/>
    </xf>
    <xf numFmtId="0" fontId="15" fillId="6" borderId="26" xfId="0" applyNumberFormat="1" applyFont="1" applyFill="1" applyBorder="1" applyAlignment="1" applyProtection="1">
      <alignment horizontal="center" vertical="center" wrapText="1"/>
    </xf>
    <xf numFmtId="0" fontId="5" fillId="0" borderId="26" xfId="0" applyFont="1" applyBorder="1" applyAlignment="1">
      <alignment horizontal="center"/>
    </xf>
    <xf numFmtId="0" fontId="0" fillId="0" borderId="21" xfId="0" applyBorder="1"/>
    <xf numFmtId="0" fontId="9" fillId="9" borderId="21" xfId="0" applyFont="1" applyFill="1" applyBorder="1" applyAlignment="1">
      <alignment horizontal="center" vertical="center"/>
    </xf>
    <xf numFmtId="0" fontId="9" fillId="7" borderId="21" xfId="0" applyFont="1" applyFill="1" applyBorder="1" applyAlignment="1">
      <alignment horizontal="center" vertical="center"/>
    </xf>
    <xf numFmtId="0" fontId="9" fillId="12" borderId="21" xfId="0" applyFont="1" applyFill="1" applyBorder="1" applyAlignment="1">
      <alignment horizontal="center" vertical="center"/>
    </xf>
    <xf numFmtId="164" fontId="0" fillId="5" borderId="21" xfId="0" applyNumberFormat="1" applyFont="1" applyFill="1" applyBorder="1" applyAlignment="1">
      <alignment horizontal="center"/>
    </xf>
    <xf numFmtId="164" fontId="0" fillId="4" borderId="21" xfId="0" applyNumberFormat="1" applyFont="1" applyFill="1" applyBorder="1" applyAlignment="1">
      <alignment horizontal="center"/>
    </xf>
    <xf numFmtId="164" fontId="0" fillId="6" borderId="21" xfId="0" applyNumberFormat="1" applyFont="1" applyFill="1" applyBorder="1" applyAlignment="1">
      <alignment horizontal="center"/>
    </xf>
    <xf numFmtId="0" fontId="24" fillId="2" borderId="20" xfId="0" applyFont="1" applyFill="1" applyBorder="1" applyAlignment="1">
      <alignment horizontal="center" vertical="center"/>
    </xf>
    <xf numFmtId="0" fontId="24" fillId="2" borderId="20" xfId="0" applyFont="1" applyFill="1" applyBorder="1" applyAlignment="1">
      <alignment horizontal="center" vertical="center"/>
    </xf>
    <xf numFmtId="0" fontId="24" fillId="2" borderId="15" xfId="0" applyFont="1" applyFill="1" applyBorder="1" applyAlignment="1">
      <alignment horizontal="center" vertical="center"/>
    </xf>
    <xf numFmtId="0" fontId="24" fillId="2" borderId="18" xfId="0" applyFont="1" applyFill="1" applyBorder="1" applyAlignment="1">
      <alignment horizontal="center" vertical="center"/>
    </xf>
    <xf numFmtId="0" fontId="0" fillId="0" borderId="18" xfId="0" applyBorder="1"/>
    <xf numFmtId="0" fontId="9" fillId="9" borderId="15" xfId="0" applyFont="1" applyFill="1" applyBorder="1" applyAlignment="1">
      <alignment horizontal="center" vertical="center"/>
    </xf>
    <xf numFmtId="0" fontId="9" fillId="12" borderId="15" xfId="0" applyFont="1" applyFill="1" applyBorder="1" applyAlignment="1">
      <alignment horizontal="center" vertical="center"/>
    </xf>
    <xf numFmtId="0" fontId="24" fillId="2" borderId="21" xfId="0" applyFont="1" applyFill="1" applyBorder="1" applyAlignment="1">
      <alignment horizontal="center" vertical="center"/>
    </xf>
    <xf numFmtId="164" fontId="0" fillId="5" borderId="21" xfId="0" applyNumberFormat="1" applyFill="1" applyBorder="1" applyAlignment="1">
      <alignment horizontal="center"/>
    </xf>
    <xf numFmtId="166" fontId="0" fillId="0" borderId="21" xfId="0" applyNumberFormat="1" applyBorder="1" applyAlignment="1">
      <alignment horizontal="center"/>
    </xf>
    <xf numFmtId="1" fontId="9" fillId="9" borderId="20" xfId="0" applyNumberFormat="1" applyFont="1" applyFill="1" applyBorder="1" applyAlignment="1">
      <alignment horizontal="center" vertical="center"/>
    </xf>
    <xf numFmtId="1" fontId="9" fillId="9" borderId="21" xfId="0" applyNumberFormat="1" applyFont="1" applyFill="1" applyBorder="1" applyAlignment="1">
      <alignment horizontal="center" vertical="center"/>
    </xf>
    <xf numFmtId="1" fontId="0" fillId="6" borderId="21" xfId="0" applyNumberFormat="1" applyFill="1" applyBorder="1" applyAlignment="1">
      <alignment horizontal="center" vertical="center"/>
    </xf>
    <xf numFmtId="0" fontId="6" fillId="0" borderId="11" xfId="0" applyFont="1" applyBorder="1" applyAlignment="1">
      <alignment horizontal="center" vertical="center" wrapText="1"/>
    </xf>
    <xf numFmtId="0" fontId="6" fillId="0" borderId="6" xfId="0" applyFont="1" applyBorder="1" applyAlignment="1">
      <alignment horizontal="center" vertical="center" wrapText="1"/>
    </xf>
    <xf numFmtId="0" fontId="0" fillId="0" borderId="9" xfId="0" applyBorder="1"/>
    <xf numFmtId="0" fontId="19" fillId="2" borderId="0" xfId="0" applyFont="1" applyFill="1" applyBorder="1" applyAlignment="1">
      <alignment horizontal="left" vertical="center"/>
    </xf>
    <xf numFmtId="0" fontId="9" fillId="12" borderId="15" xfId="0" applyFont="1" applyFill="1" applyBorder="1" applyAlignment="1">
      <alignment horizontal="center" vertical="center"/>
    </xf>
    <xf numFmtId="0" fontId="9" fillId="9" borderId="15" xfId="0" applyFont="1" applyFill="1" applyBorder="1" applyAlignment="1">
      <alignment horizontal="center" vertical="center"/>
    </xf>
    <xf numFmtId="2" fontId="0" fillId="5" borderId="15" xfId="0" applyNumberFormat="1" applyFont="1" applyFill="1" applyBorder="1" applyAlignment="1">
      <alignment horizontal="center"/>
    </xf>
    <xf numFmtId="1" fontId="1" fillId="0" borderId="3" xfId="0" applyNumberFormat="1" applyFont="1" applyBorder="1" applyAlignment="1">
      <alignment horizontal="center" vertical="center" wrapText="1"/>
    </xf>
    <xf numFmtId="0" fontId="9" fillId="9" borderId="15" xfId="0" applyFont="1" applyFill="1" applyBorder="1" applyAlignment="1">
      <alignment horizontal="center" vertical="center"/>
    </xf>
    <xf numFmtId="0" fontId="9" fillId="9" borderId="32" xfId="0" applyFont="1" applyFill="1" applyBorder="1" applyAlignment="1">
      <alignment horizontal="center" vertical="center"/>
    </xf>
    <xf numFmtId="0" fontId="9" fillId="12" borderId="32" xfId="0" applyFont="1" applyFill="1" applyBorder="1" applyAlignment="1">
      <alignment horizontal="center" vertical="center"/>
    </xf>
    <xf numFmtId="0" fontId="0" fillId="11" borderId="32" xfId="0" applyFill="1" applyBorder="1" applyAlignment="1">
      <alignment horizontal="center" vertical="center"/>
    </xf>
    <xf numFmtId="0" fontId="4" fillId="11" borderId="32" xfId="0" applyFont="1" applyFill="1" applyBorder="1" applyAlignment="1">
      <alignment horizontal="center" vertical="center"/>
    </xf>
    <xf numFmtId="167" fontId="0" fillId="5" borderId="32" xfId="0" applyNumberFormat="1" applyFill="1" applyBorder="1" applyAlignment="1">
      <alignment horizontal="center" vertical="center"/>
    </xf>
    <xf numFmtId="0" fontId="0" fillId="5" borderId="32" xfId="0" applyFill="1" applyBorder="1" applyAlignment="1">
      <alignment horizontal="center" vertical="center"/>
    </xf>
    <xf numFmtId="164" fontId="0" fillId="5" borderId="32" xfId="0" applyNumberFormat="1" applyFill="1" applyBorder="1" applyAlignment="1">
      <alignment horizontal="center"/>
    </xf>
    <xf numFmtId="164" fontId="0" fillId="0" borderId="32" xfId="0" applyNumberFormat="1" applyBorder="1" applyAlignment="1">
      <alignment horizontal="center"/>
    </xf>
    <xf numFmtId="167" fontId="0" fillId="4" borderId="32" xfId="0" applyNumberFormat="1" applyFill="1" applyBorder="1" applyAlignment="1">
      <alignment horizontal="center" vertical="center"/>
    </xf>
    <xf numFmtId="164" fontId="0" fillId="4" borderId="32" xfId="0" applyNumberFormat="1" applyFill="1" applyBorder="1" applyAlignment="1">
      <alignment horizontal="center"/>
    </xf>
    <xf numFmtId="164" fontId="5" fillId="4" borderId="32" xfId="0" applyNumberFormat="1" applyFont="1" applyFill="1" applyBorder="1" applyAlignment="1">
      <alignment horizontal="center"/>
    </xf>
    <xf numFmtId="0" fontId="8" fillId="0" borderId="32" xfId="0" applyFont="1" applyBorder="1" applyAlignment="1">
      <alignment horizontal="center" vertical="center" wrapText="1"/>
    </xf>
    <xf numFmtId="1" fontId="6" fillId="8" borderId="32" xfId="0" applyNumberFormat="1" applyFont="1" applyFill="1" applyBorder="1" applyAlignment="1">
      <alignment horizontal="center" vertical="center" wrapText="1"/>
    </xf>
    <xf numFmtId="1" fontId="0" fillId="0" borderId="32" xfId="0" applyNumberFormat="1" applyBorder="1" applyAlignment="1">
      <alignment horizontal="center" vertical="center"/>
    </xf>
    <xf numFmtId="0" fontId="0" fillId="0" borderId="32" xfId="0" applyBorder="1" applyAlignment="1">
      <alignment horizontal="center"/>
    </xf>
    <xf numFmtId="166" fontId="6" fillId="0" borderId="41" xfId="0" applyNumberFormat="1" applyFont="1" applyBorder="1" applyAlignment="1">
      <alignment horizontal="center" vertical="center"/>
    </xf>
    <xf numFmtId="0" fontId="9" fillId="12" borderId="20" xfId="0" applyFont="1" applyFill="1" applyBorder="1" applyAlignment="1">
      <alignment horizontal="center" vertical="center"/>
    </xf>
    <xf numFmtId="0" fontId="9" fillId="12" borderId="15" xfId="0" applyFont="1" applyFill="1" applyBorder="1" applyAlignment="1">
      <alignment horizontal="center" vertical="center"/>
    </xf>
    <xf numFmtId="0" fontId="9" fillId="12" borderId="18" xfId="0" applyFont="1" applyFill="1" applyBorder="1" applyAlignment="1">
      <alignment horizontal="center" vertical="center"/>
    </xf>
    <xf numFmtId="0" fontId="9" fillId="9" borderId="20" xfId="0" applyFont="1" applyFill="1" applyBorder="1" applyAlignment="1">
      <alignment horizontal="center" vertical="center"/>
    </xf>
    <xf numFmtId="0" fontId="9" fillId="9" borderId="21" xfId="0" applyFont="1" applyFill="1" applyBorder="1" applyAlignment="1">
      <alignment horizontal="center" vertical="center"/>
    </xf>
    <xf numFmtId="0" fontId="9" fillId="9" borderId="15" xfId="0" applyFont="1" applyFill="1" applyBorder="1" applyAlignment="1">
      <alignment horizontal="center" vertical="center"/>
    </xf>
    <xf numFmtId="0" fontId="9" fillId="9" borderId="18" xfId="0" applyFont="1" applyFill="1" applyBorder="1" applyAlignment="1">
      <alignment horizontal="center" vertical="center"/>
    </xf>
    <xf numFmtId="0" fontId="9" fillId="12" borderId="21" xfId="0" applyFont="1" applyFill="1" applyBorder="1" applyAlignment="1">
      <alignment horizontal="center" vertical="center"/>
    </xf>
    <xf numFmtId="164" fontId="5" fillId="4" borderId="43" xfId="0" applyNumberFormat="1" applyFont="1" applyFill="1" applyBorder="1" applyAlignment="1">
      <alignment horizontal="center"/>
    </xf>
    <xf numFmtId="164" fontId="5" fillId="4" borderId="33" xfId="0" applyNumberFormat="1" applyFont="1" applyFill="1" applyBorder="1" applyAlignment="1">
      <alignment horizontal="center"/>
    </xf>
    <xf numFmtId="164" fontId="5" fillId="4" borderId="44" xfId="0" applyNumberFormat="1" applyFont="1" applyFill="1" applyBorder="1" applyAlignment="1">
      <alignment horizontal="center"/>
    </xf>
    <xf numFmtId="164" fontId="5" fillId="4" borderId="37" xfId="0" applyNumberFormat="1" applyFont="1" applyFill="1" applyBorder="1" applyAlignment="1">
      <alignment horizontal="center"/>
    </xf>
    <xf numFmtId="164" fontId="5" fillId="4" borderId="35" xfId="0" applyNumberFormat="1" applyFont="1" applyFill="1" applyBorder="1" applyAlignment="1">
      <alignment horizontal="center"/>
    </xf>
    <xf numFmtId="164" fontId="5" fillId="4" borderId="39" xfId="0" applyNumberFormat="1" applyFont="1" applyFill="1" applyBorder="1" applyAlignment="1">
      <alignment horizontal="center"/>
    </xf>
    <xf numFmtId="164" fontId="5" fillId="4" borderId="21" xfId="0" applyNumberFormat="1" applyFont="1" applyFill="1" applyBorder="1" applyAlignment="1">
      <alignment horizontal="center"/>
    </xf>
    <xf numFmtId="0" fontId="9" fillId="7" borderId="20" xfId="0" applyFont="1" applyFill="1" applyBorder="1" applyAlignment="1">
      <alignment horizontal="center" vertical="center"/>
    </xf>
    <xf numFmtId="164" fontId="0" fillId="5" borderId="20" xfId="0" applyNumberFormat="1" applyFont="1" applyFill="1" applyBorder="1" applyAlignment="1">
      <alignment horizontal="center"/>
    </xf>
    <xf numFmtId="164" fontId="0" fillId="0" borderId="20" xfId="0" applyNumberFormat="1" applyFont="1" applyBorder="1" applyAlignment="1">
      <alignment horizontal="center"/>
    </xf>
    <xf numFmtId="166" fontId="0" fillId="14" borderId="20" xfId="0" applyNumberFormat="1" applyFill="1" applyBorder="1" applyAlignment="1"/>
    <xf numFmtId="164" fontId="0" fillId="0" borderId="15" xfId="0" applyNumberFormat="1" applyFont="1" applyBorder="1" applyAlignment="1">
      <alignment horizontal="center"/>
    </xf>
    <xf numFmtId="0" fontId="0" fillId="14" borderId="15" xfId="0" applyFill="1" applyBorder="1" applyAlignment="1"/>
    <xf numFmtId="166" fontId="0" fillId="14" borderId="15" xfId="0" applyNumberFormat="1" applyFill="1" applyBorder="1" applyAlignment="1">
      <alignment horizontal="center"/>
    </xf>
    <xf numFmtId="0" fontId="9" fillId="7" borderId="18" xfId="0" quotePrefix="1" applyFont="1" applyFill="1" applyBorder="1" applyAlignment="1">
      <alignment horizontal="center" vertical="center"/>
    </xf>
    <xf numFmtId="164" fontId="0" fillId="0" borderId="18" xfId="0" applyNumberFormat="1" applyFont="1" applyBorder="1" applyAlignment="1">
      <alignment horizontal="center"/>
    </xf>
    <xf numFmtId="164" fontId="0" fillId="6" borderId="18" xfId="0" applyNumberFormat="1" applyFont="1" applyFill="1" applyBorder="1" applyAlignment="1">
      <alignment horizontal="center"/>
    </xf>
    <xf numFmtId="0" fontId="0" fillId="14" borderId="18" xfId="0" applyFill="1" applyBorder="1" applyAlignment="1"/>
    <xf numFmtId="164" fontId="0" fillId="0" borderId="21" xfId="0" applyNumberFormat="1" applyFont="1" applyBorder="1" applyAlignment="1">
      <alignment horizontal="center"/>
    </xf>
    <xf numFmtId="166" fontId="0" fillId="14" borderId="21" xfId="0" applyNumberFormat="1" applyFill="1" applyBorder="1" applyAlignment="1"/>
    <xf numFmtId="164" fontId="0" fillId="4" borderId="43" xfId="0" applyNumberFormat="1" applyFont="1" applyFill="1" applyBorder="1" applyAlignment="1">
      <alignment horizontal="center"/>
    </xf>
    <xf numFmtId="164" fontId="0" fillId="4" borderId="47" xfId="0" applyNumberFormat="1" applyFont="1" applyFill="1" applyBorder="1" applyAlignment="1">
      <alignment horizontal="center"/>
    </xf>
    <xf numFmtId="164" fontId="0" fillId="4" borderId="33" xfId="0" applyNumberFormat="1" applyFont="1" applyFill="1" applyBorder="1" applyAlignment="1">
      <alignment horizontal="center"/>
    </xf>
    <xf numFmtId="164" fontId="0" fillId="4" borderId="48" xfId="0" applyNumberFormat="1" applyFill="1" applyBorder="1" applyAlignment="1">
      <alignment horizontal="center"/>
    </xf>
    <xf numFmtId="1" fontId="0" fillId="0" borderId="21" xfId="0" applyNumberFormat="1" applyBorder="1" applyAlignment="1">
      <alignment horizontal="center" vertical="center"/>
    </xf>
    <xf numFmtId="1" fontId="0" fillId="0" borderId="15" xfId="0" applyNumberFormat="1" applyBorder="1" applyAlignment="1">
      <alignment horizontal="center" vertical="center"/>
    </xf>
    <xf numFmtId="166" fontId="6" fillId="0" borderId="46" xfId="0" applyNumberFormat="1" applyFont="1" applyBorder="1" applyAlignment="1">
      <alignment horizontal="center" vertical="center"/>
    </xf>
    <xf numFmtId="166" fontId="6" fillId="0" borderId="16" xfId="0" applyNumberFormat="1" applyFont="1" applyBorder="1" applyAlignment="1">
      <alignment horizontal="center" vertical="center"/>
    </xf>
    <xf numFmtId="0" fontId="8" fillId="0" borderId="23" xfId="0" applyFont="1" applyBorder="1" applyAlignment="1">
      <alignment horizontal="center" vertical="center" wrapText="1"/>
    </xf>
    <xf numFmtId="0" fontId="9" fillId="12" borderId="15" xfId="0" applyFont="1" applyFill="1" applyBorder="1" applyAlignment="1">
      <alignment horizontal="center" vertical="center"/>
    </xf>
    <xf numFmtId="0" fontId="9" fillId="12" borderId="23" xfId="0" applyFont="1" applyFill="1" applyBorder="1" applyAlignment="1">
      <alignment horizontal="center" vertical="center"/>
    </xf>
    <xf numFmtId="1" fontId="6" fillId="8" borderId="21" xfId="0" applyNumberFormat="1" applyFont="1" applyFill="1" applyBorder="1" applyAlignment="1">
      <alignment horizontal="center" vertical="center" wrapText="1"/>
    </xf>
    <xf numFmtId="1" fontId="6" fillId="8" borderId="15" xfId="0" applyNumberFormat="1" applyFont="1" applyFill="1" applyBorder="1" applyAlignment="1">
      <alignment horizontal="center" vertical="center" wrapText="1"/>
    </xf>
    <xf numFmtId="0" fontId="9" fillId="9" borderId="21" xfId="0" applyFont="1" applyFill="1" applyBorder="1" applyAlignment="1">
      <alignment horizontal="center" vertical="center"/>
    </xf>
    <xf numFmtId="0" fontId="9" fillId="9" borderId="15" xfId="0" applyFont="1" applyFill="1" applyBorder="1" applyAlignment="1">
      <alignment horizontal="center" vertical="center"/>
    </xf>
    <xf numFmtId="0" fontId="7" fillId="0" borderId="15" xfId="0" applyFont="1" applyBorder="1" applyAlignment="1">
      <alignment horizontal="center" vertical="center" wrapText="1"/>
    </xf>
    <xf numFmtId="166" fontId="6" fillId="0" borderId="28" xfId="0" applyNumberFormat="1" applyFont="1" applyBorder="1" applyAlignment="1">
      <alignment horizontal="center" vertical="center"/>
    </xf>
    <xf numFmtId="0" fontId="9" fillId="12" borderId="21" xfId="0" applyFont="1" applyFill="1" applyBorder="1" applyAlignment="1">
      <alignment horizontal="center" vertical="center"/>
    </xf>
    <xf numFmtId="0" fontId="5" fillId="2" borderId="23" xfId="0" applyFont="1" applyFill="1" applyBorder="1" applyAlignment="1">
      <alignment horizontal="center" vertical="center" wrapText="1"/>
    </xf>
    <xf numFmtId="0" fontId="17" fillId="0" borderId="0" xfId="0" applyFont="1" applyAlignment="1">
      <alignment horizontal="right" vertical="center" wrapText="1"/>
    </xf>
    <xf numFmtId="0" fontId="19" fillId="0" borderId="15" xfId="0" applyFont="1" applyBorder="1" applyAlignment="1">
      <alignment horizontal="center" vertical="center"/>
    </xf>
    <xf numFmtId="0" fontId="10" fillId="2" borderId="15" xfId="0" applyFont="1" applyFill="1" applyBorder="1" applyAlignment="1">
      <alignment horizontal="center" vertical="center"/>
    </xf>
    <xf numFmtId="0" fontId="19" fillId="0" borderId="18" xfId="0" applyFont="1" applyBorder="1" applyAlignment="1">
      <alignment horizontal="center" vertical="center"/>
    </xf>
    <xf numFmtId="0" fontId="11" fillId="2" borderId="15" xfId="0" applyFont="1" applyFill="1" applyBorder="1" applyAlignment="1">
      <alignment horizontal="center"/>
    </xf>
    <xf numFmtId="0" fontId="4" fillId="7" borderId="23" xfId="0" applyFont="1" applyFill="1" applyBorder="1" applyAlignment="1">
      <alignment horizontal="center" vertical="center"/>
    </xf>
    <xf numFmtId="0" fontId="4" fillId="12" borderId="23" xfId="0" applyFont="1" applyFill="1" applyBorder="1" applyAlignment="1">
      <alignment horizontal="center" vertical="center"/>
    </xf>
    <xf numFmtId="1" fontId="6" fillId="13" borderId="23" xfId="0" applyNumberFormat="1" applyFont="1" applyFill="1" applyBorder="1" applyAlignment="1">
      <alignment horizontal="center" vertical="center" wrapText="1"/>
    </xf>
    <xf numFmtId="1" fontId="0" fillId="0" borderId="23" xfId="0" applyNumberFormat="1" applyBorder="1" applyAlignment="1">
      <alignment horizontal="center" vertical="center"/>
    </xf>
    <xf numFmtId="0" fontId="0" fillId="14" borderId="23" xfId="0" applyFill="1" applyBorder="1" applyAlignment="1"/>
    <xf numFmtId="166" fontId="0" fillId="5" borderId="20" xfId="0" applyNumberFormat="1" applyFont="1" applyFill="1" applyBorder="1" applyAlignment="1">
      <alignment horizontal="center"/>
    </xf>
    <xf numFmtId="0" fontId="0" fillId="0" borderId="21" xfId="0" applyBorder="1" applyAlignment="1"/>
    <xf numFmtId="0" fontId="9" fillId="12" borderId="20" xfId="0" applyFont="1" applyFill="1" applyBorder="1" applyAlignment="1">
      <alignment horizontal="center" vertical="center"/>
    </xf>
    <xf numFmtId="0" fontId="9" fillId="12" borderId="15" xfId="0" applyFont="1" applyFill="1" applyBorder="1" applyAlignment="1">
      <alignment horizontal="center" vertical="center"/>
    </xf>
    <xf numFmtId="0" fontId="9" fillId="12" borderId="18" xfId="0" applyFont="1" applyFill="1" applyBorder="1" applyAlignment="1">
      <alignment horizontal="center" vertical="center"/>
    </xf>
    <xf numFmtId="0" fontId="9" fillId="9" borderId="20" xfId="0" applyFont="1" applyFill="1" applyBorder="1" applyAlignment="1">
      <alignment horizontal="center" vertical="center"/>
    </xf>
    <xf numFmtId="0" fontId="9" fillId="9" borderId="15" xfId="0" applyFont="1" applyFill="1" applyBorder="1" applyAlignment="1">
      <alignment horizontal="center" vertical="center"/>
    </xf>
    <xf numFmtId="0" fontId="9" fillId="9" borderId="18" xfId="0" applyFont="1" applyFill="1" applyBorder="1" applyAlignment="1">
      <alignment horizontal="center" vertical="center"/>
    </xf>
    <xf numFmtId="0" fontId="17" fillId="0" borderId="0" xfId="0" applyFont="1" applyAlignment="1">
      <alignment horizontal="right" vertical="center" wrapText="1"/>
    </xf>
    <xf numFmtId="0" fontId="19" fillId="0" borderId="15" xfId="0" applyFont="1" applyBorder="1" applyAlignment="1">
      <alignment horizontal="center" vertical="center"/>
    </xf>
    <xf numFmtId="0" fontId="10" fillId="2" borderId="15" xfId="0" applyFont="1" applyFill="1" applyBorder="1" applyAlignment="1">
      <alignment horizontal="center" vertical="center"/>
    </xf>
    <xf numFmtId="0" fontId="19" fillId="0" borderId="18" xfId="0" applyFont="1" applyBorder="1" applyAlignment="1">
      <alignment horizontal="center" vertical="center"/>
    </xf>
    <xf numFmtId="0" fontId="11" fillId="2" borderId="15" xfId="0" applyFont="1" applyFill="1" applyBorder="1" applyAlignment="1">
      <alignment horizontal="center"/>
    </xf>
    <xf numFmtId="0" fontId="9" fillId="9" borderId="26" xfId="0" applyFont="1" applyFill="1" applyBorder="1" applyAlignment="1">
      <alignment horizontal="center" vertical="center"/>
    </xf>
    <xf numFmtId="0" fontId="9" fillId="12" borderId="26" xfId="0" applyFont="1" applyFill="1" applyBorder="1" applyAlignment="1">
      <alignment horizontal="center" vertical="center"/>
    </xf>
    <xf numFmtId="0" fontId="0" fillId="11" borderId="26" xfId="0" applyFill="1" applyBorder="1" applyAlignment="1">
      <alignment horizontal="center" vertical="center"/>
    </xf>
    <xf numFmtId="164" fontId="0" fillId="4" borderId="26" xfId="0" applyNumberFormat="1" applyFont="1" applyFill="1" applyBorder="1" applyAlignment="1">
      <alignment horizontal="center"/>
    </xf>
    <xf numFmtId="1" fontId="0" fillId="0" borderId="26" xfId="0" applyNumberFormat="1" applyBorder="1" applyAlignment="1">
      <alignment horizontal="center" vertical="center"/>
    </xf>
    <xf numFmtId="166" fontId="0" fillId="0" borderId="26" xfId="0" applyNumberFormat="1" applyBorder="1" applyAlignment="1">
      <alignment horizontal="center" vertical="center"/>
    </xf>
    <xf numFmtId="166" fontId="6" fillId="0" borderId="52" xfId="0" applyNumberFormat="1" applyFont="1" applyBorder="1" applyAlignment="1">
      <alignment horizontal="center" vertical="center"/>
    </xf>
    <xf numFmtId="0" fontId="17" fillId="0" borderId="0" xfId="0" applyFont="1" applyAlignment="1">
      <alignment horizontal="right" vertical="center" wrapText="1"/>
    </xf>
    <xf numFmtId="0" fontId="6" fillId="0" borderId="20" xfId="0" applyFont="1" applyBorder="1" applyAlignment="1">
      <alignment horizontal="center" vertical="center"/>
    </xf>
    <xf numFmtId="0" fontId="6" fillId="0" borderId="15" xfId="0" applyFont="1" applyBorder="1" applyAlignment="1">
      <alignment horizontal="center" vertical="center"/>
    </xf>
    <xf numFmtId="0" fontId="8" fillId="0" borderId="20" xfId="0" applyFont="1" applyBorder="1" applyAlignment="1">
      <alignment horizontal="center" vertical="center" wrapText="1"/>
    </xf>
    <xf numFmtId="0" fontId="8" fillId="0" borderId="15" xfId="0" applyFont="1" applyBorder="1" applyAlignment="1">
      <alignment horizontal="center" vertical="center" wrapText="1"/>
    </xf>
    <xf numFmtId="0" fontId="8" fillId="0" borderId="18" xfId="0" applyFont="1" applyBorder="1" applyAlignment="1">
      <alignment horizontal="center" vertical="center" wrapText="1"/>
    </xf>
    <xf numFmtId="1" fontId="6" fillId="8" borderId="20" xfId="0" applyNumberFormat="1" applyFont="1" applyFill="1" applyBorder="1" applyAlignment="1">
      <alignment horizontal="center" vertical="center" wrapText="1"/>
    </xf>
    <xf numFmtId="1" fontId="6" fillId="8" borderId="15" xfId="0" applyNumberFormat="1" applyFont="1" applyFill="1" applyBorder="1" applyAlignment="1">
      <alignment horizontal="center" vertical="center" wrapText="1"/>
    </xf>
    <xf numFmtId="1" fontId="6" fillId="8" borderId="18" xfId="0" applyNumberFormat="1" applyFont="1" applyFill="1" applyBorder="1" applyAlignment="1">
      <alignment horizontal="center" vertical="center" wrapText="1"/>
    </xf>
    <xf numFmtId="0" fontId="6" fillId="0" borderId="18" xfId="0" applyFont="1" applyBorder="1" applyAlignment="1">
      <alignment horizontal="center" vertical="center"/>
    </xf>
    <xf numFmtId="0" fontId="9" fillId="9" borderId="20" xfId="0" applyFont="1" applyFill="1" applyBorder="1" applyAlignment="1">
      <alignment horizontal="center" vertical="center"/>
    </xf>
    <xf numFmtId="0" fontId="9" fillId="9" borderId="15" xfId="0" applyFont="1" applyFill="1" applyBorder="1" applyAlignment="1">
      <alignment horizontal="center" vertical="center"/>
    </xf>
    <xf numFmtId="0" fontId="9" fillId="9" borderId="18" xfId="0" applyFont="1" applyFill="1" applyBorder="1" applyAlignment="1">
      <alignment horizontal="center" vertical="center"/>
    </xf>
    <xf numFmtId="0" fontId="0" fillId="5" borderId="20" xfId="0" applyFill="1" applyBorder="1" applyAlignment="1">
      <alignment horizontal="center" vertical="center"/>
    </xf>
    <xf numFmtId="0" fontId="0" fillId="5" borderId="15" xfId="0" applyFill="1" applyBorder="1" applyAlignment="1">
      <alignment horizontal="center" vertical="center"/>
    </xf>
    <xf numFmtId="0" fontId="0" fillId="5" borderId="18" xfId="0" applyFill="1" applyBorder="1" applyAlignment="1">
      <alignment horizontal="center" vertical="center"/>
    </xf>
    <xf numFmtId="0" fontId="5" fillId="0" borderId="20" xfId="0" applyFont="1" applyBorder="1" applyAlignment="1">
      <alignment vertical="center" wrapText="1"/>
    </xf>
    <xf numFmtId="0" fontId="5" fillId="0" borderId="15" xfId="0" applyFont="1" applyBorder="1" applyAlignment="1">
      <alignment vertical="center" wrapText="1"/>
    </xf>
    <xf numFmtId="0" fontId="0" fillId="0" borderId="20" xfId="0" applyBorder="1" applyAlignment="1">
      <alignment horizontal="left" vertical="center"/>
    </xf>
    <xf numFmtId="0" fontId="0" fillId="0" borderId="21" xfId="0" applyBorder="1" applyAlignment="1">
      <alignment horizontal="left" vertical="center"/>
    </xf>
    <xf numFmtId="0" fontId="0" fillId="0" borderId="15" xfId="0" applyBorder="1" applyAlignment="1">
      <alignment horizontal="left" vertical="center"/>
    </xf>
    <xf numFmtId="0" fontId="0" fillId="4" borderId="26" xfId="0" applyFill="1" applyBorder="1" applyAlignment="1">
      <alignment horizontal="center" vertical="center"/>
    </xf>
    <xf numFmtId="0" fontId="0" fillId="4" borderId="23" xfId="0" applyFill="1" applyBorder="1" applyAlignment="1">
      <alignment horizontal="center" vertical="center"/>
    </xf>
    <xf numFmtId="0" fontId="0" fillId="4" borderId="21" xfId="0" applyFill="1" applyBorder="1" applyAlignment="1">
      <alignment horizontal="center" vertical="center"/>
    </xf>
    <xf numFmtId="0" fontId="5" fillId="4" borderId="20" xfId="0" applyFont="1" applyFill="1" applyBorder="1" applyAlignment="1">
      <alignment horizontal="center" vertical="center"/>
    </xf>
    <xf numFmtId="0" fontId="5" fillId="4" borderId="15" xfId="0" applyFont="1" applyFill="1" applyBorder="1" applyAlignment="1">
      <alignment horizontal="center" vertical="center"/>
    </xf>
    <xf numFmtId="0" fontId="5" fillId="4" borderId="18" xfId="0" applyFont="1" applyFill="1" applyBorder="1" applyAlignment="1">
      <alignment horizontal="center" vertical="center"/>
    </xf>
    <xf numFmtId="0" fontId="0" fillId="4" borderId="20" xfId="0" applyFill="1" applyBorder="1" applyAlignment="1">
      <alignment horizontal="center" vertical="center"/>
    </xf>
    <xf numFmtId="0" fontId="0" fillId="4" borderId="15" xfId="0" applyFill="1" applyBorder="1" applyAlignment="1">
      <alignment horizontal="center" vertical="center"/>
    </xf>
    <xf numFmtId="0" fontId="0" fillId="4" borderId="18" xfId="0" applyFill="1" applyBorder="1" applyAlignment="1">
      <alignment horizontal="center" vertical="center"/>
    </xf>
    <xf numFmtId="0" fontId="6" fillId="9" borderId="8" xfId="0" applyFont="1" applyFill="1" applyBorder="1" applyAlignment="1">
      <alignment horizontal="center" vertical="center" wrapText="1"/>
    </xf>
    <xf numFmtId="0" fontId="6" fillId="9" borderId="11" xfId="0" applyFont="1" applyFill="1" applyBorder="1" applyAlignment="1">
      <alignment horizontal="center" vertical="center" wrapText="1"/>
    </xf>
    <xf numFmtId="0" fontId="5" fillId="0" borderId="20" xfId="0" applyFont="1" applyBorder="1" applyAlignment="1">
      <alignment horizontal="center" vertical="center"/>
    </xf>
    <xf numFmtId="0" fontId="5" fillId="0" borderId="15" xfId="0" applyFont="1" applyBorder="1" applyAlignment="1">
      <alignment horizontal="center" vertical="center"/>
    </xf>
    <xf numFmtId="0" fontId="5" fillId="0" borderId="18" xfId="0" applyFont="1" applyBorder="1" applyAlignment="1">
      <alignment horizontal="center" vertical="center"/>
    </xf>
    <xf numFmtId="10" fontId="6" fillId="0" borderId="26" xfId="0" applyNumberFormat="1" applyFont="1" applyBorder="1" applyAlignment="1">
      <alignment horizontal="center" vertical="center"/>
    </xf>
    <xf numFmtId="10" fontId="6" fillId="0" borderId="23" xfId="0" applyNumberFormat="1" applyFont="1" applyBorder="1" applyAlignment="1">
      <alignment horizontal="center" vertical="center"/>
    </xf>
    <xf numFmtId="10" fontId="6" fillId="0" borderId="31" xfId="0" applyNumberFormat="1" applyFont="1" applyBorder="1" applyAlignment="1">
      <alignment horizontal="center" vertical="center"/>
    </xf>
    <xf numFmtId="0" fontId="14" fillId="12" borderId="20" xfId="0" applyFont="1" applyFill="1" applyBorder="1" applyAlignment="1">
      <alignment horizontal="center" vertical="center"/>
    </xf>
    <xf numFmtId="0" fontId="14" fillId="12" borderId="15" xfId="0" applyFont="1" applyFill="1" applyBorder="1" applyAlignment="1">
      <alignment horizontal="center" vertical="center"/>
    </xf>
    <xf numFmtId="0" fontId="14" fillId="12" borderId="18" xfId="0" applyFont="1" applyFill="1" applyBorder="1" applyAlignment="1">
      <alignment horizontal="center" vertical="center"/>
    </xf>
    <xf numFmtId="0" fontId="0" fillId="5" borderId="30" xfId="0" applyFill="1" applyBorder="1" applyAlignment="1">
      <alignment horizontal="center" vertical="center"/>
    </xf>
    <xf numFmtId="0" fontId="0" fillId="5" borderId="23" xfId="0" applyFill="1" applyBorder="1" applyAlignment="1">
      <alignment horizontal="center" vertical="center"/>
    </xf>
    <xf numFmtId="0" fontId="0" fillId="5" borderId="31" xfId="0" applyFill="1" applyBorder="1" applyAlignment="1">
      <alignment horizontal="center" vertical="center"/>
    </xf>
    <xf numFmtId="1" fontId="0" fillId="0" borderId="20" xfId="0" applyNumberFormat="1" applyBorder="1" applyAlignment="1">
      <alignment horizontal="center" vertical="center"/>
    </xf>
    <xf numFmtId="1" fontId="0" fillId="0" borderId="15" xfId="0" applyNumberFormat="1" applyBorder="1" applyAlignment="1">
      <alignment horizontal="center" vertical="center"/>
    </xf>
    <xf numFmtId="1" fontId="0" fillId="0" borderId="18" xfId="0" applyNumberFormat="1" applyBorder="1" applyAlignment="1">
      <alignment horizontal="center" vertical="center"/>
    </xf>
    <xf numFmtId="166" fontId="6" fillId="0" borderId="25" xfId="0" applyNumberFormat="1" applyFont="1" applyBorder="1" applyAlignment="1">
      <alignment horizontal="center" vertical="center"/>
    </xf>
    <xf numFmtId="166" fontId="6" fillId="0" borderId="16" xfId="0" applyNumberFormat="1" applyFont="1" applyBorder="1" applyAlignment="1">
      <alignment horizontal="center" vertical="center"/>
    </xf>
    <xf numFmtId="166" fontId="6" fillId="0" borderId="19" xfId="0" applyNumberFormat="1" applyFont="1" applyBorder="1" applyAlignment="1">
      <alignment horizontal="center" vertical="center"/>
    </xf>
    <xf numFmtId="0" fontId="5" fillId="0" borderId="37" xfId="0" applyFont="1" applyBorder="1" applyAlignment="1">
      <alignment horizontal="center" vertical="center" wrapText="1"/>
    </xf>
    <xf numFmtId="0" fontId="5" fillId="0" borderId="35" xfId="0" applyFont="1" applyBorder="1" applyAlignment="1">
      <alignment horizontal="center" vertical="center" wrapText="1"/>
    </xf>
    <xf numFmtId="0" fontId="5" fillId="0" borderId="40" xfId="0" applyFont="1" applyBorder="1" applyAlignment="1">
      <alignment horizontal="center" vertical="center" wrapText="1"/>
    </xf>
    <xf numFmtId="0" fontId="5" fillId="0" borderId="20" xfId="0" applyFont="1" applyBorder="1" applyAlignment="1">
      <alignment vertical="center"/>
    </xf>
    <xf numFmtId="0" fontId="5" fillId="0" borderId="15" xfId="0" applyFont="1" applyBorder="1" applyAlignment="1">
      <alignment vertical="center"/>
    </xf>
    <xf numFmtId="0" fontId="5" fillId="0" borderId="18" xfId="0" applyFont="1" applyBorder="1" applyAlignment="1">
      <alignment vertical="center"/>
    </xf>
    <xf numFmtId="0" fontId="0" fillId="2" borderId="20" xfId="0" applyFill="1" applyBorder="1" applyAlignment="1">
      <alignment horizontal="left" vertical="center"/>
    </xf>
    <xf numFmtId="0" fontId="0" fillId="2" borderId="15" xfId="0" applyFill="1" applyBorder="1" applyAlignment="1">
      <alignment horizontal="left" vertical="center"/>
    </xf>
    <xf numFmtId="0" fontId="0" fillId="2" borderId="18" xfId="0" applyFill="1" applyBorder="1" applyAlignment="1">
      <alignment horizontal="left" vertical="center"/>
    </xf>
    <xf numFmtId="1" fontId="0" fillId="2" borderId="20" xfId="0" quotePrefix="1" applyNumberFormat="1" applyFill="1" applyBorder="1" applyAlignment="1">
      <alignment horizontal="left" vertical="center"/>
    </xf>
    <xf numFmtId="1" fontId="0" fillId="2" borderId="15" xfId="0" quotePrefix="1" applyNumberFormat="1" applyFill="1" applyBorder="1" applyAlignment="1">
      <alignment horizontal="left" vertical="center"/>
    </xf>
    <xf numFmtId="1" fontId="0" fillId="2" borderId="18" xfId="0" quotePrefix="1" applyNumberFormat="1" applyFill="1" applyBorder="1" applyAlignment="1">
      <alignment horizontal="left" vertical="center"/>
    </xf>
    <xf numFmtId="0" fontId="9" fillId="12" borderId="20" xfId="0" applyFont="1" applyFill="1" applyBorder="1" applyAlignment="1">
      <alignment horizontal="center" vertical="center"/>
    </xf>
    <xf numFmtId="0" fontId="9" fillId="12" borderId="15" xfId="0" applyFont="1" applyFill="1" applyBorder="1" applyAlignment="1">
      <alignment horizontal="center" vertical="center"/>
    </xf>
    <xf numFmtId="0" fontId="9" fillId="12" borderId="18" xfId="0" applyFont="1" applyFill="1" applyBorder="1" applyAlignment="1">
      <alignment horizontal="center" vertical="center"/>
    </xf>
    <xf numFmtId="0" fontId="5" fillId="0" borderId="39" xfId="0" applyFont="1" applyBorder="1" applyAlignment="1">
      <alignment horizontal="center" vertical="center" wrapText="1"/>
    </xf>
    <xf numFmtId="0" fontId="5" fillId="0" borderId="26" xfId="0" applyFont="1" applyBorder="1" applyAlignment="1">
      <alignment vertical="center"/>
    </xf>
    <xf numFmtId="0" fontId="0" fillId="2" borderId="20"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26" xfId="0" applyFill="1" applyBorder="1" applyAlignment="1">
      <alignment horizontal="center" vertical="center" wrapText="1"/>
    </xf>
    <xf numFmtId="0" fontId="0" fillId="2" borderId="18" xfId="0" applyFill="1" applyBorder="1" applyAlignment="1">
      <alignment horizontal="center" vertical="center" wrapText="1"/>
    </xf>
    <xf numFmtId="0" fontId="0" fillId="2" borderId="20" xfId="0" applyFill="1" applyBorder="1" applyAlignment="1">
      <alignment horizontal="center" vertical="center"/>
    </xf>
    <xf numFmtId="0" fontId="0" fillId="2" borderId="15" xfId="0" applyFill="1" applyBorder="1" applyAlignment="1">
      <alignment horizontal="center" vertical="center"/>
    </xf>
    <xf numFmtId="0" fontId="0" fillId="2" borderId="26" xfId="0" applyFill="1" applyBorder="1" applyAlignment="1">
      <alignment horizontal="center" vertical="center"/>
    </xf>
    <xf numFmtId="0" fontId="0" fillId="2" borderId="18" xfId="0" applyFill="1" applyBorder="1" applyAlignment="1">
      <alignment horizontal="center" vertical="center"/>
    </xf>
    <xf numFmtId="1" fontId="0" fillId="2" borderId="20" xfId="0" quotePrefix="1" applyNumberFormat="1" applyFill="1" applyBorder="1" applyAlignment="1">
      <alignment horizontal="center" vertical="center"/>
    </xf>
    <xf numFmtId="1" fontId="0" fillId="2" borderId="15" xfId="0" quotePrefix="1" applyNumberFormat="1" applyFill="1" applyBorder="1" applyAlignment="1">
      <alignment horizontal="center" vertical="center"/>
    </xf>
    <xf numFmtId="1" fontId="0" fillId="2" borderId="26" xfId="0" quotePrefix="1" applyNumberFormat="1" applyFill="1" applyBorder="1" applyAlignment="1">
      <alignment horizontal="center" vertical="center"/>
    </xf>
    <xf numFmtId="1" fontId="0" fillId="2" borderId="18" xfId="0" quotePrefix="1" applyNumberFormat="1" applyFill="1" applyBorder="1" applyAlignment="1">
      <alignment horizontal="center" vertical="center"/>
    </xf>
    <xf numFmtId="0" fontId="6" fillId="5" borderId="4" xfId="0" applyFont="1" applyFill="1" applyBorder="1" applyAlignment="1">
      <alignment horizontal="center"/>
    </xf>
    <xf numFmtId="0" fontId="6" fillId="5" borderId="5" xfId="0" applyFont="1" applyFill="1" applyBorder="1" applyAlignment="1">
      <alignment horizontal="center"/>
    </xf>
    <xf numFmtId="0" fontId="6" fillId="5" borderId="6" xfId="0" applyFont="1" applyFill="1" applyBorder="1" applyAlignment="1">
      <alignment horizontal="center"/>
    </xf>
    <xf numFmtId="0" fontId="5" fillId="0" borderId="15" xfId="0" applyFont="1" applyBorder="1" applyAlignment="1">
      <alignment horizontal="center" vertical="center" wrapText="1"/>
    </xf>
    <xf numFmtId="0" fontId="6" fillId="0" borderId="26" xfId="0" applyFont="1" applyBorder="1" applyAlignment="1">
      <alignment horizontal="center" vertical="center"/>
    </xf>
    <xf numFmtId="0" fontId="6" fillId="0" borderId="23" xfId="0" applyFont="1" applyBorder="1" applyAlignment="1">
      <alignment horizontal="center" vertical="center"/>
    </xf>
    <xf numFmtId="0" fontId="6" fillId="0" borderId="31" xfId="0" applyFont="1" applyBorder="1" applyAlignment="1">
      <alignment horizontal="center" vertical="center"/>
    </xf>
    <xf numFmtId="0" fontId="0" fillId="0" borderId="26" xfId="0" applyBorder="1" applyAlignment="1">
      <alignment horizontal="left" vertical="center"/>
    </xf>
    <xf numFmtId="0" fontId="0" fillId="0" borderId="23" xfId="0" applyBorder="1" applyAlignment="1">
      <alignment horizontal="left" vertical="center"/>
    </xf>
    <xf numFmtId="0" fontId="0" fillId="0" borderId="31" xfId="0" applyBorder="1" applyAlignment="1">
      <alignment horizontal="left" vertical="center"/>
    </xf>
    <xf numFmtId="165" fontId="6" fillId="0" borderId="26" xfId="0" applyNumberFormat="1" applyFont="1" applyBorder="1" applyAlignment="1">
      <alignment horizontal="center" vertical="center"/>
    </xf>
    <xf numFmtId="165" fontId="6" fillId="0" borderId="23" xfId="0" applyNumberFormat="1" applyFont="1" applyBorder="1" applyAlignment="1">
      <alignment horizontal="center" vertical="center"/>
    </xf>
    <xf numFmtId="165" fontId="6" fillId="0" borderId="21" xfId="0" applyNumberFormat="1" applyFont="1" applyBorder="1" applyAlignment="1">
      <alignment horizontal="center" vertical="center"/>
    </xf>
    <xf numFmtId="0" fontId="6" fillId="0" borderId="21" xfId="0" applyFont="1" applyBorder="1" applyAlignment="1">
      <alignment horizontal="center" vertical="center"/>
    </xf>
    <xf numFmtId="0" fontId="6" fillId="0" borderId="20" xfId="0" applyFont="1" applyBorder="1" applyAlignment="1">
      <alignment horizontal="center" vertical="center" wrapText="1"/>
    </xf>
    <xf numFmtId="0" fontId="6" fillId="0" borderId="21" xfId="0" applyFont="1" applyBorder="1" applyAlignment="1">
      <alignment horizontal="center" vertical="center" wrapText="1"/>
    </xf>
    <xf numFmtId="0" fontId="6" fillId="0" borderId="15" xfId="0" applyFont="1" applyBorder="1" applyAlignment="1">
      <alignment horizontal="center" vertical="center" wrapText="1"/>
    </xf>
    <xf numFmtId="1" fontId="0" fillId="5" borderId="20" xfId="0" applyNumberFormat="1" applyFill="1" applyBorder="1" applyAlignment="1">
      <alignment horizontal="center" vertical="center"/>
    </xf>
    <xf numFmtId="1" fontId="0" fillId="5" borderId="15" xfId="0" applyNumberFormat="1" applyFill="1" applyBorder="1" applyAlignment="1">
      <alignment horizontal="center" vertical="center"/>
    </xf>
    <xf numFmtId="1" fontId="0" fillId="5" borderId="18" xfId="0" applyNumberFormat="1" applyFill="1" applyBorder="1" applyAlignment="1">
      <alignment horizontal="center" vertical="center"/>
    </xf>
    <xf numFmtId="0" fontId="6" fillId="6" borderId="8" xfId="0" applyFont="1" applyFill="1" applyBorder="1" applyAlignment="1">
      <alignment horizontal="center" vertical="center" wrapText="1"/>
    </xf>
    <xf numFmtId="0" fontId="6" fillId="6" borderId="11" xfId="0" applyFont="1" applyFill="1" applyBorder="1" applyAlignment="1">
      <alignment horizontal="center" vertical="center" wrapText="1"/>
    </xf>
    <xf numFmtId="0" fontId="6" fillId="0" borderId="4" xfId="0" applyFont="1" applyBorder="1" applyAlignment="1">
      <alignment horizontal="center"/>
    </xf>
    <xf numFmtId="0" fontId="6" fillId="0" borderId="5" xfId="0" applyFont="1" applyBorder="1" applyAlignment="1">
      <alignment horizontal="center"/>
    </xf>
    <xf numFmtId="0" fontId="6" fillId="0" borderId="6" xfId="0" applyFont="1" applyBorder="1" applyAlignment="1">
      <alignment horizontal="center"/>
    </xf>
    <xf numFmtId="10" fontId="6" fillId="0" borderId="15" xfId="0" applyNumberFormat="1" applyFont="1" applyBorder="1" applyAlignment="1">
      <alignment horizontal="center" vertical="center"/>
    </xf>
    <xf numFmtId="10" fontId="6" fillId="0" borderId="20" xfId="0" applyNumberFormat="1" applyFont="1" applyBorder="1" applyAlignment="1">
      <alignment horizontal="center" vertical="center"/>
    </xf>
    <xf numFmtId="10" fontId="6" fillId="0" borderId="21" xfId="0" applyNumberFormat="1" applyFont="1" applyBorder="1" applyAlignment="1">
      <alignment horizontal="center" vertical="center"/>
    </xf>
    <xf numFmtId="0" fontId="6" fillId="12" borderId="4" xfId="0" applyFont="1" applyFill="1" applyBorder="1" applyAlignment="1">
      <alignment horizontal="center" vertical="center" wrapText="1"/>
    </xf>
    <xf numFmtId="0" fontId="6" fillId="12" borderId="6" xfId="0" applyFont="1" applyFill="1" applyBorder="1" applyAlignment="1">
      <alignment horizontal="center" vertical="center" wrapText="1"/>
    </xf>
    <xf numFmtId="1" fontId="0" fillId="4" borderId="20" xfId="0" applyNumberFormat="1" applyFill="1" applyBorder="1" applyAlignment="1">
      <alignment horizontal="center" vertical="center"/>
    </xf>
    <xf numFmtId="1" fontId="0" fillId="4" borderId="15" xfId="0" applyNumberFormat="1" applyFill="1" applyBorder="1" applyAlignment="1">
      <alignment horizontal="center" vertical="center"/>
    </xf>
    <xf numFmtId="1" fontId="0" fillId="4" borderId="18" xfId="0" applyNumberFormat="1" applyFill="1" applyBorder="1" applyAlignment="1">
      <alignment horizontal="center" vertical="center"/>
    </xf>
    <xf numFmtId="0" fontId="6" fillId="11" borderId="5" xfId="0" applyFont="1" applyFill="1" applyBorder="1" applyAlignment="1">
      <alignment horizontal="center" vertical="center" wrapText="1"/>
    </xf>
    <xf numFmtId="0" fontId="6" fillId="11" borderId="6" xfId="0" applyFont="1" applyFill="1" applyBorder="1" applyAlignment="1">
      <alignment horizontal="center" vertical="center" wrapText="1"/>
    </xf>
    <xf numFmtId="10" fontId="6" fillId="0" borderId="18" xfId="0" applyNumberFormat="1" applyFont="1" applyBorder="1" applyAlignment="1">
      <alignment horizontal="center" vertical="center"/>
    </xf>
    <xf numFmtId="0" fontId="6" fillId="9" borderId="4" xfId="0" applyFont="1" applyFill="1" applyBorder="1" applyAlignment="1">
      <alignment horizontal="center" vertical="center" wrapText="1"/>
    </xf>
    <xf numFmtId="0" fontId="6" fillId="9" borderId="6" xfId="0" applyFont="1" applyFill="1" applyBorder="1" applyAlignment="1">
      <alignment horizontal="center" vertical="center" wrapText="1"/>
    </xf>
    <xf numFmtId="0" fontId="9" fillId="12" borderId="21" xfId="0" applyFont="1" applyFill="1" applyBorder="1" applyAlignment="1">
      <alignment horizontal="center" vertical="center"/>
    </xf>
    <xf numFmtId="0" fontId="9" fillId="9" borderId="26" xfId="0" applyFont="1" applyFill="1" applyBorder="1" applyAlignment="1">
      <alignment horizontal="center" vertical="center"/>
    </xf>
    <xf numFmtId="0" fontId="0" fillId="4" borderId="30" xfId="0" applyFill="1" applyBorder="1" applyAlignment="1">
      <alignment horizontal="center" vertical="center"/>
    </xf>
    <xf numFmtId="0" fontId="0" fillId="4" borderId="31" xfId="0" applyFill="1" applyBorder="1" applyAlignment="1">
      <alignment horizontal="center" vertical="center"/>
    </xf>
    <xf numFmtId="1" fontId="5" fillId="0" borderId="20" xfId="0" applyNumberFormat="1" applyFont="1" applyBorder="1" applyAlignment="1">
      <alignment horizontal="center" vertical="center"/>
    </xf>
    <xf numFmtId="1" fontId="5" fillId="0" borderId="15" xfId="0" applyNumberFormat="1" applyFont="1" applyBorder="1" applyAlignment="1">
      <alignment horizontal="center" vertical="center"/>
    </xf>
    <xf numFmtId="1" fontId="5" fillId="0" borderId="18" xfId="0" applyNumberFormat="1" applyFont="1" applyBorder="1" applyAlignment="1">
      <alignment horizontal="center" vertical="center"/>
    </xf>
    <xf numFmtId="0" fontId="6" fillId="2" borderId="4" xfId="0" applyFont="1" applyFill="1" applyBorder="1" applyAlignment="1">
      <alignment horizontal="center"/>
    </xf>
    <xf numFmtId="0" fontId="6" fillId="2" borderId="5" xfId="0" applyFont="1" applyFill="1" applyBorder="1" applyAlignment="1">
      <alignment horizontal="center"/>
    </xf>
    <xf numFmtId="0" fontId="6" fillId="2" borderId="6" xfId="0" applyFont="1" applyFill="1" applyBorder="1" applyAlignment="1">
      <alignment horizontal="center"/>
    </xf>
    <xf numFmtId="0" fontId="9" fillId="9" borderId="21" xfId="0" applyFont="1" applyFill="1" applyBorder="1" applyAlignment="1">
      <alignment horizontal="center" vertical="center"/>
    </xf>
    <xf numFmtId="0" fontId="24" fillId="2" borderId="20" xfId="0" applyFont="1" applyFill="1" applyBorder="1" applyAlignment="1">
      <alignment horizontal="center" vertical="center"/>
    </xf>
    <xf numFmtId="0" fontId="24" fillId="2" borderId="21" xfId="0" applyFont="1" applyFill="1" applyBorder="1" applyAlignment="1">
      <alignment horizontal="center" vertical="center"/>
    </xf>
    <xf numFmtId="0" fontId="24" fillId="2" borderId="15" xfId="0" applyFont="1" applyFill="1" applyBorder="1" applyAlignment="1">
      <alignment horizontal="center" vertical="center"/>
    </xf>
    <xf numFmtId="0" fontId="24" fillId="2" borderId="18" xfId="0" applyFont="1" applyFill="1" applyBorder="1" applyAlignment="1">
      <alignment horizontal="center" vertical="center"/>
    </xf>
    <xf numFmtId="0" fontId="0" fillId="5" borderId="21" xfId="0" applyFill="1" applyBorder="1" applyAlignment="1">
      <alignment horizontal="center" vertical="center"/>
    </xf>
    <xf numFmtId="0" fontId="8" fillId="0" borderId="21" xfId="0" applyFont="1" applyBorder="1" applyAlignment="1">
      <alignment horizontal="center" vertical="center" wrapText="1"/>
    </xf>
    <xf numFmtId="1" fontId="6" fillId="8" borderId="21" xfId="0" applyNumberFormat="1" applyFont="1" applyFill="1" applyBorder="1" applyAlignment="1">
      <alignment horizontal="center" vertical="center" wrapText="1"/>
    </xf>
    <xf numFmtId="1" fontId="0" fillId="0" borderId="21" xfId="0" applyNumberFormat="1" applyBorder="1" applyAlignment="1">
      <alignment horizontal="center" vertical="center"/>
    </xf>
    <xf numFmtId="0" fontId="6" fillId="11" borderId="10" xfId="0" applyFont="1" applyFill="1" applyBorder="1" applyAlignment="1">
      <alignment horizontal="center" vertical="center" wrapText="1"/>
    </xf>
    <xf numFmtId="0" fontId="6" fillId="11" borderId="11" xfId="0" applyFont="1" applyFill="1" applyBorder="1" applyAlignment="1">
      <alignment horizontal="center" vertical="center" wrapText="1"/>
    </xf>
    <xf numFmtId="0" fontId="6" fillId="7" borderId="8" xfId="0" applyFont="1" applyFill="1" applyBorder="1" applyAlignment="1">
      <alignment horizontal="center" vertical="center" wrapText="1"/>
    </xf>
    <xf numFmtId="0" fontId="6" fillId="7" borderId="11" xfId="0" applyFont="1" applyFill="1" applyBorder="1" applyAlignment="1">
      <alignment horizontal="center" vertical="center" wrapText="1"/>
    </xf>
    <xf numFmtId="166" fontId="5" fillId="0" borderId="25" xfId="0" applyNumberFormat="1" applyFont="1" applyBorder="1" applyAlignment="1">
      <alignment horizontal="center" vertical="center"/>
    </xf>
    <xf numFmtId="166" fontId="5" fillId="0" borderId="16" xfId="0" applyNumberFormat="1" applyFont="1" applyBorder="1" applyAlignment="1">
      <alignment horizontal="center" vertical="center"/>
    </xf>
    <xf numFmtId="166" fontId="5" fillId="0" borderId="19" xfId="0" applyNumberFormat="1" applyFont="1" applyBorder="1" applyAlignment="1">
      <alignment horizontal="center" vertical="center"/>
    </xf>
    <xf numFmtId="0" fontId="8" fillId="0" borderId="26" xfId="0" applyFont="1" applyBorder="1" applyAlignment="1">
      <alignment horizontal="center" vertical="center" wrapText="1"/>
    </xf>
    <xf numFmtId="0" fontId="6" fillId="4" borderId="4" xfId="0" applyFont="1" applyFill="1" applyBorder="1" applyAlignment="1">
      <alignment horizontal="center"/>
    </xf>
    <xf numFmtId="0" fontId="6" fillId="4" borderId="5" xfId="0" applyFont="1" applyFill="1" applyBorder="1" applyAlignment="1">
      <alignment horizontal="center"/>
    </xf>
    <xf numFmtId="0" fontId="6" fillId="4" borderId="6" xfId="0" applyFont="1" applyFill="1" applyBorder="1" applyAlignment="1">
      <alignment horizontal="center"/>
    </xf>
    <xf numFmtId="0" fontId="6" fillId="10" borderId="8" xfId="0" applyFont="1" applyFill="1" applyBorder="1" applyAlignment="1">
      <alignment horizontal="center" vertical="center" wrapText="1"/>
    </xf>
    <xf numFmtId="0" fontId="6" fillId="10" borderId="11" xfId="0" applyFont="1" applyFill="1" applyBorder="1" applyAlignment="1">
      <alignment horizontal="center" vertical="center" wrapText="1"/>
    </xf>
    <xf numFmtId="0" fontId="5" fillId="0" borderId="20" xfId="0" applyFont="1" applyBorder="1" applyAlignment="1">
      <alignment horizontal="left" vertical="center"/>
    </xf>
    <xf numFmtId="0" fontId="5" fillId="0" borderId="15" xfId="0" applyFont="1" applyBorder="1" applyAlignment="1">
      <alignment horizontal="left" vertical="center"/>
    </xf>
    <xf numFmtId="0" fontId="5" fillId="0" borderId="18" xfId="0" applyFont="1" applyBorder="1" applyAlignment="1">
      <alignment horizontal="left" vertical="center"/>
    </xf>
    <xf numFmtId="0" fontId="5" fillId="2" borderId="20" xfId="0" applyFont="1" applyFill="1" applyBorder="1" applyAlignment="1">
      <alignment horizontal="left" vertical="center"/>
    </xf>
    <xf numFmtId="0" fontId="5" fillId="2" borderId="15" xfId="0" applyFont="1" applyFill="1" applyBorder="1" applyAlignment="1">
      <alignment horizontal="left" vertical="center"/>
    </xf>
    <xf numFmtId="0" fontId="5" fillId="2" borderId="18" xfId="0" applyFont="1" applyFill="1" applyBorder="1" applyAlignment="1">
      <alignment horizontal="left" vertical="center"/>
    </xf>
    <xf numFmtId="1" fontId="5" fillId="2" borderId="20" xfId="0" quotePrefix="1" applyNumberFormat="1" applyFont="1" applyFill="1" applyBorder="1" applyAlignment="1">
      <alignment horizontal="left" vertical="center"/>
    </xf>
    <xf numFmtId="1" fontId="5" fillId="2" borderId="15" xfId="0" quotePrefix="1" applyNumberFormat="1" applyFont="1" applyFill="1" applyBorder="1" applyAlignment="1">
      <alignment horizontal="left" vertical="center"/>
    </xf>
    <xf numFmtId="1" fontId="5" fillId="2" borderId="18" xfId="0" quotePrefix="1" applyNumberFormat="1" applyFont="1" applyFill="1" applyBorder="1" applyAlignment="1">
      <alignment horizontal="left" vertical="center"/>
    </xf>
    <xf numFmtId="0" fontId="0" fillId="0" borderId="15" xfId="0" applyBorder="1" applyAlignment="1">
      <alignment vertical="center"/>
    </xf>
    <xf numFmtId="0" fontId="0" fillId="0" borderId="18" xfId="0" applyBorder="1" applyAlignment="1">
      <alignment vertical="center"/>
    </xf>
    <xf numFmtId="0" fontId="7" fillId="0" borderId="37" xfId="0" applyFont="1" applyBorder="1" applyAlignment="1">
      <alignment horizontal="center" vertical="center" wrapText="1"/>
    </xf>
    <xf numFmtId="0" fontId="7" fillId="0" borderId="35" xfId="0" applyFont="1" applyBorder="1" applyAlignment="1">
      <alignment horizontal="center" vertical="center" wrapText="1"/>
    </xf>
    <xf numFmtId="0" fontId="7" fillId="0" borderId="40" xfId="0" applyFont="1" applyBorder="1" applyAlignment="1">
      <alignment horizontal="center" vertical="center" wrapText="1"/>
    </xf>
    <xf numFmtId="0" fontId="0" fillId="2" borderId="20" xfId="0" quotePrefix="1" applyFill="1" applyBorder="1" applyAlignment="1">
      <alignment horizontal="left" vertical="center"/>
    </xf>
    <xf numFmtId="0" fontId="0" fillId="0" borderId="20" xfId="0" applyBorder="1" applyAlignment="1">
      <alignment vertical="center"/>
    </xf>
    <xf numFmtId="0" fontId="26" fillId="0" borderId="37" xfId="0" applyFont="1" applyBorder="1" applyAlignment="1">
      <alignment horizontal="center" vertical="center" wrapText="1"/>
    </xf>
    <xf numFmtId="0" fontId="26" fillId="0" borderId="38" xfId="0" applyFont="1" applyBorder="1" applyAlignment="1">
      <alignment horizontal="center" vertical="center" wrapText="1"/>
    </xf>
    <xf numFmtId="0" fontId="26" fillId="0" borderId="35" xfId="0" applyFont="1" applyBorder="1" applyAlignment="1">
      <alignment horizontal="center" vertical="center" wrapText="1"/>
    </xf>
    <xf numFmtId="0" fontId="26" fillId="0" borderId="40" xfId="0" applyFont="1" applyBorder="1" applyAlignment="1">
      <alignment horizontal="center" vertical="center" wrapText="1"/>
    </xf>
    <xf numFmtId="0" fontId="26" fillId="0" borderId="24" xfId="0" applyFont="1" applyBorder="1" applyAlignment="1">
      <alignment horizontal="center" vertical="center" wrapText="1"/>
    </xf>
    <xf numFmtId="0" fontId="26" fillId="0" borderId="45" xfId="0" applyFont="1" applyBorder="1" applyAlignment="1">
      <alignment horizontal="center" vertical="center" wrapText="1"/>
    </xf>
    <xf numFmtId="0" fontId="26" fillId="0" borderId="14" xfId="0" applyFont="1" applyBorder="1" applyAlignment="1">
      <alignment horizontal="center" vertical="center" wrapText="1"/>
    </xf>
    <xf numFmtId="0" fontId="26" fillId="0" borderId="17" xfId="0" applyFont="1" applyBorder="1" applyAlignment="1">
      <alignment horizontal="center" vertical="center" wrapText="1"/>
    </xf>
    <xf numFmtId="0" fontId="0" fillId="2" borderId="21" xfId="0" applyFill="1" applyBorder="1" applyAlignment="1">
      <alignment horizontal="left" vertical="center"/>
    </xf>
    <xf numFmtId="0" fontId="0" fillId="2" borderId="21" xfId="0" quotePrefix="1" applyFill="1" applyBorder="1" applyAlignment="1">
      <alignment horizontal="left" vertical="center"/>
    </xf>
    <xf numFmtId="0" fontId="0" fillId="2" borderId="15" xfId="0" quotePrefix="1" applyFill="1" applyBorder="1" applyAlignment="1">
      <alignment horizontal="left" vertical="center"/>
    </xf>
    <xf numFmtId="0" fontId="0" fillId="2" borderId="18" xfId="0" quotePrefix="1" applyFill="1" applyBorder="1" applyAlignment="1">
      <alignment horizontal="left" vertical="center"/>
    </xf>
    <xf numFmtId="1" fontId="0" fillId="2" borderId="21" xfId="0" quotePrefix="1" applyNumberFormat="1" applyFill="1" applyBorder="1" applyAlignment="1">
      <alignment horizontal="left" vertical="center"/>
    </xf>
    <xf numFmtId="0" fontId="0" fillId="0" borderId="20" xfId="0" applyBorder="1" applyAlignment="1">
      <alignment vertical="center" wrapText="1"/>
    </xf>
    <xf numFmtId="0" fontId="0" fillId="0" borderId="21" xfId="0" applyBorder="1" applyAlignment="1">
      <alignment vertical="center" wrapText="1"/>
    </xf>
    <xf numFmtId="0" fontId="0" fillId="0" borderId="15" xfId="0" applyBorder="1" applyAlignment="1">
      <alignment vertical="center" wrapText="1"/>
    </xf>
    <xf numFmtId="0" fontId="0" fillId="0" borderId="18" xfId="0" applyBorder="1" applyAlignment="1">
      <alignment vertical="center" wrapText="1"/>
    </xf>
    <xf numFmtId="166" fontId="0" fillId="0" borderId="20" xfId="0" applyNumberFormat="1" applyBorder="1" applyAlignment="1">
      <alignment horizontal="center" vertical="center"/>
    </xf>
    <xf numFmtId="166" fontId="0" fillId="0" borderId="15" xfId="0" applyNumberFormat="1" applyBorder="1" applyAlignment="1">
      <alignment horizontal="center" vertical="center"/>
    </xf>
    <xf numFmtId="166" fontId="0" fillId="0" borderId="18" xfId="0" applyNumberFormat="1" applyBorder="1" applyAlignment="1">
      <alignment horizontal="center" vertical="center"/>
    </xf>
    <xf numFmtId="0" fontId="7" fillId="0" borderId="20" xfId="0" applyFont="1" applyBorder="1" applyAlignment="1">
      <alignment horizontal="center" vertical="center" wrapText="1"/>
    </xf>
    <xf numFmtId="0" fontId="7" fillId="0" borderId="15" xfId="0" applyFont="1" applyBorder="1" applyAlignment="1">
      <alignment horizontal="center" vertical="center" wrapText="1"/>
    </xf>
    <xf numFmtId="0" fontId="7" fillId="0" borderId="18" xfId="0" applyFont="1" applyBorder="1" applyAlignment="1">
      <alignment horizontal="center" vertical="center" wrapText="1"/>
    </xf>
    <xf numFmtId="166" fontId="6" fillId="0" borderId="27" xfId="0" applyNumberFormat="1" applyFont="1" applyBorder="1" applyAlignment="1">
      <alignment horizontal="center" vertical="center"/>
    </xf>
    <xf numFmtId="166" fontId="6" fillId="0" borderId="28" xfId="0" applyNumberFormat="1" applyFont="1" applyBorder="1" applyAlignment="1">
      <alignment horizontal="center" vertical="center"/>
    </xf>
    <xf numFmtId="166" fontId="6" fillId="0" borderId="29" xfId="0" applyNumberFormat="1" applyFont="1" applyBorder="1" applyAlignment="1">
      <alignment horizontal="center" vertical="center"/>
    </xf>
    <xf numFmtId="166" fontId="0" fillId="0" borderId="30" xfId="0" applyNumberFormat="1" applyBorder="1" applyAlignment="1">
      <alignment horizontal="center" vertical="center"/>
    </xf>
    <xf numFmtId="166" fontId="0" fillId="0" borderId="23" xfId="0" applyNumberFormat="1" applyBorder="1" applyAlignment="1">
      <alignment horizontal="center" vertical="center"/>
    </xf>
    <xf numFmtId="166" fontId="0" fillId="0" borderId="31" xfId="0" applyNumberFormat="1" applyBorder="1" applyAlignment="1">
      <alignment horizontal="center" vertical="center"/>
    </xf>
    <xf numFmtId="1" fontId="9" fillId="0" borderId="30" xfId="0" applyNumberFormat="1" applyFont="1" applyBorder="1" applyAlignment="1">
      <alignment horizontal="center" vertical="center"/>
    </xf>
    <xf numFmtId="1" fontId="9" fillId="0" borderId="23" xfId="0" applyNumberFormat="1" applyFont="1" applyBorder="1" applyAlignment="1">
      <alignment horizontal="center" vertical="center"/>
    </xf>
    <xf numFmtId="1" fontId="9" fillId="0" borderId="31" xfId="0" applyNumberFormat="1" applyFont="1" applyBorder="1" applyAlignment="1">
      <alignment horizontal="center" vertical="center"/>
    </xf>
    <xf numFmtId="1" fontId="6" fillId="8" borderId="30" xfId="0" applyNumberFormat="1" applyFont="1" applyFill="1" applyBorder="1" applyAlignment="1">
      <alignment horizontal="center" vertical="center" wrapText="1"/>
    </xf>
    <xf numFmtId="1" fontId="6" fillId="8" borderId="23" xfId="0" applyNumberFormat="1" applyFont="1" applyFill="1" applyBorder="1" applyAlignment="1">
      <alignment horizontal="center" vertical="center" wrapText="1"/>
    </xf>
    <xf numFmtId="1" fontId="6" fillId="8" borderId="31" xfId="0" applyNumberFormat="1" applyFont="1" applyFill="1" applyBorder="1" applyAlignment="1">
      <alignment horizontal="center" vertical="center" wrapText="1"/>
    </xf>
    <xf numFmtId="166" fontId="0" fillId="0" borderId="21" xfId="0" applyNumberFormat="1" applyBorder="1" applyAlignment="1">
      <alignment horizontal="center" vertical="center"/>
    </xf>
    <xf numFmtId="166" fontId="6" fillId="0" borderId="20" xfId="0" applyNumberFormat="1" applyFont="1" applyBorder="1" applyAlignment="1">
      <alignment horizontal="center" vertical="center"/>
    </xf>
    <xf numFmtId="166" fontId="6" fillId="0" borderId="21" xfId="0" applyNumberFormat="1" applyFont="1" applyBorder="1" applyAlignment="1">
      <alignment horizontal="center" vertical="center"/>
    </xf>
    <xf numFmtId="166" fontId="6" fillId="0" borderId="15" xfId="0" applyNumberFormat="1" applyFont="1" applyBorder="1" applyAlignment="1">
      <alignment horizontal="center" vertical="center"/>
    </xf>
    <xf numFmtId="166" fontId="6" fillId="0" borderId="18" xfId="0" applyNumberFormat="1" applyFont="1" applyBorder="1" applyAlignment="1">
      <alignment horizontal="center" vertical="center"/>
    </xf>
    <xf numFmtId="0" fontId="5" fillId="0" borderId="20" xfId="0" applyFont="1" applyBorder="1" applyAlignment="1">
      <alignment horizontal="center" vertical="center" wrapText="1"/>
    </xf>
    <xf numFmtId="0" fontId="5" fillId="0" borderId="18" xfId="0" applyFont="1" applyBorder="1" applyAlignment="1">
      <alignment horizontal="center" vertical="center" wrapText="1"/>
    </xf>
    <xf numFmtId="1" fontId="5" fillId="8" borderId="20" xfId="0" applyNumberFormat="1" applyFont="1" applyFill="1" applyBorder="1" applyAlignment="1">
      <alignment horizontal="center" vertical="center" wrapText="1"/>
    </xf>
    <xf numFmtId="1" fontId="5" fillId="8" borderId="15" xfId="0" applyNumberFormat="1" applyFont="1" applyFill="1" applyBorder="1" applyAlignment="1">
      <alignment horizontal="center" vertical="center" wrapText="1"/>
    </xf>
    <xf numFmtId="1" fontId="5" fillId="8" borderId="18" xfId="0" applyNumberFormat="1" applyFont="1" applyFill="1" applyBorder="1" applyAlignment="1">
      <alignment horizontal="center" vertical="center" wrapText="1"/>
    </xf>
    <xf numFmtId="165" fontId="6" fillId="0" borderId="15" xfId="0" applyNumberFormat="1" applyFont="1" applyBorder="1" applyAlignment="1">
      <alignment horizontal="center" vertical="center"/>
    </xf>
    <xf numFmtId="0" fontId="5" fillId="0" borderId="21" xfId="0" applyFont="1" applyBorder="1" applyAlignment="1">
      <alignment vertical="center"/>
    </xf>
    <xf numFmtId="0" fontId="8" fillId="0" borderId="30" xfId="0" applyFont="1" applyBorder="1" applyAlignment="1">
      <alignment horizontal="center" vertical="center" wrapText="1"/>
    </xf>
    <xf numFmtId="0" fontId="8" fillId="0" borderId="23" xfId="0" applyFont="1" applyBorder="1" applyAlignment="1">
      <alignment horizontal="center" vertical="center" wrapText="1"/>
    </xf>
    <xf numFmtId="0" fontId="8" fillId="0" borderId="31" xfId="0" applyFont="1" applyBorder="1" applyAlignment="1">
      <alignment horizontal="center" vertical="center" wrapText="1"/>
    </xf>
    <xf numFmtId="0" fontId="4" fillId="9" borderId="30" xfId="0" applyFont="1" applyFill="1" applyBorder="1" applyAlignment="1">
      <alignment horizontal="center" vertical="center"/>
    </xf>
    <xf numFmtId="0" fontId="4" fillId="9" borderId="23" xfId="0" applyFont="1" applyFill="1" applyBorder="1" applyAlignment="1">
      <alignment horizontal="center" vertical="center"/>
    </xf>
    <xf numFmtId="0" fontId="4" fillId="9" borderId="31" xfId="0" applyFont="1" applyFill="1" applyBorder="1" applyAlignment="1">
      <alignment horizontal="center" vertical="center"/>
    </xf>
    <xf numFmtId="0" fontId="0" fillId="2" borderId="30" xfId="0" applyFill="1" applyBorder="1" applyAlignment="1">
      <alignment horizontal="center" vertical="center"/>
    </xf>
    <xf numFmtId="0" fontId="0" fillId="2" borderId="23" xfId="0" applyFill="1" applyBorder="1" applyAlignment="1">
      <alignment horizontal="center" vertical="center"/>
    </xf>
    <xf numFmtId="0" fontId="0" fillId="2" borderId="31" xfId="0" applyFill="1" applyBorder="1" applyAlignment="1">
      <alignment horizontal="center" vertical="center"/>
    </xf>
    <xf numFmtId="49" fontId="0" fillId="2" borderId="30" xfId="0" quotePrefix="1" applyNumberFormat="1" applyFill="1" applyBorder="1" applyAlignment="1">
      <alignment horizontal="center" vertical="center"/>
    </xf>
    <xf numFmtId="49" fontId="0" fillId="2" borderId="23" xfId="0" quotePrefix="1" applyNumberFormat="1" applyFill="1" applyBorder="1" applyAlignment="1">
      <alignment horizontal="center" vertical="center"/>
    </xf>
    <xf numFmtId="49" fontId="0" fillId="2" borderId="31" xfId="0" quotePrefix="1" applyNumberFormat="1" applyFill="1" applyBorder="1" applyAlignment="1">
      <alignment horizontal="center" vertical="center"/>
    </xf>
    <xf numFmtId="0" fontId="8" fillId="0" borderId="37" xfId="0" applyFont="1" applyBorder="1" applyAlignment="1">
      <alignment horizontal="center" vertical="center" wrapText="1"/>
    </xf>
    <xf numFmtId="0" fontId="8" fillId="0" borderId="38" xfId="0" applyFont="1" applyBorder="1" applyAlignment="1">
      <alignment horizontal="center" vertical="center" wrapText="1"/>
    </xf>
    <xf numFmtId="0" fontId="8" fillId="0" borderId="35" xfId="0" applyFont="1" applyBorder="1" applyAlignment="1">
      <alignment horizontal="center" vertical="center" wrapText="1"/>
    </xf>
    <xf numFmtId="0" fontId="8" fillId="0" borderId="39" xfId="0" applyFont="1" applyBorder="1" applyAlignment="1">
      <alignment horizontal="center" vertical="center" wrapText="1"/>
    </xf>
    <xf numFmtId="0" fontId="8" fillId="0" borderId="40" xfId="0" applyFont="1" applyBorder="1" applyAlignment="1">
      <alignment horizontal="center" vertical="center" wrapText="1"/>
    </xf>
    <xf numFmtId="0" fontId="0" fillId="2" borderId="21" xfId="0" applyFill="1" applyBorder="1" applyAlignment="1">
      <alignment horizontal="center" vertical="center"/>
    </xf>
    <xf numFmtId="49" fontId="0" fillId="2" borderId="20" xfId="0" quotePrefix="1" applyNumberFormat="1" applyFill="1" applyBorder="1" applyAlignment="1">
      <alignment horizontal="center" vertical="center"/>
    </xf>
    <xf numFmtId="49" fontId="0" fillId="2" borderId="21" xfId="0" quotePrefix="1" applyNumberFormat="1" applyFill="1" applyBorder="1" applyAlignment="1">
      <alignment horizontal="center" vertical="center"/>
    </xf>
    <xf numFmtId="49" fontId="0" fillId="2" borderId="15" xfId="0" quotePrefix="1" applyNumberFormat="1" applyFill="1" applyBorder="1" applyAlignment="1">
      <alignment horizontal="center" vertical="center"/>
    </xf>
    <xf numFmtId="49" fontId="0" fillId="2" borderId="26" xfId="0" quotePrefix="1" applyNumberFormat="1" applyFill="1" applyBorder="1" applyAlignment="1">
      <alignment horizontal="center" vertical="center"/>
    </xf>
    <xf numFmtId="49" fontId="0" fillId="2" borderId="18" xfId="0" quotePrefix="1" applyNumberFormat="1" applyFill="1" applyBorder="1" applyAlignment="1">
      <alignment horizontal="center" vertical="center"/>
    </xf>
    <xf numFmtId="0" fontId="14" fillId="9" borderId="20" xfId="0" applyFont="1" applyFill="1" applyBorder="1" applyAlignment="1">
      <alignment horizontal="center" vertical="center"/>
    </xf>
    <xf numFmtId="0" fontId="14" fillId="9" borderId="15" xfId="0" applyFont="1" applyFill="1" applyBorder="1" applyAlignment="1">
      <alignment horizontal="center" vertical="center"/>
    </xf>
    <xf numFmtId="0" fontId="14" fillId="9" borderId="18" xfId="0" applyFont="1" applyFill="1" applyBorder="1" applyAlignment="1">
      <alignment horizontal="center" vertical="center"/>
    </xf>
    <xf numFmtId="0" fontId="5" fillId="5" borderId="20" xfId="0" applyFont="1" applyFill="1" applyBorder="1" applyAlignment="1">
      <alignment horizontal="center" vertical="center"/>
    </xf>
    <xf numFmtId="0" fontId="5" fillId="5" borderId="15" xfId="0" applyFont="1" applyFill="1" applyBorder="1" applyAlignment="1">
      <alignment horizontal="center" vertical="center"/>
    </xf>
    <xf numFmtId="0" fontId="5" fillId="5" borderId="18" xfId="0" applyFont="1" applyFill="1" applyBorder="1" applyAlignment="1">
      <alignment horizontal="center" vertical="center"/>
    </xf>
    <xf numFmtId="0" fontId="0" fillId="5" borderId="26" xfId="0" applyFill="1" applyBorder="1" applyAlignment="1">
      <alignment horizontal="center" vertical="center"/>
    </xf>
    <xf numFmtId="0" fontId="25" fillId="2" borderId="20" xfId="0" applyFont="1" applyFill="1" applyBorder="1" applyAlignment="1">
      <alignment horizontal="center" vertical="center"/>
    </xf>
    <xf numFmtId="0" fontId="25" fillId="2" borderId="15" xfId="0" applyFont="1" applyFill="1" applyBorder="1" applyAlignment="1">
      <alignment horizontal="center" vertical="center"/>
    </xf>
    <xf numFmtId="0" fontId="25" fillId="2" borderId="18" xfId="0" applyFont="1" applyFill="1" applyBorder="1" applyAlignment="1">
      <alignment horizontal="center" vertical="center"/>
    </xf>
    <xf numFmtId="0" fontId="9" fillId="12" borderId="30" xfId="0" applyFont="1" applyFill="1" applyBorder="1" applyAlignment="1">
      <alignment horizontal="center" vertical="center"/>
    </xf>
    <xf numFmtId="0" fontId="9" fillId="12" borderId="23" xfId="0" applyFont="1" applyFill="1" applyBorder="1" applyAlignment="1">
      <alignment horizontal="center" vertical="center"/>
    </xf>
    <xf numFmtId="0" fontId="0" fillId="0" borderId="20" xfId="0" applyBorder="1" applyAlignment="1">
      <alignment horizontal="left" vertical="center" wrapText="1"/>
    </xf>
    <xf numFmtId="0" fontId="0" fillId="0" borderId="21" xfId="0" applyBorder="1" applyAlignment="1">
      <alignment horizontal="left" vertical="center" wrapText="1"/>
    </xf>
    <xf numFmtId="0" fontId="0" fillId="0" borderId="15" xfId="0" applyBorder="1" applyAlignment="1">
      <alignment horizontal="left" vertical="center" wrapText="1"/>
    </xf>
    <xf numFmtId="0" fontId="0" fillId="0" borderId="18" xfId="0" applyBorder="1" applyAlignment="1">
      <alignment horizontal="left" vertical="center" wrapText="1"/>
    </xf>
    <xf numFmtId="0" fontId="26" fillId="0" borderId="49" xfId="0" applyFont="1" applyBorder="1" applyAlignment="1">
      <alignment horizontal="center" vertical="center" wrapText="1"/>
    </xf>
    <xf numFmtId="0" fontId="26" fillId="0" borderId="50" xfId="0" applyFont="1" applyBorder="1" applyAlignment="1">
      <alignment horizontal="center" vertical="center" wrapText="1"/>
    </xf>
    <xf numFmtId="0" fontId="26" fillId="0" borderId="51" xfId="0" applyFont="1" applyBorder="1" applyAlignment="1">
      <alignment horizontal="center" vertical="center" wrapText="1"/>
    </xf>
    <xf numFmtId="0" fontId="5" fillId="0" borderId="8" xfId="0" applyFont="1" applyBorder="1" applyAlignment="1">
      <alignment horizontal="center" vertical="center" wrapText="1"/>
    </xf>
    <xf numFmtId="0" fontId="5" fillId="0" borderId="42" xfId="0" applyFont="1" applyBorder="1" applyAlignment="1">
      <alignment horizontal="center" vertical="center" wrapText="1"/>
    </xf>
    <xf numFmtId="0" fontId="5" fillId="0" borderId="10" xfId="0" applyFont="1" applyBorder="1" applyAlignment="1">
      <alignment vertical="center"/>
    </xf>
    <xf numFmtId="0" fontId="5" fillId="0" borderId="32" xfId="0" applyFont="1" applyBorder="1" applyAlignment="1">
      <alignment vertical="center"/>
    </xf>
    <xf numFmtId="0" fontId="0" fillId="0" borderId="10" xfId="0" applyBorder="1" applyAlignment="1">
      <alignment horizontal="center" vertical="center" wrapText="1"/>
    </xf>
    <xf numFmtId="0" fontId="0" fillId="0" borderId="32" xfId="0" applyBorder="1" applyAlignment="1">
      <alignment horizontal="center" vertical="center" wrapText="1"/>
    </xf>
    <xf numFmtId="0" fontId="0" fillId="2" borderId="10" xfId="0" applyFill="1" applyBorder="1" applyAlignment="1">
      <alignment horizontal="center" vertical="center"/>
    </xf>
    <xf numFmtId="0" fontId="0" fillId="2" borderId="32" xfId="0" applyFill="1" applyBorder="1" applyAlignment="1">
      <alignment horizontal="center" vertical="center"/>
    </xf>
    <xf numFmtId="1" fontId="0" fillId="2" borderId="10" xfId="0" quotePrefix="1" applyNumberFormat="1" applyFill="1" applyBorder="1" applyAlignment="1">
      <alignment horizontal="center" vertical="center"/>
    </xf>
    <xf numFmtId="1" fontId="0" fillId="2" borderId="32" xfId="0" quotePrefix="1" applyNumberFormat="1" applyFill="1" applyBorder="1" applyAlignment="1">
      <alignment horizontal="center" vertical="center"/>
    </xf>
    <xf numFmtId="0" fontId="6" fillId="0" borderId="10" xfId="0" applyFont="1" applyBorder="1" applyAlignment="1">
      <alignment horizontal="center" vertical="center"/>
    </xf>
    <xf numFmtId="0" fontId="6" fillId="0" borderId="32" xfId="0" applyFont="1" applyBorder="1" applyAlignment="1">
      <alignment horizontal="center" vertical="center"/>
    </xf>
    <xf numFmtId="0" fontId="6" fillId="0" borderId="0" xfId="0" applyFont="1" applyBorder="1" applyAlignment="1">
      <alignment horizontal="center" vertical="center"/>
    </xf>
    <xf numFmtId="0" fontId="9" fillId="9" borderId="10" xfId="0" applyFont="1" applyFill="1" applyBorder="1" applyAlignment="1">
      <alignment horizontal="center" vertical="center"/>
    </xf>
    <xf numFmtId="0" fontId="9" fillId="9" borderId="32" xfId="0" applyFont="1" applyFill="1" applyBorder="1" applyAlignment="1">
      <alignment horizontal="center" vertical="center"/>
    </xf>
    <xf numFmtId="0" fontId="0" fillId="4" borderId="10" xfId="0" applyFill="1" applyBorder="1" applyAlignment="1">
      <alignment horizontal="center" vertical="center"/>
    </xf>
    <xf numFmtId="0" fontId="0" fillId="4" borderId="32" xfId="0" applyFill="1" applyBorder="1" applyAlignment="1">
      <alignment horizontal="center" vertical="center"/>
    </xf>
    <xf numFmtId="166" fontId="6" fillId="0" borderId="46" xfId="0" applyNumberFormat="1" applyFont="1" applyBorder="1" applyAlignment="1">
      <alignment horizontal="center" vertical="center"/>
    </xf>
    <xf numFmtId="0" fontId="5" fillId="0" borderId="23" xfId="0" applyFont="1" applyBorder="1" applyAlignment="1">
      <alignment vertical="center"/>
    </xf>
    <xf numFmtId="0" fontId="5" fillId="0" borderId="31" xfId="0" applyFont="1" applyBorder="1" applyAlignment="1">
      <alignment vertical="center"/>
    </xf>
    <xf numFmtId="0" fontId="9" fillId="0" borderId="20" xfId="0" applyFont="1" applyBorder="1" applyAlignment="1">
      <alignment horizontal="center" vertical="center"/>
    </xf>
    <xf numFmtId="0" fontId="9" fillId="0" borderId="21" xfId="0" applyFont="1" applyBorder="1" applyAlignment="1">
      <alignment horizontal="center" vertical="center"/>
    </xf>
    <xf numFmtId="0" fontId="9" fillId="0" borderId="15" xfId="0" applyFont="1" applyBorder="1" applyAlignment="1">
      <alignment horizontal="center" vertical="center"/>
    </xf>
    <xf numFmtId="0" fontId="9" fillId="0" borderId="18" xfId="0" applyFont="1" applyBorder="1" applyAlignment="1">
      <alignment horizontal="center" vertical="center"/>
    </xf>
    <xf numFmtId="0" fontId="4" fillId="9" borderId="20" xfId="0" applyFont="1" applyFill="1" applyBorder="1" applyAlignment="1">
      <alignment horizontal="center" vertical="center"/>
    </xf>
    <xf numFmtId="0" fontId="4" fillId="9" borderId="21" xfId="0" applyFont="1" applyFill="1" applyBorder="1" applyAlignment="1">
      <alignment horizontal="center" vertical="center"/>
    </xf>
    <xf numFmtId="0" fontId="4" fillId="9" borderId="15" xfId="0" applyFont="1" applyFill="1" applyBorder="1" applyAlignment="1">
      <alignment horizontal="center" vertical="center"/>
    </xf>
    <xf numFmtId="0" fontId="4" fillId="9" borderId="18" xfId="0" applyFont="1" applyFill="1" applyBorder="1" applyAlignment="1">
      <alignment horizontal="center" vertical="center"/>
    </xf>
    <xf numFmtId="0" fontId="4" fillId="7" borderId="20" xfId="0" applyFont="1" applyFill="1" applyBorder="1" applyAlignment="1">
      <alignment horizontal="center" vertical="center"/>
    </xf>
    <xf numFmtId="0" fontId="4" fillId="7" borderId="21" xfId="0" applyFont="1" applyFill="1" applyBorder="1" applyAlignment="1">
      <alignment horizontal="center" vertical="center"/>
    </xf>
    <xf numFmtId="0" fontId="4" fillId="7" borderId="15" xfId="0" applyFont="1" applyFill="1" applyBorder="1" applyAlignment="1">
      <alignment horizontal="center" vertical="center"/>
    </xf>
    <xf numFmtId="0" fontId="4" fillId="7" borderId="18" xfId="0" applyFont="1" applyFill="1" applyBorder="1" applyAlignment="1">
      <alignment horizontal="center" vertical="center"/>
    </xf>
    <xf numFmtId="0" fontId="4" fillId="12" borderId="20" xfId="0" applyFont="1" applyFill="1" applyBorder="1" applyAlignment="1">
      <alignment horizontal="center" vertical="center"/>
    </xf>
    <xf numFmtId="0" fontId="4" fillId="12" borderId="21" xfId="0" applyFont="1" applyFill="1" applyBorder="1" applyAlignment="1">
      <alignment horizontal="center" vertical="center"/>
    </xf>
    <xf numFmtId="0" fontId="4" fillId="12" borderId="15" xfId="0" applyFont="1" applyFill="1" applyBorder="1" applyAlignment="1">
      <alignment horizontal="center" vertical="center"/>
    </xf>
    <xf numFmtId="0" fontId="4" fillId="12" borderId="18" xfId="0" applyFont="1" applyFill="1" applyBorder="1" applyAlignment="1">
      <alignment horizontal="center" vertical="center"/>
    </xf>
    <xf numFmtId="1" fontId="6" fillId="13" borderId="20" xfId="0" applyNumberFormat="1" applyFont="1" applyFill="1" applyBorder="1" applyAlignment="1">
      <alignment horizontal="center" vertical="center" wrapText="1"/>
    </xf>
    <xf numFmtId="1" fontId="6" fillId="13" borderId="21" xfId="0" applyNumberFormat="1" applyFont="1" applyFill="1" applyBorder="1" applyAlignment="1">
      <alignment horizontal="center" vertical="center" wrapText="1"/>
    </xf>
    <xf numFmtId="1" fontId="6" fillId="13" borderId="15" xfId="0" applyNumberFormat="1" applyFont="1" applyFill="1" applyBorder="1" applyAlignment="1">
      <alignment horizontal="center" vertical="center" wrapText="1"/>
    </xf>
    <xf numFmtId="1" fontId="6" fillId="13" borderId="18" xfId="0" applyNumberFormat="1" applyFont="1" applyFill="1" applyBorder="1" applyAlignment="1">
      <alignment horizontal="center" vertical="center" wrapText="1"/>
    </xf>
    <xf numFmtId="0" fontId="5" fillId="0" borderId="49" xfId="0" applyFont="1" applyBorder="1" applyAlignment="1">
      <alignment horizontal="center" vertical="center" wrapText="1"/>
    </xf>
    <xf numFmtId="0" fontId="5" fillId="0" borderId="50" xfId="0" applyFont="1" applyBorder="1" applyAlignment="1">
      <alignment horizontal="center" vertical="center" wrapText="1"/>
    </xf>
    <xf numFmtId="0" fontId="5" fillId="0" borderId="51" xfId="0" applyFont="1" applyBorder="1" applyAlignment="1">
      <alignment horizontal="center" vertical="center" wrapText="1"/>
    </xf>
    <xf numFmtId="0" fontId="5" fillId="2" borderId="30" xfId="0" applyFont="1" applyFill="1" applyBorder="1" applyAlignment="1">
      <alignment horizontal="center" vertical="center" wrapText="1"/>
    </xf>
    <xf numFmtId="0" fontId="5" fillId="2" borderId="23" xfId="0" applyFont="1" applyFill="1" applyBorder="1" applyAlignment="1">
      <alignment horizontal="center" vertical="center" wrapText="1"/>
    </xf>
    <xf numFmtId="0" fontId="5" fillId="2" borderId="31" xfId="0" applyFont="1" applyFill="1" applyBorder="1" applyAlignment="1">
      <alignment horizontal="center" vertical="center" wrapText="1"/>
    </xf>
    <xf numFmtId="0" fontId="5" fillId="2" borderId="30" xfId="0" quotePrefix="1" applyFont="1" applyFill="1" applyBorder="1" applyAlignment="1">
      <alignment horizontal="center" vertical="center" wrapText="1"/>
    </xf>
    <xf numFmtId="0" fontId="5" fillId="2" borderId="23" xfId="0" quotePrefix="1" applyFont="1" applyFill="1" applyBorder="1" applyAlignment="1">
      <alignment horizontal="center" vertical="center" wrapText="1"/>
    </xf>
    <xf numFmtId="0" fontId="5" fillId="2" borderId="31" xfId="0" quotePrefix="1" applyFont="1" applyFill="1" applyBorder="1" applyAlignment="1">
      <alignment horizontal="center" vertical="center" wrapText="1"/>
    </xf>
    <xf numFmtId="0" fontId="7" fillId="0" borderId="30" xfId="0" applyFont="1" applyBorder="1" applyAlignment="1">
      <alignment horizontal="center" vertical="center" wrapText="1"/>
    </xf>
    <xf numFmtId="0" fontId="7" fillId="0" borderId="23" xfId="0" applyFont="1" applyBorder="1" applyAlignment="1">
      <alignment horizontal="center" vertical="center" wrapText="1"/>
    </xf>
    <xf numFmtId="0" fontId="7" fillId="0" borderId="31" xfId="0" applyFont="1" applyBorder="1" applyAlignment="1">
      <alignment horizontal="center" vertical="center" wrapText="1"/>
    </xf>
    <xf numFmtId="0" fontId="9" fillId="7" borderId="30" xfId="0" applyFont="1" applyFill="1" applyBorder="1" applyAlignment="1">
      <alignment horizontal="center" vertical="center"/>
    </xf>
    <xf numFmtId="0" fontId="9" fillId="7" borderId="23" xfId="0" applyFont="1" applyFill="1" applyBorder="1" applyAlignment="1">
      <alignment horizontal="center" vertical="center"/>
    </xf>
    <xf numFmtId="0" fontId="9" fillId="7" borderId="31" xfId="0" applyFont="1" applyFill="1" applyBorder="1" applyAlignment="1">
      <alignment horizontal="center" vertical="center"/>
    </xf>
    <xf numFmtId="0" fontId="9" fillId="9" borderId="30" xfId="0" applyFont="1" applyFill="1" applyBorder="1" applyAlignment="1">
      <alignment horizontal="center" vertical="center"/>
    </xf>
    <xf numFmtId="0" fontId="9" fillId="9" borderId="23" xfId="0" applyFont="1" applyFill="1" applyBorder="1" applyAlignment="1">
      <alignment horizontal="center" vertical="center"/>
    </xf>
    <xf numFmtId="0" fontId="9" fillId="9" borderId="31" xfId="0" applyFont="1" applyFill="1" applyBorder="1" applyAlignment="1">
      <alignment horizontal="center" vertical="center"/>
    </xf>
    <xf numFmtId="0" fontId="27" fillId="0" borderId="24" xfId="0" applyFont="1" applyBorder="1" applyAlignment="1">
      <alignment horizontal="center" vertical="center" wrapText="1"/>
    </xf>
    <xf numFmtId="0" fontId="27" fillId="0" borderId="14" xfId="0" applyFont="1" applyBorder="1" applyAlignment="1">
      <alignment horizontal="center" vertical="center" wrapText="1"/>
    </xf>
    <xf numFmtId="0" fontId="27" fillId="0" borderId="17" xfId="0" applyFont="1" applyBorder="1" applyAlignment="1">
      <alignment horizontal="center" vertical="center" wrapText="1"/>
    </xf>
    <xf numFmtId="0" fontId="19" fillId="0" borderId="18" xfId="0" applyFont="1" applyFill="1" applyBorder="1" applyAlignment="1">
      <alignment horizontal="justify" vertical="center" wrapText="1"/>
    </xf>
    <xf numFmtId="0" fontId="19" fillId="2" borderId="18" xfId="0" applyFont="1" applyFill="1" applyBorder="1" applyAlignment="1">
      <alignment horizontal="left" vertical="center"/>
    </xf>
    <xf numFmtId="0" fontId="19" fillId="2" borderId="19" xfId="0" applyFont="1" applyFill="1" applyBorder="1" applyAlignment="1">
      <alignment horizontal="left" vertic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19" fillId="0" borderId="15" xfId="0" applyFont="1" applyFill="1" applyBorder="1" applyAlignment="1">
      <alignment horizontal="justify" vertical="center" wrapText="1"/>
    </xf>
    <xf numFmtId="0" fontId="19" fillId="2" borderId="15" xfId="0" applyFont="1" applyFill="1" applyBorder="1" applyAlignment="1">
      <alignment horizontal="left" vertical="center"/>
    </xf>
    <xf numFmtId="0" fontId="19" fillId="2" borderId="16" xfId="0" applyFont="1" applyFill="1" applyBorder="1" applyAlignment="1">
      <alignment horizontal="left" vertical="center"/>
    </xf>
    <xf numFmtId="0" fontId="19" fillId="2" borderId="15" xfId="0" applyFont="1" applyFill="1" applyBorder="1" applyAlignment="1">
      <alignment horizontal="left" vertical="center" wrapText="1"/>
    </xf>
    <xf numFmtId="0" fontId="19" fillId="2" borderId="16" xfId="0" applyFont="1" applyFill="1" applyBorder="1" applyAlignment="1">
      <alignment horizontal="left" vertical="center" wrapText="1"/>
    </xf>
    <xf numFmtId="0" fontId="11" fillId="2" borderId="15" xfId="0" applyFont="1" applyFill="1" applyBorder="1" applyAlignment="1">
      <alignment horizontal="center"/>
    </xf>
    <xf numFmtId="0" fontId="11" fillId="2" borderId="16" xfId="0" applyFont="1" applyFill="1" applyBorder="1" applyAlignment="1">
      <alignment horizontal="center"/>
    </xf>
    <xf numFmtId="0" fontId="19" fillId="0" borderId="15" xfId="0" applyNumberFormat="1" applyFont="1" applyFill="1" applyBorder="1" applyAlignment="1">
      <alignment horizontal="justify" vertical="center" wrapText="1"/>
    </xf>
    <xf numFmtId="0" fontId="19" fillId="0" borderId="15" xfId="0" applyFont="1" applyBorder="1" applyAlignment="1">
      <alignment horizontal="center" vertical="center"/>
    </xf>
    <xf numFmtId="0" fontId="19" fillId="0" borderId="16" xfId="0" applyFont="1" applyBorder="1" applyAlignment="1">
      <alignment horizontal="center" vertical="center"/>
    </xf>
    <xf numFmtId="0" fontId="19" fillId="0" borderId="18" xfId="0" applyNumberFormat="1" applyFont="1" applyFill="1" applyBorder="1" applyAlignment="1">
      <alignment horizontal="justify" vertical="center" wrapText="1"/>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11" fillId="2" borderId="24" xfId="0" applyFont="1" applyFill="1" applyBorder="1" applyAlignment="1">
      <alignment horizontal="center" vertical="center" wrapText="1"/>
    </xf>
    <xf numFmtId="0" fontId="11" fillId="2" borderId="20" xfId="0" applyFont="1" applyFill="1" applyBorder="1" applyAlignment="1">
      <alignment horizontal="center" vertical="center" wrapText="1"/>
    </xf>
    <xf numFmtId="0" fontId="11" fillId="2" borderId="25" xfId="0" applyFont="1" applyFill="1" applyBorder="1" applyAlignment="1">
      <alignment horizontal="center" vertical="center" wrapText="1"/>
    </xf>
    <xf numFmtId="0" fontId="22" fillId="0" borderId="2" xfId="0" applyFont="1" applyBorder="1" applyAlignment="1">
      <alignment horizontal="center" vertical="center" wrapText="1"/>
    </xf>
    <xf numFmtId="0" fontId="22" fillId="0" borderId="36" xfId="0" applyFont="1" applyBorder="1" applyAlignment="1">
      <alignment horizontal="center" vertical="center" wrapText="1"/>
    </xf>
    <xf numFmtId="0" fontId="22" fillId="0" borderId="13" xfId="0" applyFont="1" applyBorder="1" applyAlignment="1">
      <alignment horizontal="center" vertical="center" wrapText="1"/>
    </xf>
    <xf numFmtId="168" fontId="22" fillId="0" borderId="2" xfId="0" applyNumberFormat="1" applyFont="1" applyBorder="1" applyAlignment="1">
      <alignment horizontal="center" vertical="center" wrapText="1"/>
    </xf>
    <xf numFmtId="168" fontId="22" fillId="0" borderId="36" xfId="0" applyNumberFormat="1" applyFont="1" applyBorder="1" applyAlignment="1">
      <alignment horizontal="center" vertical="center" wrapText="1"/>
    </xf>
    <xf numFmtId="168" fontId="22" fillId="0" borderId="13" xfId="0" applyNumberFormat="1" applyFont="1" applyBorder="1" applyAlignment="1">
      <alignment horizontal="center" vertical="center" wrapText="1"/>
    </xf>
    <xf numFmtId="0" fontId="10" fillId="2" borderId="24" xfId="0" applyFont="1" applyFill="1" applyBorder="1" applyAlignment="1">
      <alignment horizontal="center" vertical="center" wrapText="1"/>
    </xf>
    <xf numFmtId="0" fontId="10" fillId="2" borderId="20" xfId="0" applyFont="1" applyFill="1" applyBorder="1" applyAlignment="1">
      <alignment horizontal="center" vertical="center" wrapText="1"/>
    </xf>
    <xf numFmtId="0" fontId="10" fillId="2" borderId="25" xfId="0" applyFont="1" applyFill="1" applyBorder="1" applyAlignment="1">
      <alignment horizontal="center" vertical="center" wrapText="1"/>
    </xf>
    <xf numFmtId="0" fontId="10" fillId="2" borderId="33" xfId="0" applyFont="1" applyFill="1" applyBorder="1" applyAlignment="1">
      <alignment horizontal="center" vertical="center"/>
    </xf>
    <xf numFmtId="0" fontId="10" fillId="2" borderId="34" xfId="0" applyFont="1" applyFill="1" applyBorder="1" applyAlignment="1">
      <alignment horizontal="center" vertical="center"/>
    </xf>
    <xf numFmtId="0" fontId="10" fillId="2" borderId="35" xfId="0" applyFont="1" applyFill="1" applyBorder="1" applyAlignment="1">
      <alignment horizontal="center" vertical="center"/>
    </xf>
    <xf numFmtId="0" fontId="10" fillId="2" borderId="15" xfId="0" applyFont="1" applyFill="1" applyBorder="1" applyAlignment="1">
      <alignment horizontal="center" vertical="center"/>
    </xf>
    <xf numFmtId="0" fontId="10" fillId="2" borderId="16" xfId="0" applyFont="1" applyFill="1" applyBorder="1" applyAlignment="1">
      <alignment horizontal="center" vertical="center"/>
    </xf>
    <xf numFmtId="0" fontId="19" fillId="0" borderId="15" xfId="0" applyFont="1" applyBorder="1" applyAlignment="1">
      <alignment horizontal="center" vertical="center" wrapText="1"/>
    </xf>
    <xf numFmtId="0" fontId="19" fillId="0" borderId="16" xfId="0" applyFont="1" applyBorder="1" applyAlignment="1">
      <alignment horizontal="center" vertical="center" wrapText="1"/>
    </xf>
    <xf numFmtId="1" fontId="22" fillId="0" borderId="2" xfId="0" applyNumberFormat="1" applyFont="1" applyBorder="1" applyAlignment="1">
      <alignment horizontal="center" vertical="center" wrapText="1"/>
    </xf>
    <xf numFmtId="1" fontId="22" fillId="0" borderId="36" xfId="0" applyNumberFormat="1" applyFont="1" applyBorder="1" applyAlignment="1">
      <alignment horizontal="center" vertical="center" wrapText="1"/>
    </xf>
    <xf numFmtId="1" fontId="22" fillId="0" borderId="13" xfId="0" applyNumberFormat="1" applyFont="1" applyBorder="1" applyAlignment="1">
      <alignment horizontal="center" vertical="center" wrapText="1"/>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cellXfs>
  <cellStyles count="1">
    <cellStyle name="Normal" xfId="0" builtinId="0"/>
  </cellStyles>
  <dxfs count="22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'MONOXIDO (CO)  '!$C$40</c:f>
              <c:strCache>
                <c:ptCount val="1"/>
                <c:pt idx="0">
                  <c:v>ERROR + U EXPANDIDA CAL 2 [%]</c:v>
                </c:pt>
              </c:strCache>
            </c:strRef>
          </c:tx>
          <c:val>
            <c:numRef>
              <c:f>'MONOXIDO (CO)  '!$C$41:$C$48</c:f>
              <c:numCache>
                <c:formatCode>0.000</c:formatCode>
                <c:ptCount val="8"/>
                <c:pt idx="0">
                  <c:v>6.9999999999999889E-3</c:v>
                </c:pt>
                <c:pt idx="1">
                  <c:v>4.0000000000000174E-2</c:v>
                </c:pt>
                <c:pt idx="2">
                  <c:v>0.14000000000000065</c:v>
                </c:pt>
                <c:pt idx="3">
                  <c:v>6.0000000000000001E-3</c:v>
                </c:pt>
                <c:pt idx="4">
                  <c:v>2.4E-2</c:v>
                </c:pt>
                <c:pt idx="5">
                  <c:v>9.0999999999999998E-2</c:v>
                </c:pt>
                <c:pt idx="6">
                  <c:v>0.19</c:v>
                </c:pt>
                <c:pt idx="7">
                  <c:v>6.0000000000000001E-3</c:v>
                </c:pt>
              </c:numCache>
            </c:numRef>
          </c:val>
          <c:smooth val="0"/>
          <c:extLst>
            <c:ext xmlns:c16="http://schemas.microsoft.com/office/drawing/2014/chart" uri="{C3380CC4-5D6E-409C-BE32-E72D297353CC}">
              <c16:uniqueId val="{00000000-7013-4E5C-BF9B-CC8271F1F145}"/>
            </c:ext>
          </c:extLst>
        </c:ser>
        <c:ser>
          <c:idx val="1"/>
          <c:order val="1"/>
          <c:tx>
            <c:strRef>
              <c:f>'MONOXIDO (CO)  '!$D$40</c:f>
              <c:strCache>
                <c:ptCount val="1"/>
                <c:pt idx="0">
                  <c:v>ERROR - U EXPANDIDA CAL 2 [%]</c:v>
                </c:pt>
              </c:strCache>
            </c:strRef>
          </c:tx>
          <c:val>
            <c:numRef>
              <c:f>'MONOXIDO (CO)  '!$D$41:$D$48</c:f>
              <c:numCache>
                <c:formatCode>0.000</c:formatCode>
                <c:ptCount val="8"/>
                <c:pt idx="0">
                  <c:v>-3.5000000000000017E-2</c:v>
                </c:pt>
                <c:pt idx="1">
                  <c:v>-0.13999999999999982</c:v>
                </c:pt>
                <c:pt idx="2">
                  <c:v>-0.19999999999999937</c:v>
                </c:pt>
                <c:pt idx="3">
                  <c:v>-6.0000000000000001E-3</c:v>
                </c:pt>
                <c:pt idx="4">
                  <c:v>-2.4E-2</c:v>
                </c:pt>
                <c:pt idx="5">
                  <c:v>-9.0999999999999998E-2</c:v>
                </c:pt>
                <c:pt idx="6">
                  <c:v>-0.19</c:v>
                </c:pt>
                <c:pt idx="7">
                  <c:v>-6.0000000000000001E-3</c:v>
                </c:pt>
              </c:numCache>
            </c:numRef>
          </c:val>
          <c:smooth val="0"/>
          <c:extLst>
            <c:ext xmlns:c16="http://schemas.microsoft.com/office/drawing/2014/chart" uri="{C3380CC4-5D6E-409C-BE32-E72D297353CC}">
              <c16:uniqueId val="{00000001-7013-4E5C-BF9B-CC8271F1F145}"/>
            </c:ext>
          </c:extLst>
        </c:ser>
        <c:ser>
          <c:idx val="2"/>
          <c:order val="2"/>
          <c:tx>
            <c:strRef>
              <c:f>'MONOXIDO (CO)  '!$E$40</c:f>
              <c:strCache>
                <c:ptCount val="1"/>
                <c:pt idx="0">
                  <c:v>Exactitud NTC 5365 Numeral 5.2.7.1 (+) [%]</c:v>
                </c:pt>
              </c:strCache>
            </c:strRef>
          </c:tx>
          <c:val>
            <c:numRef>
              <c:f>'MONOXIDO (CO)  '!$E$41:$E$48</c:f>
              <c:numCache>
                <c:formatCode>0.00</c:formatCode>
                <c:ptCount val="8"/>
                <c:pt idx="0">
                  <c:v>0.06</c:v>
                </c:pt>
                <c:pt idx="1">
                  <c:v>0.15</c:v>
                </c:pt>
                <c:pt idx="2">
                  <c:v>0.4</c:v>
                </c:pt>
                <c:pt idx="3">
                  <c:v>0.06</c:v>
                </c:pt>
                <c:pt idx="4">
                  <c:v>0.06</c:v>
                </c:pt>
                <c:pt idx="5">
                  <c:v>0.15</c:v>
                </c:pt>
                <c:pt idx="6">
                  <c:v>0.4</c:v>
                </c:pt>
                <c:pt idx="7">
                  <c:v>0.06</c:v>
                </c:pt>
              </c:numCache>
            </c:numRef>
          </c:val>
          <c:smooth val="0"/>
          <c:extLst>
            <c:ext xmlns:c16="http://schemas.microsoft.com/office/drawing/2014/chart" uri="{C3380CC4-5D6E-409C-BE32-E72D297353CC}">
              <c16:uniqueId val="{00000002-7013-4E5C-BF9B-CC8271F1F145}"/>
            </c:ext>
          </c:extLst>
        </c:ser>
        <c:ser>
          <c:idx val="3"/>
          <c:order val="3"/>
          <c:tx>
            <c:strRef>
              <c:f>'MONOXIDO (CO)  '!$F$40</c:f>
              <c:strCache>
                <c:ptCount val="1"/>
                <c:pt idx="0">
                  <c:v>Exactitud NTC 5365 Numeral 5.2.7.1 (-) [%]</c:v>
                </c:pt>
              </c:strCache>
            </c:strRef>
          </c:tx>
          <c:val>
            <c:numRef>
              <c:f>'MONOXIDO (CO)  '!$F$41:$F$48</c:f>
              <c:numCache>
                <c:formatCode>0.00</c:formatCode>
                <c:ptCount val="8"/>
                <c:pt idx="0">
                  <c:v>-0.06</c:v>
                </c:pt>
                <c:pt idx="1">
                  <c:v>-0.15</c:v>
                </c:pt>
                <c:pt idx="2">
                  <c:v>-0.4</c:v>
                </c:pt>
                <c:pt idx="3">
                  <c:v>-0.06</c:v>
                </c:pt>
                <c:pt idx="4">
                  <c:v>-0.06</c:v>
                </c:pt>
                <c:pt idx="5">
                  <c:v>-0.15</c:v>
                </c:pt>
                <c:pt idx="6">
                  <c:v>-0.4</c:v>
                </c:pt>
                <c:pt idx="7">
                  <c:v>-0.06</c:v>
                </c:pt>
              </c:numCache>
            </c:numRef>
          </c:val>
          <c:smooth val="0"/>
          <c:extLst>
            <c:ext xmlns:c16="http://schemas.microsoft.com/office/drawing/2014/chart" uri="{C3380CC4-5D6E-409C-BE32-E72D297353CC}">
              <c16:uniqueId val="{00000000-5AAC-4CD3-A3C9-FD8013BFA71F}"/>
            </c:ext>
          </c:extLst>
        </c:ser>
        <c:dLbls>
          <c:showLegendKey val="0"/>
          <c:showVal val="0"/>
          <c:showCatName val="0"/>
          <c:showSerName val="0"/>
          <c:showPercent val="0"/>
          <c:showBubbleSize val="0"/>
        </c:dLbls>
        <c:marker val="1"/>
        <c:smooth val="0"/>
        <c:axId val="414187064"/>
        <c:axId val="414187456"/>
      </c:lineChart>
      <c:catAx>
        <c:axId val="414187064"/>
        <c:scaling>
          <c:orientation val="minMax"/>
        </c:scaling>
        <c:delete val="0"/>
        <c:axPos val="b"/>
        <c:numFmt formatCode="General" sourceLinked="1"/>
        <c:majorTickMark val="none"/>
        <c:minorTickMark val="none"/>
        <c:tickLblPos val="nextTo"/>
        <c:crossAx val="414187456"/>
        <c:crosses val="autoZero"/>
        <c:auto val="1"/>
        <c:lblAlgn val="ctr"/>
        <c:lblOffset val="100"/>
        <c:noMultiLvlLbl val="0"/>
      </c:catAx>
      <c:valAx>
        <c:axId val="414187456"/>
        <c:scaling>
          <c:orientation val="minMax"/>
        </c:scaling>
        <c:delete val="0"/>
        <c:axPos val="l"/>
        <c:majorGridlines/>
        <c:title>
          <c:overlay val="0"/>
        </c:title>
        <c:numFmt formatCode="0.000" sourceLinked="1"/>
        <c:majorTickMark val="none"/>
        <c:minorTickMark val="none"/>
        <c:tickLblPos val="nextTo"/>
        <c:crossAx val="414187064"/>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manualLayout>
          <c:layoutTarget val="inner"/>
          <c:xMode val="edge"/>
          <c:yMode val="edge"/>
          <c:x val="8.2177693802692783E-2"/>
          <c:y val="0.15915385185002343"/>
          <c:w val="0.60795532381315365"/>
          <c:h val="0.77772171895440967"/>
        </c:manualLayout>
      </c:layout>
      <c:lineChart>
        <c:grouping val="standard"/>
        <c:varyColors val="0"/>
        <c:ser>
          <c:idx val="0"/>
          <c:order val="0"/>
          <c:tx>
            <c:strRef>
              <c:f>'OXIGENO (O2) '!$C$39</c:f>
              <c:strCache>
                <c:ptCount val="1"/>
                <c:pt idx="0">
                  <c:v>ERROR + U EXPANDIDA CAL 2 [%]</c:v>
                </c:pt>
              </c:strCache>
            </c:strRef>
          </c:tx>
          <c:val>
            <c:numRef>
              <c:f>'OXIGENO (O2) '!$C$40:$C$47</c:f>
              <c:numCache>
                <c:formatCode>0.000</c:formatCode>
                <c:ptCount val="8"/>
                <c:pt idx="0">
                  <c:v>5.8000000000000003E-2</c:v>
                </c:pt>
                <c:pt idx="1">
                  <c:v>5.8000000000000003E-2</c:v>
                </c:pt>
                <c:pt idx="2">
                  <c:v>5.8000000000000003E-2</c:v>
                </c:pt>
                <c:pt idx="3">
                  <c:v>5.8000000000000003E-2</c:v>
                </c:pt>
                <c:pt idx="4">
                  <c:v>5.8000000000000003E-2</c:v>
                </c:pt>
                <c:pt idx="5">
                  <c:v>5.8000000000000003E-2</c:v>
                </c:pt>
                <c:pt idx="6">
                  <c:v>5.8000000000000003E-2</c:v>
                </c:pt>
                <c:pt idx="7">
                  <c:v>5.8000000000000003E-2</c:v>
                </c:pt>
              </c:numCache>
            </c:numRef>
          </c:val>
          <c:smooth val="0"/>
          <c:extLst>
            <c:ext xmlns:c16="http://schemas.microsoft.com/office/drawing/2014/chart" uri="{C3380CC4-5D6E-409C-BE32-E72D297353CC}">
              <c16:uniqueId val="{00000000-17F1-4DEF-A9D0-138736425EA4}"/>
            </c:ext>
          </c:extLst>
        </c:ser>
        <c:ser>
          <c:idx val="1"/>
          <c:order val="1"/>
          <c:tx>
            <c:strRef>
              <c:f>'OXIGENO (O2) '!$D$39</c:f>
              <c:strCache>
                <c:ptCount val="1"/>
                <c:pt idx="0">
                  <c:v>ERROR - U EXPANDIDA CAL 2 [%]</c:v>
                </c:pt>
              </c:strCache>
            </c:strRef>
          </c:tx>
          <c:val>
            <c:numRef>
              <c:f>'OXIGENO (O2) '!$D$40:$D$47</c:f>
              <c:numCache>
                <c:formatCode>0.000</c:formatCode>
                <c:ptCount val="8"/>
                <c:pt idx="0">
                  <c:v>-5.8000000000000003E-2</c:v>
                </c:pt>
                <c:pt idx="1">
                  <c:v>-5.8000000000000003E-2</c:v>
                </c:pt>
                <c:pt idx="2">
                  <c:v>-5.8000000000000003E-2</c:v>
                </c:pt>
                <c:pt idx="3">
                  <c:v>-5.8000000000000003E-2</c:v>
                </c:pt>
                <c:pt idx="4">
                  <c:v>-5.8000000000000003E-2</c:v>
                </c:pt>
                <c:pt idx="5">
                  <c:v>-5.8000000000000003E-2</c:v>
                </c:pt>
                <c:pt idx="6">
                  <c:v>-5.8000000000000003E-2</c:v>
                </c:pt>
                <c:pt idx="7">
                  <c:v>-5.8000000000000003E-2</c:v>
                </c:pt>
              </c:numCache>
            </c:numRef>
          </c:val>
          <c:smooth val="0"/>
          <c:extLst>
            <c:ext xmlns:c16="http://schemas.microsoft.com/office/drawing/2014/chart" uri="{C3380CC4-5D6E-409C-BE32-E72D297353CC}">
              <c16:uniqueId val="{00000001-17F1-4DEF-A9D0-138736425EA4}"/>
            </c:ext>
          </c:extLst>
        </c:ser>
        <c:ser>
          <c:idx val="2"/>
          <c:order val="2"/>
          <c:tx>
            <c:strRef>
              <c:f>'OXIGENO (O2) '!$E$39</c:f>
              <c:strCache>
                <c:ptCount val="1"/>
                <c:pt idx="0">
                  <c:v>Exactitud NTC 5365 Numeral 5.2.7.1 (+) [%]</c:v>
                </c:pt>
              </c:strCache>
            </c:strRef>
          </c:tx>
          <c:val>
            <c:numRef>
              <c:f>'OXIGENO (O2) '!$E$40:$E$47</c:f>
              <c:numCache>
                <c:formatCode>0.00</c:formatCode>
                <c:ptCount val="8"/>
                <c:pt idx="0">
                  <c:v>0.5</c:v>
                </c:pt>
                <c:pt idx="1">
                  <c:v>0.5</c:v>
                </c:pt>
                <c:pt idx="2">
                  <c:v>0.5</c:v>
                </c:pt>
                <c:pt idx="3">
                  <c:v>0.5</c:v>
                </c:pt>
                <c:pt idx="4">
                  <c:v>0.5</c:v>
                </c:pt>
                <c:pt idx="5">
                  <c:v>0.5</c:v>
                </c:pt>
                <c:pt idx="6">
                  <c:v>0.5</c:v>
                </c:pt>
                <c:pt idx="7">
                  <c:v>0.5</c:v>
                </c:pt>
              </c:numCache>
            </c:numRef>
          </c:val>
          <c:smooth val="0"/>
          <c:extLst>
            <c:ext xmlns:c16="http://schemas.microsoft.com/office/drawing/2014/chart" uri="{C3380CC4-5D6E-409C-BE32-E72D297353CC}">
              <c16:uniqueId val="{00000002-17F1-4DEF-A9D0-138736425EA4}"/>
            </c:ext>
          </c:extLst>
        </c:ser>
        <c:ser>
          <c:idx val="3"/>
          <c:order val="3"/>
          <c:tx>
            <c:strRef>
              <c:f>'OXIGENO (O2) '!$F$39</c:f>
              <c:strCache>
                <c:ptCount val="1"/>
                <c:pt idx="0">
                  <c:v>Exactitud NTC 5365 Numeral 5.2.7.1 (-) [%]</c:v>
                </c:pt>
              </c:strCache>
            </c:strRef>
          </c:tx>
          <c:val>
            <c:numRef>
              <c:f>'OXIGENO (O2) '!$F$40:$F$47</c:f>
              <c:numCache>
                <c:formatCode>0.00</c:formatCode>
                <c:ptCount val="8"/>
                <c:pt idx="0">
                  <c:v>-0.5</c:v>
                </c:pt>
                <c:pt idx="1">
                  <c:v>-0.5</c:v>
                </c:pt>
                <c:pt idx="2">
                  <c:v>-0.5</c:v>
                </c:pt>
                <c:pt idx="3">
                  <c:v>-0.5</c:v>
                </c:pt>
                <c:pt idx="4">
                  <c:v>-0.5</c:v>
                </c:pt>
                <c:pt idx="5">
                  <c:v>-0.5</c:v>
                </c:pt>
                <c:pt idx="6">
                  <c:v>-0.5</c:v>
                </c:pt>
                <c:pt idx="7">
                  <c:v>-0.5</c:v>
                </c:pt>
              </c:numCache>
            </c:numRef>
          </c:val>
          <c:smooth val="0"/>
          <c:extLst>
            <c:ext xmlns:c16="http://schemas.microsoft.com/office/drawing/2014/chart" uri="{C3380CC4-5D6E-409C-BE32-E72D297353CC}">
              <c16:uniqueId val="{00000003-17F1-4DEF-A9D0-138736425EA4}"/>
            </c:ext>
          </c:extLst>
        </c:ser>
        <c:dLbls>
          <c:showLegendKey val="0"/>
          <c:showVal val="0"/>
          <c:showCatName val="0"/>
          <c:showSerName val="0"/>
          <c:showPercent val="0"/>
          <c:showBubbleSize val="0"/>
        </c:dLbls>
        <c:marker val="1"/>
        <c:smooth val="0"/>
        <c:axId val="413403704"/>
        <c:axId val="413404096"/>
      </c:lineChart>
      <c:catAx>
        <c:axId val="413403704"/>
        <c:scaling>
          <c:orientation val="minMax"/>
        </c:scaling>
        <c:delete val="0"/>
        <c:axPos val="b"/>
        <c:numFmt formatCode="General" sourceLinked="1"/>
        <c:majorTickMark val="none"/>
        <c:minorTickMark val="none"/>
        <c:tickLblPos val="nextTo"/>
        <c:crossAx val="413404096"/>
        <c:crosses val="autoZero"/>
        <c:auto val="1"/>
        <c:lblAlgn val="ctr"/>
        <c:lblOffset val="100"/>
        <c:noMultiLvlLbl val="0"/>
      </c:catAx>
      <c:valAx>
        <c:axId val="413404096"/>
        <c:scaling>
          <c:orientation val="minMax"/>
        </c:scaling>
        <c:delete val="0"/>
        <c:axPos val="l"/>
        <c:majorGridlines/>
        <c:title>
          <c:overlay val="0"/>
        </c:title>
        <c:numFmt formatCode="0.000" sourceLinked="1"/>
        <c:majorTickMark val="none"/>
        <c:minorTickMark val="none"/>
        <c:tickLblPos val="nextTo"/>
        <c:crossAx val="413403704"/>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'OXIGENO (O2) '!$C$67</c:f>
              <c:strCache>
                <c:ptCount val="1"/>
                <c:pt idx="0">
                  <c:v>RUIDO CAL 2</c:v>
                </c:pt>
              </c:strCache>
            </c:strRef>
          </c:tx>
          <c:val>
            <c:numRef>
              <c:f>'OXIGENO (O2) '!$C$68:$C$71</c:f>
              <c:numCache>
                <c:formatCode>0.000</c:formatCode>
                <c:ptCount val="4"/>
                <c:pt idx="0">
                  <c:v>0</c:v>
                </c:pt>
                <c:pt idx="1">
                  <c:v>1E-3</c:v>
                </c:pt>
                <c:pt idx="2">
                  <c:v>0</c:v>
                </c:pt>
                <c:pt idx="3">
                  <c:v>0</c:v>
                </c:pt>
              </c:numCache>
            </c:numRef>
          </c:val>
          <c:smooth val="0"/>
          <c:extLst>
            <c:ext xmlns:c16="http://schemas.microsoft.com/office/drawing/2014/chart" uri="{C3380CC4-5D6E-409C-BE32-E72D297353CC}">
              <c16:uniqueId val="{0000000C-FA3B-45C7-B754-01DF695F8898}"/>
            </c:ext>
          </c:extLst>
        </c:ser>
        <c:ser>
          <c:idx val="1"/>
          <c:order val="1"/>
          <c:tx>
            <c:strRef>
              <c:f>'OXIGENO (O2) '!$D$67</c:f>
              <c:strCache>
                <c:ptCount val="1"/>
                <c:pt idx="0">
                  <c:v>Ruido NTC 4983 Numeral 5.2.7.1 (+) [%]</c:v>
                </c:pt>
              </c:strCache>
            </c:strRef>
          </c:tx>
          <c:val>
            <c:numRef>
              <c:f>'OXIGENO (O2) '!$D$68:$D$71</c:f>
              <c:numCache>
                <c:formatCode>0.00</c:formatCode>
                <c:ptCount val="4"/>
                <c:pt idx="0">
                  <c:v>0.3</c:v>
                </c:pt>
                <c:pt idx="1">
                  <c:v>0.3</c:v>
                </c:pt>
                <c:pt idx="2">
                  <c:v>0.3</c:v>
                </c:pt>
                <c:pt idx="3">
                  <c:v>0.3</c:v>
                </c:pt>
              </c:numCache>
            </c:numRef>
          </c:val>
          <c:smooth val="0"/>
          <c:extLst>
            <c:ext xmlns:c16="http://schemas.microsoft.com/office/drawing/2014/chart" uri="{C3380CC4-5D6E-409C-BE32-E72D297353CC}">
              <c16:uniqueId val="{0000000D-FA3B-45C7-B754-01DF695F8898}"/>
            </c:ext>
          </c:extLst>
        </c:ser>
        <c:dLbls>
          <c:showLegendKey val="0"/>
          <c:showVal val="0"/>
          <c:showCatName val="0"/>
          <c:showSerName val="0"/>
          <c:showPercent val="0"/>
          <c:showBubbleSize val="0"/>
        </c:dLbls>
        <c:marker val="1"/>
        <c:smooth val="0"/>
        <c:axId val="244763632"/>
        <c:axId val="14232720"/>
      </c:lineChart>
      <c:catAx>
        <c:axId val="244763632"/>
        <c:scaling>
          <c:orientation val="minMax"/>
        </c:scaling>
        <c:delete val="0"/>
        <c:axPos val="b"/>
        <c:numFmt formatCode="General" sourceLinked="1"/>
        <c:majorTickMark val="none"/>
        <c:minorTickMark val="none"/>
        <c:tickLblPos val="nextTo"/>
        <c:crossAx val="14232720"/>
        <c:crosses val="autoZero"/>
        <c:auto val="1"/>
        <c:lblAlgn val="ctr"/>
        <c:lblOffset val="100"/>
        <c:noMultiLvlLbl val="0"/>
      </c:catAx>
      <c:valAx>
        <c:axId val="14232720"/>
        <c:scaling>
          <c:orientation val="minMax"/>
        </c:scaling>
        <c:delete val="0"/>
        <c:axPos val="l"/>
        <c:majorGridlines/>
        <c:title>
          <c:overlay val="0"/>
        </c:title>
        <c:numFmt formatCode="0.000" sourceLinked="1"/>
        <c:majorTickMark val="none"/>
        <c:minorTickMark val="none"/>
        <c:tickLblPos val="nextTo"/>
        <c:crossAx val="244763632"/>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3"/>
          <c:order val="0"/>
          <c:tx>
            <c:strRef>
              <c:f>'OXIGENO (O2) '!$C$85</c:f>
              <c:strCache>
                <c:ptCount val="1"/>
                <c:pt idx="0">
                  <c:v>REPETIBILIDAD  CAL 2</c:v>
                </c:pt>
              </c:strCache>
            </c:strRef>
          </c:tx>
          <c:val>
            <c:numRef>
              <c:f>'OXIGENO (O2) '!$C$86:$C$93</c:f>
              <c:numCache>
                <c:formatCode>0.000</c:formatCode>
                <c:ptCount val="8"/>
                <c:pt idx="0">
                  <c:v>0</c:v>
                </c:pt>
                <c:pt idx="1">
                  <c:v>0</c:v>
                </c:pt>
                <c:pt idx="2">
                  <c:v>0</c:v>
                </c:pt>
                <c:pt idx="3">
                  <c:v>0</c:v>
                </c:pt>
                <c:pt idx="4">
                  <c:v>0</c:v>
                </c:pt>
                <c:pt idx="5">
                  <c:v>0</c:v>
                </c:pt>
                <c:pt idx="6">
                  <c:v>0</c:v>
                </c:pt>
                <c:pt idx="7">
                  <c:v>0.01</c:v>
                </c:pt>
              </c:numCache>
            </c:numRef>
          </c:val>
          <c:smooth val="0"/>
          <c:extLst>
            <c:ext xmlns:c16="http://schemas.microsoft.com/office/drawing/2014/chart" uri="{C3380CC4-5D6E-409C-BE32-E72D297353CC}">
              <c16:uniqueId val="{00000000-296A-4A57-9E7D-9AA37E5DA78C}"/>
            </c:ext>
          </c:extLst>
        </c:ser>
        <c:ser>
          <c:idx val="4"/>
          <c:order val="1"/>
          <c:tx>
            <c:strRef>
              <c:f>'OXIGENO (O2) '!$D$85</c:f>
              <c:strCache>
                <c:ptCount val="1"/>
                <c:pt idx="0">
                  <c:v>Ruido NTC 4983 Numeral 5.2.7.1 (+) [%]</c:v>
                </c:pt>
              </c:strCache>
            </c:strRef>
          </c:tx>
          <c:val>
            <c:numRef>
              <c:f>'OXIGENO (O2) '!$D$86:$D$93</c:f>
              <c:numCache>
                <c:formatCode>0.00</c:formatCode>
                <c:ptCount val="8"/>
                <c:pt idx="0">
                  <c:v>0.4</c:v>
                </c:pt>
                <c:pt idx="1">
                  <c:v>0.4</c:v>
                </c:pt>
                <c:pt idx="2">
                  <c:v>0.4</c:v>
                </c:pt>
                <c:pt idx="3">
                  <c:v>0.4</c:v>
                </c:pt>
                <c:pt idx="4">
                  <c:v>0.4</c:v>
                </c:pt>
                <c:pt idx="5">
                  <c:v>0.4</c:v>
                </c:pt>
                <c:pt idx="6">
                  <c:v>0.4</c:v>
                </c:pt>
                <c:pt idx="7">
                  <c:v>0.4</c:v>
                </c:pt>
              </c:numCache>
            </c:numRef>
          </c:val>
          <c:smooth val="0"/>
          <c:extLst>
            <c:ext xmlns:c16="http://schemas.microsoft.com/office/drawing/2014/chart" uri="{C3380CC4-5D6E-409C-BE32-E72D297353CC}">
              <c16:uniqueId val="{00000001-296A-4A57-9E7D-9AA37E5DA78C}"/>
            </c:ext>
          </c:extLst>
        </c:ser>
        <c:dLbls>
          <c:showLegendKey val="0"/>
          <c:showVal val="0"/>
          <c:showCatName val="0"/>
          <c:showSerName val="0"/>
          <c:showPercent val="0"/>
          <c:showBubbleSize val="0"/>
        </c:dLbls>
        <c:marker val="1"/>
        <c:smooth val="0"/>
        <c:axId val="244763632"/>
        <c:axId val="14232720"/>
      </c:lineChart>
      <c:catAx>
        <c:axId val="244763632"/>
        <c:scaling>
          <c:orientation val="minMax"/>
        </c:scaling>
        <c:delete val="0"/>
        <c:axPos val="b"/>
        <c:numFmt formatCode="General" sourceLinked="1"/>
        <c:majorTickMark val="none"/>
        <c:minorTickMark val="none"/>
        <c:tickLblPos val="nextTo"/>
        <c:crossAx val="14232720"/>
        <c:crosses val="autoZero"/>
        <c:auto val="1"/>
        <c:lblAlgn val="ctr"/>
        <c:lblOffset val="100"/>
        <c:noMultiLvlLbl val="0"/>
      </c:catAx>
      <c:valAx>
        <c:axId val="14232720"/>
        <c:scaling>
          <c:orientation val="minMax"/>
        </c:scaling>
        <c:delete val="0"/>
        <c:axPos val="l"/>
        <c:majorGridlines/>
        <c:title>
          <c:overlay val="0"/>
        </c:title>
        <c:numFmt formatCode="0.000" sourceLinked="1"/>
        <c:majorTickMark val="none"/>
        <c:minorTickMark val="none"/>
        <c:tickLblPos val="nextTo"/>
        <c:crossAx val="244763632"/>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'TEMPERATURA (TEM) '!$C$39</c:f>
              <c:strCache>
                <c:ptCount val="1"/>
                <c:pt idx="0">
                  <c:v>ERROR + U EXPANDIDA CAL 2 [%]</c:v>
                </c:pt>
              </c:strCache>
            </c:strRef>
          </c:tx>
          <c:val>
            <c:numRef>
              <c:f>'TEMPERATURA (TEM) '!$C$40:$C$42</c:f>
              <c:numCache>
                <c:formatCode>0.000</c:formatCode>
                <c:ptCount val="3"/>
                <c:pt idx="0">
                  <c:v>1.6274411617426197</c:v>
                </c:pt>
                <c:pt idx="1">
                  <c:v>0.36650377609951135</c:v>
                </c:pt>
                <c:pt idx="2">
                  <c:v>0</c:v>
                </c:pt>
              </c:numCache>
            </c:numRef>
          </c:val>
          <c:smooth val="0"/>
          <c:extLst>
            <c:ext xmlns:c16="http://schemas.microsoft.com/office/drawing/2014/chart" uri="{C3380CC4-5D6E-409C-BE32-E72D297353CC}">
              <c16:uniqueId val="{00000000-58DC-4EBB-A029-F1A5D00452E9}"/>
            </c:ext>
          </c:extLst>
        </c:ser>
        <c:ser>
          <c:idx val="1"/>
          <c:order val="1"/>
          <c:tx>
            <c:strRef>
              <c:f>'TEMPERATURA (TEM) '!$D$39</c:f>
              <c:strCache>
                <c:ptCount val="1"/>
                <c:pt idx="0">
                  <c:v>ERROR - U EXPANDIDA CAL 2 [%]</c:v>
                </c:pt>
              </c:strCache>
            </c:strRef>
          </c:tx>
          <c:val>
            <c:numRef>
              <c:f>'TEMPERATURA (TEM) '!$D$40:$D$42</c:f>
              <c:numCache>
                <c:formatCode>0.000</c:formatCode>
                <c:ptCount val="3"/>
                <c:pt idx="0">
                  <c:v>-1.3269904857285872</c:v>
                </c:pt>
                <c:pt idx="1">
                  <c:v>-0.45535317636605954</c:v>
                </c:pt>
                <c:pt idx="2">
                  <c:v>0</c:v>
                </c:pt>
              </c:numCache>
            </c:numRef>
          </c:val>
          <c:smooth val="0"/>
          <c:extLst>
            <c:ext xmlns:c16="http://schemas.microsoft.com/office/drawing/2014/chart" uri="{C3380CC4-5D6E-409C-BE32-E72D297353CC}">
              <c16:uniqueId val="{00000001-58DC-4EBB-A029-F1A5D00452E9}"/>
            </c:ext>
          </c:extLst>
        </c:ser>
        <c:ser>
          <c:idx val="2"/>
          <c:order val="2"/>
          <c:tx>
            <c:strRef>
              <c:f>'TEMPERATURA (TEM) '!$E$39</c:f>
              <c:strCache>
                <c:ptCount val="1"/>
                <c:pt idx="0">
                  <c:v>Exactitud NTC 5365 Numeral 5.2.7.1 (+) [%]</c:v>
                </c:pt>
              </c:strCache>
            </c:strRef>
          </c:tx>
          <c:val>
            <c:numRef>
              <c:f>'TEMPERATURA (TEM) '!$E$40:$E$42</c:f>
              <c:numCache>
                <c:formatCode>0.00</c:formatCode>
                <c:ptCount val="3"/>
                <c:pt idx="0">
                  <c:v>5</c:v>
                </c:pt>
                <c:pt idx="1">
                  <c:v>5</c:v>
                </c:pt>
                <c:pt idx="2">
                  <c:v>5</c:v>
                </c:pt>
              </c:numCache>
            </c:numRef>
          </c:val>
          <c:smooth val="0"/>
          <c:extLst>
            <c:ext xmlns:c16="http://schemas.microsoft.com/office/drawing/2014/chart" uri="{C3380CC4-5D6E-409C-BE32-E72D297353CC}">
              <c16:uniqueId val="{00000002-58DC-4EBB-A029-F1A5D00452E9}"/>
            </c:ext>
          </c:extLst>
        </c:ser>
        <c:ser>
          <c:idx val="3"/>
          <c:order val="3"/>
          <c:tx>
            <c:strRef>
              <c:f>'TEMPERATURA (TEM) '!$F$39</c:f>
              <c:strCache>
                <c:ptCount val="1"/>
                <c:pt idx="0">
                  <c:v>Exactitud NTC 5365 Numeral 5.2.7.1 (-) [%]</c:v>
                </c:pt>
              </c:strCache>
            </c:strRef>
          </c:tx>
          <c:val>
            <c:numRef>
              <c:f>'TEMPERATURA (TEM) '!$F$40:$F$42</c:f>
              <c:numCache>
                <c:formatCode>0.00</c:formatCode>
                <c:ptCount val="3"/>
                <c:pt idx="0">
                  <c:v>-5</c:v>
                </c:pt>
                <c:pt idx="1">
                  <c:v>-5</c:v>
                </c:pt>
                <c:pt idx="2">
                  <c:v>-5</c:v>
                </c:pt>
              </c:numCache>
            </c:numRef>
          </c:val>
          <c:smooth val="0"/>
          <c:extLst>
            <c:ext xmlns:c16="http://schemas.microsoft.com/office/drawing/2014/chart" uri="{C3380CC4-5D6E-409C-BE32-E72D297353CC}">
              <c16:uniqueId val="{00000003-58DC-4EBB-A029-F1A5D00452E9}"/>
            </c:ext>
          </c:extLst>
        </c:ser>
        <c:dLbls>
          <c:showLegendKey val="0"/>
          <c:showVal val="0"/>
          <c:showCatName val="0"/>
          <c:showSerName val="0"/>
          <c:showPercent val="0"/>
          <c:showBubbleSize val="0"/>
        </c:dLbls>
        <c:marker val="1"/>
        <c:smooth val="0"/>
        <c:axId val="410182416"/>
        <c:axId val="410182808"/>
      </c:lineChart>
      <c:catAx>
        <c:axId val="410182416"/>
        <c:scaling>
          <c:orientation val="minMax"/>
        </c:scaling>
        <c:delete val="0"/>
        <c:axPos val="b"/>
        <c:numFmt formatCode="General" sourceLinked="1"/>
        <c:majorTickMark val="none"/>
        <c:minorTickMark val="none"/>
        <c:tickLblPos val="nextTo"/>
        <c:crossAx val="410182808"/>
        <c:crosses val="autoZero"/>
        <c:auto val="1"/>
        <c:lblAlgn val="ctr"/>
        <c:lblOffset val="100"/>
        <c:noMultiLvlLbl val="0"/>
      </c:catAx>
      <c:valAx>
        <c:axId val="410182808"/>
        <c:scaling>
          <c:orientation val="minMax"/>
        </c:scaling>
        <c:delete val="0"/>
        <c:axPos val="l"/>
        <c:majorGridlines/>
        <c:title>
          <c:overlay val="0"/>
        </c:title>
        <c:numFmt formatCode="0.000" sourceLinked="1"/>
        <c:majorTickMark val="none"/>
        <c:minorTickMark val="none"/>
        <c:tickLblPos val="nextTo"/>
        <c:crossAx val="410182416"/>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'VIBRACION RPM'!$C$40</c:f>
              <c:strCache>
                <c:ptCount val="1"/>
                <c:pt idx="0">
                  <c:v>ERROR + U EXPANDIDA CAL 2 [%]</c:v>
                </c:pt>
              </c:strCache>
            </c:strRef>
          </c:tx>
          <c:val>
            <c:numRef>
              <c:f>'VIBRACION RPM'!$C$41:$C$50</c:f>
              <c:numCache>
                <c:formatCode>0.000</c:formatCode>
                <c:ptCount val="10"/>
                <c:pt idx="0">
                  <c:v>1.6274411617426197</c:v>
                </c:pt>
                <c:pt idx="1">
                  <c:v>1.4434643143544483</c:v>
                </c:pt>
                <c:pt idx="2">
                  <c:v>0.72436617959285055</c:v>
                </c:pt>
                <c:pt idx="3">
                  <c:v>0.95238095238095233</c:v>
                </c:pt>
                <c:pt idx="4">
                  <c:v>0.51111111111111107</c:v>
                </c:pt>
                <c:pt idx="5">
                  <c:v>0.52020808323329326</c:v>
                </c:pt>
                <c:pt idx="6">
                  <c:v>0.43333333333333335</c:v>
                </c:pt>
                <c:pt idx="7">
                  <c:v>0.45011252813203301</c:v>
                </c:pt>
                <c:pt idx="8">
                  <c:v>0.39994286530495643</c:v>
                </c:pt>
                <c:pt idx="9">
                  <c:v>0.36650377609951135</c:v>
                </c:pt>
              </c:numCache>
            </c:numRef>
          </c:val>
          <c:smooth val="0"/>
          <c:extLst>
            <c:ext xmlns:c16="http://schemas.microsoft.com/office/drawing/2014/chart" uri="{C3380CC4-5D6E-409C-BE32-E72D297353CC}">
              <c16:uniqueId val="{00000000-1487-45AB-B395-B62079E74F97}"/>
            </c:ext>
          </c:extLst>
        </c:ser>
        <c:ser>
          <c:idx val="1"/>
          <c:order val="1"/>
          <c:tx>
            <c:strRef>
              <c:f>'VIBRACION RPM'!$D$40</c:f>
              <c:strCache>
                <c:ptCount val="1"/>
                <c:pt idx="0">
                  <c:v>ERROR - U EXPANDIDA CAL 2 [%]</c:v>
                </c:pt>
              </c:strCache>
            </c:strRef>
          </c:tx>
          <c:val>
            <c:numRef>
              <c:f>'VIBRACION RPM'!$D$41:$D$50</c:f>
              <c:numCache>
                <c:formatCode>0.000</c:formatCode>
                <c:ptCount val="10"/>
                <c:pt idx="0">
                  <c:v>-1.3269904857285872</c:v>
                </c:pt>
                <c:pt idx="1">
                  <c:v>-0.96230954290296944</c:v>
                </c:pt>
                <c:pt idx="2">
                  <c:v>-0.89921318846010301</c:v>
                </c:pt>
                <c:pt idx="3">
                  <c:v>-0.45112781954887216</c:v>
                </c:pt>
                <c:pt idx="4">
                  <c:v>-0.51111111111111107</c:v>
                </c:pt>
                <c:pt idx="5">
                  <c:v>-0.44017607042817125</c:v>
                </c:pt>
                <c:pt idx="6">
                  <c:v>-0.43333333333333335</c:v>
                </c:pt>
                <c:pt idx="7">
                  <c:v>-0.40010002500625158</c:v>
                </c:pt>
                <c:pt idx="8">
                  <c:v>-0.42851021282673901</c:v>
                </c:pt>
                <c:pt idx="9">
                  <c:v>-0.45535317636605954</c:v>
                </c:pt>
              </c:numCache>
            </c:numRef>
          </c:val>
          <c:smooth val="0"/>
          <c:extLst>
            <c:ext xmlns:c16="http://schemas.microsoft.com/office/drawing/2014/chart" uri="{C3380CC4-5D6E-409C-BE32-E72D297353CC}">
              <c16:uniqueId val="{00000001-1487-45AB-B395-B62079E74F97}"/>
            </c:ext>
          </c:extLst>
        </c:ser>
        <c:ser>
          <c:idx val="2"/>
          <c:order val="2"/>
          <c:tx>
            <c:strRef>
              <c:f>'VIBRACION RPM'!$E$40</c:f>
              <c:strCache>
                <c:ptCount val="1"/>
                <c:pt idx="0">
                  <c:v>Exactitud NTC 5365 Numeral 5.2.7.1 (+) [%]</c:v>
                </c:pt>
              </c:strCache>
            </c:strRef>
          </c:tx>
          <c:val>
            <c:numRef>
              <c:f>'VIBRACION RPM'!$E$41:$E$50</c:f>
              <c:numCache>
                <c:formatCode>0.00</c:formatCode>
                <c:ptCount val="10"/>
                <c:pt idx="0">
                  <c:v>2</c:v>
                </c:pt>
                <c:pt idx="1">
                  <c:v>2</c:v>
                </c:pt>
                <c:pt idx="2">
                  <c:v>2</c:v>
                </c:pt>
                <c:pt idx="3">
                  <c:v>2</c:v>
                </c:pt>
                <c:pt idx="4">
                  <c:v>2</c:v>
                </c:pt>
                <c:pt idx="5">
                  <c:v>2</c:v>
                </c:pt>
                <c:pt idx="6">
                  <c:v>2</c:v>
                </c:pt>
                <c:pt idx="7">
                  <c:v>2</c:v>
                </c:pt>
                <c:pt idx="8">
                  <c:v>2</c:v>
                </c:pt>
                <c:pt idx="9">
                  <c:v>2</c:v>
                </c:pt>
              </c:numCache>
            </c:numRef>
          </c:val>
          <c:smooth val="0"/>
          <c:extLst>
            <c:ext xmlns:c16="http://schemas.microsoft.com/office/drawing/2014/chart" uri="{C3380CC4-5D6E-409C-BE32-E72D297353CC}">
              <c16:uniqueId val="{00000002-1487-45AB-B395-B62079E74F97}"/>
            </c:ext>
          </c:extLst>
        </c:ser>
        <c:ser>
          <c:idx val="3"/>
          <c:order val="3"/>
          <c:tx>
            <c:strRef>
              <c:f>'VIBRACION RPM'!$F$40</c:f>
              <c:strCache>
                <c:ptCount val="1"/>
                <c:pt idx="0">
                  <c:v>Exactitud NTC 5365 Numeral 5.2.7.1 (-) [%]</c:v>
                </c:pt>
              </c:strCache>
            </c:strRef>
          </c:tx>
          <c:val>
            <c:numRef>
              <c:f>'VIBRACION RPM'!$F$41:$F$50</c:f>
              <c:numCache>
                <c:formatCode>0.00</c:formatCode>
                <c:ptCount val="10"/>
                <c:pt idx="0">
                  <c:v>-2</c:v>
                </c:pt>
                <c:pt idx="1">
                  <c:v>-2</c:v>
                </c:pt>
                <c:pt idx="2">
                  <c:v>-2</c:v>
                </c:pt>
                <c:pt idx="3">
                  <c:v>-2</c:v>
                </c:pt>
                <c:pt idx="4">
                  <c:v>-2</c:v>
                </c:pt>
                <c:pt idx="5">
                  <c:v>-2</c:v>
                </c:pt>
                <c:pt idx="6">
                  <c:v>-2</c:v>
                </c:pt>
                <c:pt idx="7">
                  <c:v>-2</c:v>
                </c:pt>
                <c:pt idx="8">
                  <c:v>-2</c:v>
                </c:pt>
                <c:pt idx="9">
                  <c:v>-2</c:v>
                </c:pt>
              </c:numCache>
            </c:numRef>
          </c:val>
          <c:smooth val="0"/>
          <c:extLst>
            <c:ext xmlns:c16="http://schemas.microsoft.com/office/drawing/2014/chart" uri="{C3380CC4-5D6E-409C-BE32-E72D297353CC}">
              <c16:uniqueId val="{00000003-1487-45AB-B395-B62079E74F97}"/>
            </c:ext>
          </c:extLst>
        </c:ser>
        <c:dLbls>
          <c:showLegendKey val="0"/>
          <c:showVal val="0"/>
          <c:showCatName val="0"/>
          <c:showSerName val="0"/>
          <c:showPercent val="0"/>
          <c:showBubbleSize val="0"/>
        </c:dLbls>
        <c:marker val="1"/>
        <c:smooth val="0"/>
        <c:axId val="413404880"/>
        <c:axId val="410181632"/>
      </c:lineChart>
      <c:catAx>
        <c:axId val="413404880"/>
        <c:scaling>
          <c:orientation val="minMax"/>
        </c:scaling>
        <c:delete val="0"/>
        <c:axPos val="b"/>
        <c:numFmt formatCode="General" sourceLinked="1"/>
        <c:majorTickMark val="none"/>
        <c:minorTickMark val="none"/>
        <c:tickLblPos val="nextTo"/>
        <c:crossAx val="410181632"/>
        <c:crosses val="autoZero"/>
        <c:auto val="1"/>
        <c:lblAlgn val="ctr"/>
        <c:lblOffset val="100"/>
        <c:noMultiLvlLbl val="0"/>
      </c:catAx>
      <c:valAx>
        <c:axId val="410181632"/>
        <c:scaling>
          <c:orientation val="minMax"/>
        </c:scaling>
        <c:delete val="0"/>
        <c:axPos val="l"/>
        <c:majorGridlines/>
        <c:title>
          <c:overlay val="0"/>
        </c:title>
        <c:numFmt formatCode="0.000" sourceLinked="1"/>
        <c:majorTickMark val="none"/>
        <c:minorTickMark val="none"/>
        <c:tickLblPos val="nextTo"/>
        <c:crossAx val="413404880"/>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'BATERIA RPM '!$C$40</c:f>
              <c:strCache>
                <c:ptCount val="1"/>
                <c:pt idx="0">
                  <c:v>ERROR + U EXPANDIDA CAL 2 [%]</c:v>
                </c:pt>
              </c:strCache>
            </c:strRef>
          </c:tx>
          <c:val>
            <c:numRef>
              <c:f>'BATERIA RPM '!$C$41:$C$49</c:f>
              <c:numCache>
                <c:formatCode>0.000</c:formatCode>
                <c:ptCount val="9"/>
                <c:pt idx="0">
                  <c:v>1.6274411617426197</c:v>
                </c:pt>
                <c:pt idx="1">
                  <c:v>1.0787055533359922</c:v>
                </c:pt>
                <c:pt idx="2">
                  <c:v>0.72436617959285055</c:v>
                </c:pt>
                <c:pt idx="3">
                  <c:v>0.95238095238095233</c:v>
                </c:pt>
                <c:pt idx="4">
                  <c:v>1.0666666666666667</c:v>
                </c:pt>
                <c:pt idx="5">
                  <c:v>1.720688275310124</c:v>
                </c:pt>
                <c:pt idx="6">
                  <c:v>1.1000000000000001</c:v>
                </c:pt>
                <c:pt idx="7">
                  <c:v>1.4503625906476618</c:v>
                </c:pt>
                <c:pt idx="8">
                  <c:v>1.6854735037851736</c:v>
                </c:pt>
              </c:numCache>
            </c:numRef>
          </c:val>
          <c:smooth val="0"/>
          <c:extLst>
            <c:ext xmlns:c16="http://schemas.microsoft.com/office/drawing/2014/chart" uri="{C3380CC4-5D6E-409C-BE32-E72D297353CC}">
              <c16:uniqueId val="{00000000-C4F2-4A69-B65E-14ACF692D1D9}"/>
            </c:ext>
          </c:extLst>
        </c:ser>
        <c:ser>
          <c:idx val="1"/>
          <c:order val="1"/>
          <c:tx>
            <c:strRef>
              <c:f>'BATERIA RPM '!$D$40</c:f>
              <c:strCache>
                <c:ptCount val="1"/>
                <c:pt idx="0">
                  <c:v>ERROR - U EXPANDIDA CAL 2 [%]</c:v>
                </c:pt>
              </c:strCache>
            </c:strRef>
          </c:tx>
          <c:val>
            <c:numRef>
              <c:f>'BATERIA RPM '!$D$41:$D$49</c:f>
              <c:numCache>
                <c:formatCode>0.000</c:formatCode>
                <c:ptCount val="9"/>
                <c:pt idx="0">
                  <c:v>-1.3269904857285872</c:v>
                </c:pt>
                <c:pt idx="1">
                  <c:v>-1.3184178985217783</c:v>
                </c:pt>
                <c:pt idx="2">
                  <c:v>-0.89921318846010301</c:v>
                </c:pt>
                <c:pt idx="3">
                  <c:v>-0.45112781954887216</c:v>
                </c:pt>
                <c:pt idx="4">
                  <c:v>4.4444444444444509E-2</c:v>
                </c:pt>
                <c:pt idx="5">
                  <c:v>0.76030412164865957</c:v>
                </c:pt>
                <c:pt idx="6">
                  <c:v>0.23333333333333328</c:v>
                </c:pt>
                <c:pt idx="7">
                  <c:v>0.60015003750937734</c:v>
                </c:pt>
                <c:pt idx="8">
                  <c:v>0.85702042565347814</c:v>
                </c:pt>
              </c:numCache>
            </c:numRef>
          </c:val>
          <c:smooth val="0"/>
          <c:extLst>
            <c:ext xmlns:c16="http://schemas.microsoft.com/office/drawing/2014/chart" uri="{C3380CC4-5D6E-409C-BE32-E72D297353CC}">
              <c16:uniqueId val="{00000001-C4F2-4A69-B65E-14ACF692D1D9}"/>
            </c:ext>
          </c:extLst>
        </c:ser>
        <c:ser>
          <c:idx val="2"/>
          <c:order val="2"/>
          <c:tx>
            <c:strRef>
              <c:f>'BATERIA RPM '!$E$40</c:f>
              <c:strCache>
                <c:ptCount val="1"/>
                <c:pt idx="0">
                  <c:v>Exactitud NTC 5365 Numeral 5.2.7.1 (+) [%]</c:v>
                </c:pt>
              </c:strCache>
            </c:strRef>
          </c:tx>
          <c:val>
            <c:numRef>
              <c:f>'BATERIA RPM '!$E$41:$E$49</c:f>
              <c:numCache>
                <c:formatCode>0.00</c:formatCode>
                <c:ptCount val="9"/>
                <c:pt idx="0">
                  <c:v>2</c:v>
                </c:pt>
                <c:pt idx="1">
                  <c:v>2</c:v>
                </c:pt>
                <c:pt idx="2">
                  <c:v>2</c:v>
                </c:pt>
                <c:pt idx="3">
                  <c:v>2</c:v>
                </c:pt>
                <c:pt idx="4">
                  <c:v>2</c:v>
                </c:pt>
                <c:pt idx="5">
                  <c:v>2</c:v>
                </c:pt>
                <c:pt idx="6">
                  <c:v>2</c:v>
                </c:pt>
                <c:pt idx="7">
                  <c:v>2</c:v>
                </c:pt>
                <c:pt idx="8">
                  <c:v>2</c:v>
                </c:pt>
              </c:numCache>
            </c:numRef>
          </c:val>
          <c:smooth val="0"/>
          <c:extLst>
            <c:ext xmlns:c16="http://schemas.microsoft.com/office/drawing/2014/chart" uri="{C3380CC4-5D6E-409C-BE32-E72D297353CC}">
              <c16:uniqueId val="{00000002-C4F2-4A69-B65E-14ACF692D1D9}"/>
            </c:ext>
          </c:extLst>
        </c:ser>
        <c:ser>
          <c:idx val="3"/>
          <c:order val="3"/>
          <c:tx>
            <c:strRef>
              <c:f>'BATERIA RPM '!$F$40</c:f>
              <c:strCache>
                <c:ptCount val="1"/>
                <c:pt idx="0">
                  <c:v>Exactitud NTC 5365 Numeral 5.2.7.1 (-) [%]</c:v>
                </c:pt>
              </c:strCache>
            </c:strRef>
          </c:tx>
          <c:val>
            <c:numRef>
              <c:f>'BATERIA RPM '!$F$41:$F$49</c:f>
              <c:numCache>
                <c:formatCode>0.00</c:formatCode>
                <c:ptCount val="9"/>
                <c:pt idx="0">
                  <c:v>-2</c:v>
                </c:pt>
                <c:pt idx="1">
                  <c:v>-2</c:v>
                </c:pt>
                <c:pt idx="2">
                  <c:v>-2</c:v>
                </c:pt>
                <c:pt idx="3">
                  <c:v>-2</c:v>
                </c:pt>
                <c:pt idx="4">
                  <c:v>-2</c:v>
                </c:pt>
                <c:pt idx="5">
                  <c:v>-2</c:v>
                </c:pt>
                <c:pt idx="6">
                  <c:v>-2</c:v>
                </c:pt>
                <c:pt idx="7">
                  <c:v>-2</c:v>
                </c:pt>
                <c:pt idx="8">
                  <c:v>-2</c:v>
                </c:pt>
              </c:numCache>
            </c:numRef>
          </c:val>
          <c:smooth val="0"/>
          <c:extLst>
            <c:ext xmlns:c16="http://schemas.microsoft.com/office/drawing/2014/chart" uri="{C3380CC4-5D6E-409C-BE32-E72D297353CC}">
              <c16:uniqueId val="{00000003-C4F2-4A69-B65E-14ACF692D1D9}"/>
            </c:ext>
          </c:extLst>
        </c:ser>
        <c:dLbls>
          <c:showLegendKey val="0"/>
          <c:showVal val="0"/>
          <c:showCatName val="0"/>
          <c:showSerName val="0"/>
          <c:showPercent val="0"/>
          <c:showBubbleSize val="0"/>
        </c:dLbls>
        <c:marker val="1"/>
        <c:smooth val="0"/>
        <c:axId val="413404880"/>
        <c:axId val="410181632"/>
      </c:lineChart>
      <c:catAx>
        <c:axId val="413404880"/>
        <c:scaling>
          <c:orientation val="minMax"/>
        </c:scaling>
        <c:delete val="0"/>
        <c:axPos val="b"/>
        <c:numFmt formatCode="General" sourceLinked="1"/>
        <c:majorTickMark val="none"/>
        <c:minorTickMark val="none"/>
        <c:tickLblPos val="nextTo"/>
        <c:crossAx val="410181632"/>
        <c:crosses val="autoZero"/>
        <c:auto val="1"/>
        <c:lblAlgn val="ctr"/>
        <c:lblOffset val="100"/>
        <c:noMultiLvlLbl val="0"/>
      </c:catAx>
      <c:valAx>
        <c:axId val="410181632"/>
        <c:scaling>
          <c:orientation val="minMax"/>
        </c:scaling>
        <c:delete val="0"/>
        <c:axPos val="l"/>
        <c:majorGridlines/>
        <c:title>
          <c:overlay val="0"/>
        </c:title>
        <c:numFmt formatCode="0.000" sourceLinked="1"/>
        <c:majorTickMark val="none"/>
        <c:minorTickMark val="none"/>
        <c:tickLblPos val="nextTo"/>
        <c:crossAx val="413404880"/>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'ALINEADOR AL PASO'!$C$40</c:f>
              <c:strCache>
                <c:ptCount val="1"/>
                <c:pt idx="0">
                  <c:v>ERROR + U EXPANDIDA CAL 2 [m/km]</c:v>
                </c:pt>
              </c:strCache>
            </c:strRef>
          </c:tx>
          <c:val>
            <c:numRef>
              <c:f>'ALINEADOR AL PASO'!$C$41:$C$49</c:f>
              <c:numCache>
                <c:formatCode>0.000</c:formatCode>
                <c:ptCount val="9"/>
                <c:pt idx="0">
                  <c:v>0.15</c:v>
                </c:pt>
                <c:pt idx="1">
                  <c:v>-0.1089999999999994</c:v>
                </c:pt>
                <c:pt idx="2">
                  <c:v>-0.18299999999999969</c:v>
                </c:pt>
                <c:pt idx="3">
                  <c:v>0.52700000000000102</c:v>
                </c:pt>
                <c:pt idx="4">
                  <c:v>2.6000000000000939E-2</c:v>
                </c:pt>
                <c:pt idx="5">
                  <c:v>8.299999999999999E-2</c:v>
                </c:pt>
                <c:pt idx="6">
                  <c:v>0.5519999999999996</c:v>
                </c:pt>
                <c:pt idx="7">
                  <c:v>0.51400000000000035</c:v>
                </c:pt>
                <c:pt idx="8">
                  <c:v>0.34999999999999898</c:v>
                </c:pt>
              </c:numCache>
            </c:numRef>
          </c:val>
          <c:smooth val="0"/>
          <c:extLst>
            <c:ext xmlns:c16="http://schemas.microsoft.com/office/drawing/2014/chart" uri="{C3380CC4-5D6E-409C-BE32-E72D297353CC}">
              <c16:uniqueId val="{00000000-C48D-4E72-A099-6E7BDCC8E6B5}"/>
            </c:ext>
          </c:extLst>
        </c:ser>
        <c:ser>
          <c:idx val="1"/>
          <c:order val="1"/>
          <c:tx>
            <c:strRef>
              <c:f>'ALINEADOR AL PASO'!$D$40</c:f>
              <c:strCache>
                <c:ptCount val="1"/>
                <c:pt idx="0">
                  <c:v>ERROR - U EXPANDIDA CAL 2 [m/km]</c:v>
                </c:pt>
              </c:strCache>
            </c:strRef>
          </c:tx>
          <c:val>
            <c:numRef>
              <c:f>'ALINEADOR AL PASO'!$D$41:$D$49</c:f>
              <c:numCache>
                <c:formatCode>0.000</c:formatCode>
                <c:ptCount val="9"/>
                <c:pt idx="0">
                  <c:v>-0.03</c:v>
                </c:pt>
                <c:pt idx="1">
                  <c:v>-0.29699999999999938</c:v>
                </c:pt>
                <c:pt idx="2">
                  <c:v>-0.36299999999999966</c:v>
                </c:pt>
                <c:pt idx="3">
                  <c:v>0.34100000000000108</c:v>
                </c:pt>
                <c:pt idx="4">
                  <c:v>-0.16399999999999906</c:v>
                </c:pt>
                <c:pt idx="5">
                  <c:v>-9.9000000000000005E-2</c:v>
                </c:pt>
                <c:pt idx="6">
                  <c:v>0.37399999999999967</c:v>
                </c:pt>
                <c:pt idx="7">
                  <c:v>0.33400000000000041</c:v>
                </c:pt>
                <c:pt idx="8">
                  <c:v>0.159999999999999</c:v>
                </c:pt>
              </c:numCache>
            </c:numRef>
          </c:val>
          <c:smooth val="0"/>
          <c:extLst>
            <c:ext xmlns:c16="http://schemas.microsoft.com/office/drawing/2014/chart" uri="{C3380CC4-5D6E-409C-BE32-E72D297353CC}">
              <c16:uniqueId val="{00000001-C48D-4E72-A099-6E7BDCC8E6B5}"/>
            </c:ext>
          </c:extLst>
        </c:ser>
        <c:ser>
          <c:idx val="2"/>
          <c:order val="2"/>
          <c:tx>
            <c:strRef>
              <c:f>'ALINEADOR AL PASO'!$E$40</c:f>
              <c:strCache>
                <c:ptCount val="1"/>
                <c:pt idx="0">
                  <c:v>Exactitud NTC 5365 Numeral 5.2.7.1 (+) [m/km]</c:v>
                </c:pt>
              </c:strCache>
            </c:strRef>
          </c:tx>
          <c:val>
            <c:numRef>
              <c:f>'ALINEADOR AL PASO'!$E$41:$E$49</c:f>
              <c:numCache>
                <c:formatCode>0.00</c:formatCode>
                <c:ptCount val="9"/>
                <c:pt idx="0">
                  <c:v>1</c:v>
                </c:pt>
                <c:pt idx="1">
                  <c:v>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02-C48D-4E72-A099-6E7BDCC8E6B5}"/>
            </c:ext>
          </c:extLst>
        </c:ser>
        <c:ser>
          <c:idx val="3"/>
          <c:order val="3"/>
          <c:tx>
            <c:strRef>
              <c:f>'ALINEADOR AL PASO'!$F$40</c:f>
              <c:strCache>
                <c:ptCount val="1"/>
                <c:pt idx="0">
                  <c:v>Exactitud NTC 5365 Numeral 5.2.7.1 (-) [m/km]</c:v>
                </c:pt>
              </c:strCache>
            </c:strRef>
          </c:tx>
          <c:val>
            <c:numRef>
              <c:f>'ALINEADOR AL PASO'!$F$41:$F$49</c:f>
              <c:numCache>
                <c:formatCode>0.00</c:formatCode>
                <c:ptCount val="9"/>
                <c:pt idx="0">
                  <c:v>-1</c:v>
                </c:pt>
                <c:pt idx="1">
                  <c:v>-1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03-C48D-4E72-A099-6E7BDCC8E6B5}"/>
            </c:ext>
          </c:extLst>
        </c:ser>
        <c:dLbls>
          <c:showLegendKey val="0"/>
          <c:showVal val="0"/>
          <c:showCatName val="0"/>
          <c:showSerName val="0"/>
          <c:showPercent val="0"/>
          <c:showBubbleSize val="0"/>
        </c:dLbls>
        <c:marker val="1"/>
        <c:smooth val="0"/>
        <c:axId val="413404880"/>
        <c:axId val="410181632"/>
      </c:lineChart>
      <c:catAx>
        <c:axId val="413404880"/>
        <c:scaling>
          <c:orientation val="minMax"/>
        </c:scaling>
        <c:delete val="0"/>
        <c:axPos val="b"/>
        <c:numFmt formatCode="General" sourceLinked="1"/>
        <c:majorTickMark val="none"/>
        <c:minorTickMark val="none"/>
        <c:tickLblPos val="nextTo"/>
        <c:crossAx val="410181632"/>
        <c:crosses val="autoZero"/>
        <c:auto val="1"/>
        <c:lblAlgn val="ctr"/>
        <c:lblOffset val="100"/>
        <c:noMultiLvlLbl val="0"/>
      </c:catAx>
      <c:valAx>
        <c:axId val="410181632"/>
        <c:scaling>
          <c:orientation val="minMax"/>
        </c:scaling>
        <c:delete val="0"/>
        <c:axPos val="l"/>
        <c:majorGridlines/>
        <c:title>
          <c:overlay val="0"/>
        </c:title>
        <c:numFmt formatCode="0.000" sourceLinked="1"/>
        <c:majorTickMark val="none"/>
        <c:minorTickMark val="none"/>
        <c:tickLblPos val="nextTo"/>
        <c:crossAx val="413404880"/>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SUSPENSION!$C$40</c:f>
              <c:strCache>
                <c:ptCount val="1"/>
                <c:pt idx="0">
                  <c:v>ERROR + U EXPANDIDA CAL 2 [%] 2021</c:v>
                </c:pt>
              </c:strCache>
            </c:strRef>
          </c:tx>
          <c:val>
            <c:numRef>
              <c:f>SUSPENSION!$C$41:$C$45</c:f>
              <c:numCache>
                <c:formatCode>0.000</c:formatCode>
                <c:ptCount val="5"/>
                <c:pt idx="0">
                  <c:v>0.56999999999999995</c:v>
                </c:pt>
                <c:pt idx="1">
                  <c:v>1.8999999999999997</c:v>
                </c:pt>
                <c:pt idx="2">
                  <c:v>1.4499999999999997</c:v>
                </c:pt>
                <c:pt idx="3">
                  <c:v>0.98333333333333328</c:v>
                </c:pt>
                <c:pt idx="4">
                  <c:v>0.63</c:v>
                </c:pt>
              </c:numCache>
            </c:numRef>
          </c:val>
          <c:smooth val="0"/>
          <c:extLst>
            <c:ext xmlns:c16="http://schemas.microsoft.com/office/drawing/2014/chart" uri="{C3380CC4-5D6E-409C-BE32-E72D297353CC}">
              <c16:uniqueId val="{00000000-8090-4C33-811D-F46D2C8109CD}"/>
            </c:ext>
          </c:extLst>
        </c:ser>
        <c:ser>
          <c:idx val="1"/>
          <c:order val="1"/>
          <c:tx>
            <c:strRef>
              <c:f>SUSPENSION!$D$40</c:f>
              <c:strCache>
                <c:ptCount val="1"/>
                <c:pt idx="0">
                  <c:v>ERROR - U EXPANDIDA CAL 2 [%] 2021</c:v>
                </c:pt>
              </c:strCache>
            </c:strRef>
          </c:tx>
          <c:val>
            <c:numRef>
              <c:f>SUSPENSION!$D$41:$D$45</c:f>
              <c:numCache>
                <c:formatCode>0.000</c:formatCode>
                <c:ptCount val="5"/>
                <c:pt idx="0">
                  <c:v>-0.56999999999999995</c:v>
                </c:pt>
                <c:pt idx="1">
                  <c:v>-1.8999999999999997</c:v>
                </c:pt>
                <c:pt idx="2">
                  <c:v>-1.4499999999999997</c:v>
                </c:pt>
                <c:pt idx="3">
                  <c:v>-0.98333333333333328</c:v>
                </c:pt>
                <c:pt idx="4">
                  <c:v>-0.63</c:v>
                </c:pt>
              </c:numCache>
            </c:numRef>
          </c:val>
          <c:smooth val="0"/>
          <c:extLst>
            <c:ext xmlns:c16="http://schemas.microsoft.com/office/drawing/2014/chart" uri="{C3380CC4-5D6E-409C-BE32-E72D297353CC}">
              <c16:uniqueId val="{00000001-8090-4C33-811D-F46D2C8109CD}"/>
            </c:ext>
          </c:extLst>
        </c:ser>
        <c:ser>
          <c:idx val="2"/>
          <c:order val="2"/>
          <c:tx>
            <c:strRef>
              <c:f>SUSPENSION!$E$40</c:f>
              <c:strCache>
                <c:ptCount val="1"/>
                <c:pt idx="0">
                  <c:v>EXACTITUD DE ACUERDO A NTC: 5385:2011 (+) [%]</c:v>
                </c:pt>
              </c:strCache>
            </c:strRef>
          </c:tx>
          <c:val>
            <c:numRef>
              <c:f>SUSPENSION!$E$41:$E$45</c:f>
              <c:numCache>
                <c:formatCode>0.00</c:formatCode>
                <c:ptCount val="5"/>
                <c:pt idx="0">
                  <c:v>3</c:v>
                </c:pt>
                <c:pt idx="1">
                  <c:v>3</c:v>
                </c:pt>
                <c:pt idx="2">
                  <c:v>3</c:v>
                </c:pt>
                <c:pt idx="3">
                  <c:v>3</c:v>
                </c:pt>
                <c:pt idx="4">
                  <c:v>3</c:v>
                </c:pt>
              </c:numCache>
            </c:numRef>
          </c:val>
          <c:smooth val="0"/>
          <c:extLst>
            <c:ext xmlns:c16="http://schemas.microsoft.com/office/drawing/2014/chart" uri="{C3380CC4-5D6E-409C-BE32-E72D297353CC}">
              <c16:uniqueId val="{00000002-8090-4C33-811D-F46D2C8109CD}"/>
            </c:ext>
          </c:extLst>
        </c:ser>
        <c:ser>
          <c:idx val="3"/>
          <c:order val="3"/>
          <c:tx>
            <c:strRef>
              <c:f>SUSPENSION!$F$40</c:f>
              <c:strCache>
                <c:ptCount val="1"/>
                <c:pt idx="0">
                  <c:v>EXACTITUD DE ACUERDO A NTC: 5385:2011 (-) [%]</c:v>
                </c:pt>
              </c:strCache>
            </c:strRef>
          </c:tx>
          <c:val>
            <c:numRef>
              <c:f>SUSPENSION!$F$41:$F$45</c:f>
              <c:numCache>
                <c:formatCode>0.00</c:formatCode>
                <c:ptCount val="5"/>
                <c:pt idx="0">
                  <c:v>-3</c:v>
                </c:pt>
                <c:pt idx="1">
                  <c:v>-3</c:v>
                </c:pt>
                <c:pt idx="2">
                  <c:v>-3</c:v>
                </c:pt>
                <c:pt idx="3">
                  <c:v>-3</c:v>
                </c:pt>
                <c:pt idx="4">
                  <c:v>-3</c:v>
                </c:pt>
              </c:numCache>
            </c:numRef>
          </c:val>
          <c:smooth val="0"/>
          <c:extLst>
            <c:ext xmlns:c16="http://schemas.microsoft.com/office/drawing/2014/chart" uri="{C3380CC4-5D6E-409C-BE32-E72D297353CC}">
              <c16:uniqueId val="{00000003-8090-4C33-811D-F46D2C8109CD}"/>
            </c:ext>
          </c:extLst>
        </c:ser>
        <c:dLbls>
          <c:showLegendKey val="0"/>
          <c:showVal val="0"/>
          <c:showCatName val="0"/>
          <c:showSerName val="0"/>
          <c:showPercent val="0"/>
          <c:showBubbleSize val="0"/>
        </c:dLbls>
        <c:marker val="1"/>
        <c:smooth val="0"/>
        <c:axId val="410184768"/>
        <c:axId val="410185160"/>
      </c:lineChart>
      <c:catAx>
        <c:axId val="410184768"/>
        <c:scaling>
          <c:orientation val="minMax"/>
        </c:scaling>
        <c:delete val="0"/>
        <c:axPos val="b"/>
        <c:numFmt formatCode="General" sourceLinked="1"/>
        <c:majorTickMark val="none"/>
        <c:minorTickMark val="none"/>
        <c:tickLblPos val="nextTo"/>
        <c:crossAx val="410185160"/>
        <c:crosses val="autoZero"/>
        <c:auto val="1"/>
        <c:lblAlgn val="ctr"/>
        <c:lblOffset val="100"/>
        <c:noMultiLvlLbl val="0"/>
      </c:catAx>
      <c:valAx>
        <c:axId val="410185160"/>
        <c:scaling>
          <c:orientation val="minMax"/>
        </c:scaling>
        <c:delete val="0"/>
        <c:axPos val="l"/>
        <c:majorGridlines/>
        <c:title>
          <c:overlay val="0"/>
        </c:title>
        <c:numFmt formatCode="0.000" sourceLinked="1"/>
        <c:majorTickMark val="none"/>
        <c:minorTickMark val="none"/>
        <c:tickLblPos val="nextTo"/>
        <c:crossAx val="410184768"/>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SUSPENSION!$C$66</c:f>
              <c:strCache>
                <c:ptCount val="1"/>
                <c:pt idx="0">
                  <c:v>PRECISION CAL 2 2021</c:v>
                </c:pt>
              </c:strCache>
            </c:strRef>
          </c:tx>
          <c:val>
            <c:numRef>
              <c:f>SUSPENSION!$C$67:$C$71</c:f>
              <c:numCache>
                <c:formatCode>0.000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8780-4598-AD46-00923C1F55AF}"/>
            </c:ext>
          </c:extLst>
        </c:ser>
        <c:ser>
          <c:idx val="1"/>
          <c:order val="1"/>
          <c:tx>
            <c:strRef>
              <c:f>SUSPENSION!$D$66</c:f>
              <c:strCache>
                <c:ptCount val="1"/>
                <c:pt idx="0">
                  <c:v>Precision NTC 5385</c:v>
                </c:pt>
              </c:strCache>
            </c:strRef>
          </c:tx>
          <c:val>
            <c:numRef>
              <c:f>SUSPENSION!$D$67:$D$71</c:f>
              <c:numCache>
                <c:formatCode>0.00</c:formatCode>
                <c:ptCount val="5"/>
                <c:pt idx="0">
                  <c:v>3</c:v>
                </c:pt>
                <c:pt idx="1">
                  <c:v>3</c:v>
                </c:pt>
                <c:pt idx="2">
                  <c:v>3</c:v>
                </c:pt>
                <c:pt idx="3">
                  <c:v>3</c:v>
                </c:pt>
                <c:pt idx="4">
                  <c:v>3</c:v>
                </c:pt>
              </c:numCache>
            </c:numRef>
          </c:val>
          <c:smooth val="0"/>
          <c:extLst>
            <c:ext xmlns:c16="http://schemas.microsoft.com/office/drawing/2014/chart" uri="{C3380CC4-5D6E-409C-BE32-E72D297353CC}">
              <c16:uniqueId val="{00000001-8780-4598-AD46-00923C1F55AF}"/>
            </c:ext>
          </c:extLst>
        </c:ser>
        <c:dLbls>
          <c:showLegendKey val="0"/>
          <c:showVal val="0"/>
          <c:showCatName val="0"/>
          <c:showSerName val="0"/>
          <c:showPercent val="0"/>
          <c:showBubbleSize val="0"/>
        </c:dLbls>
        <c:marker val="1"/>
        <c:smooth val="0"/>
        <c:axId val="244763632"/>
        <c:axId val="14232720"/>
      </c:lineChart>
      <c:catAx>
        <c:axId val="244763632"/>
        <c:scaling>
          <c:orientation val="minMax"/>
        </c:scaling>
        <c:delete val="0"/>
        <c:axPos val="b"/>
        <c:numFmt formatCode="General" sourceLinked="1"/>
        <c:majorTickMark val="none"/>
        <c:minorTickMark val="none"/>
        <c:tickLblPos val="nextTo"/>
        <c:crossAx val="14232720"/>
        <c:crosses val="autoZero"/>
        <c:auto val="1"/>
        <c:lblAlgn val="ctr"/>
        <c:lblOffset val="100"/>
        <c:noMultiLvlLbl val="0"/>
      </c:catAx>
      <c:valAx>
        <c:axId val="14232720"/>
        <c:scaling>
          <c:orientation val="minMax"/>
        </c:scaling>
        <c:delete val="0"/>
        <c:axPos val="l"/>
        <c:majorGridlines/>
        <c:title>
          <c:overlay val="0"/>
        </c:title>
        <c:numFmt formatCode="0.000" sourceLinked="1"/>
        <c:majorTickMark val="none"/>
        <c:minorTickMark val="none"/>
        <c:tickLblPos val="nextTo"/>
        <c:crossAx val="244763632"/>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SUSPENSION!$C$87</c:f>
              <c:strCache>
                <c:ptCount val="1"/>
                <c:pt idx="0">
                  <c:v>ERROR + U EXPANDIDA CAL 2 [%] 2021</c:v>
                </c:pt>
              </c:strCache>
            </c:strRef>
          </c:tx>
          <c:val>
            <c:numRef>
              <c:f>SUSPENSION!$C$88:$C$93</c:f>
              <c:numCache>
                <c:formatCode>0.000</c:formatCode>
                <c:ptCount val="6"/>
                <c:pt idx="0">
                  <c:v>1.1952191235059733</c:v>
                </c:pt>
                <c:pt idx="1">
                  <c:v>1.2403317262028266</c:v>
                </c:pt>
                <c:pt idx="2">
                  <c:v>0.96249585131098181</c:v>
                </c:pt>
                <c:pt idx="3">
                  <c:v>1.1697361871577872</c:v>
                </c:pt>
                <c:pt idx="4">
                  <c:v>0.67688632291459283</c:v>
                </c:pt>
                <c:pt idx="5">
                  <c:v>0.69721115537848599</c:v>
                </c:pt>
              </c:numCache>
            </c:numRef>
          </c:val>
          <c:smooth val="0"/>
          <c:extLst>
            <c:ext xmlns:c16="http://schemas.microsoft.com/office/drawing/2014/chart" uri="{C3380CC4-5D6E-409C-BE32-E72D297353CC}">
              <c16:uniqueId val="{00000000-5A2D-429B-BB3B-F3575A045FF2}"/>
            </c:ext>
          </c:extLst>
        </c:ser>
        <c:ser>
          <c:idx val="1"/>
          <c:order val="1"/>
          <c:tx>
            <c:strRef>
              <c:f>SUSPENSION!$D$87</c:f>
              <c:strCache>
                <c:ptCount val="1"/>
                <c:pt idx="0">
                  <c:v>ERROR - U EXPANDIDA CAL 2 [%] 2021</c:v>
                </c:pt>
              </c:strCache>
            </c:strRef>
          </c:tx>
          <c:val>
            <c:numRef>
              <c:f>SUSPENSION!$D$88:$D$93</c:f>
              <c:numCache>
                <c:formatCode>0.000</c:formatCode>
                <c:ptCount val="6"/>
                <c:pt idx="0">
                  <c:v>-2.5896414342629508</c:v>
                </c:pt>
                <c:pt idx="1">
                  <c:v>-1.8457807675751723</c:v>
                </c:pt>
                <c:pt idx="2">
                  <c:v>-1.8254231662794593</c:v>
                </c:pt>
                <c:pt idx="3">
                  <c:v>-1.567944250871083</c:v>
                </c:pt>
                <c:pt idx="4">
                  <c:v>-1.8713915986462273</c:v>
                </c:pt>
                <c:pt idx="5">
                  <c:v>-1.8924302788844622</c:v>
                </c:pt>
              </c:numCache>
            </c:numRef>
          </c:val>
          <c:smooth val="0"/>
          <c:extLst>
            <c:ext xmlns:c16="http://schemas.microsoft.com/office/drawing/2014/chart" uri="{C3380CC4-5D6E-409C-BE32-E72D297353CC}">
              <c16:uniqueId val="{00000001-5A2D-429B-BB3B-F3575A045FF2}"/>
            </c:ext>
          </c:extLst>
        </c:ser>
        <c:ser>
          <c:idx val="2"/>
          <c:order val="2"/>
          <c:tx>
            <c:strRef>
              <c:f>SUSPENSION!$E$87</c:f>
              <c:strCache>
                <c:ptCount val="1"/>
                <c:pt idx="0">
                  <c:v>EXACTITUD DE ACUERDO A NTC: 5385:2011 (+) [%]</c:v>
                </c:pt>
              </c:strCache>
            </c:strRef>
          </c:tx>
          <c:val>
            <c:numRef>
              <c:f>SUSPENSION!$E$88:$E$93</c:f>
              <c:numCache>
                <c:formatCode>0.00</c:formatCode>
                <c:ptCount val="6"/>
                <c:pt idx="0">
                  <c:v>3</c:v>
                </c:pt>
                <c:pt idx="1">
                  <c:v>3</c:v>
                </c:pt>
                <c:pt idx="2">
                  <c:v>3</c:v>
                </c:pt>
                <c:pt idx="3">
                  <c:v>3</c:v>
                </c:pt>
                <c:pt idx="4">
                  <c:v>3</c:v>
                </c:pt>
                <c:pt idx="5">
                  <c:v>3</c:v>
                </c:pt>
              </c:numCache>
            </c:numRef>
          </c:val>
          <c:smooth val="0"/>
          <c:extLst>
            <c:ext xmlns:c16="http://schemas.microsoft.com/office/drawing/2014/chart" uri="{C3380CC4-5D6E-409C-BE32-E72D297353CC}">
              <c16:uniqueId val="{00000002-5A2D-429B-BB3B-F3575A045FF2}"/>
            </c:ext>
          </c:extLst>
        </c:ser>
        <c:ser>
          <c:idx val="3"/>
          <c:order val="3"/>
          <c:tx>
            <c:strRef>
              <c:f>SUSPENSION!$F$87</c:f>
              <c:strCache>
                <c:ptCount val="1"/>
                <c:pt idx="0">
                  <c:v>EXACTITUD DE ACUERDO A NTC: 5385:2011 (-) [%]</c:v>
                </c:pt>
              </c:strCache>
            </c:strRef>
          </c:tx>
          <c:val>
            <c:numRef>
              <c:f>SUSPENSION!$F$88:$F$93</c:f>
              <c:numCache>
                <c:formatCode>0.00</c:formatCode>
                <c:ptCount val="6"/>
                <c:pt idx="0">
                  <c:v>-3</c:v>
                </c:pt>
                <c:pt idx="1">
                  <c:v>-3</c:v>
                </c:pt>
                <c:pt idx="2">
                  <c:v>-3</c:v>
                </c:pt>
                <c:pt idx="3">
                  <c:v>-3</c:v>
                </c:pt>
                <c:pt idx="4">
                  <c:v>-3</c:v>
                </c:pt>
                <c:pt idx="5">
                  <c:v>-3</c:v>
                </c:pt>
              </c:numCache>
            </c:numRef>
          </c:val>
          <c:smooth val="0"/>
          <c:extLst>
            <c:ext xmlns:c16="http://schemas.microsoft.com/office/drawing/2014/chart" uri="{C3380CC4-5D6E-409C-BE32-E72D297353CC}">
              <c16:uniqueId val="{00000003-5A2D-429B-BB3B-F3575A045FF2}"/>
            </c:ext>
          </c:extLst>
        </c:ser>
        <c:dLbls>
          <c:showLegendKey val="0"/>
          <c:showVal val="0"/>
          <c:showCatName val="0"/>
          <c:showSerName val="0"/>
          <c:showPercent val="0"/>
          <c:showBubbleSize val="0"/>
        </c:dLbls>
        <c:marker val="1"/>
        <c:smooth val="0"/>
        <c:axId val="410184768"/>
        <c:axId val="410185160"/>
      </c:lineChart>
      <c:catAx>
        <c:axId val="410184768"/>
        <c:scaling>
          <c:orientation val="minMax"/>
        </c:scaling>
        <c:delete val="0"/>
        <c:axPos val="b"/>
        <c:numFmt formatCode="General" sourceLinked="1"/>
        <c:majorTickMark val="none"/>
        <c:minorTickMark val="none"/>
        <c:tickLblPos val="nextTo"/>
        <c:crossAx val="410185160"/>
        <c:crosses val="autoZero"/>
        <c:auto val="1"/>
        <c:lblAlgn val="ctr"/>
        <c:lblOffset val="100"/>
        <c:noMultiLvlLbl val="0"/>
      </c:catAx>
      <c:valAx>
        <c:axId val="410185160"/>
        <c:scaling>
          <c:orientation val="minMax"/>
        </c:scaling>
        <c:delete val="0"/>
        <c:axPos val="l"/>
        <c:majorGridlines/>
        <c:title>
          <c:overlay val="0"/>
        </c:title>
        <c:numFmt formatCode="0.000" sourceLinked="1"/>
        <c:majorTickMark val="none"/>
        <c:minorTickMark val="none"/>
        <c:tickLblPos val="nextTo"/>
        <c:crossAx val="410184768"/>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3"/>
          <c:order val="0"/>
          <c:tx>
            <c:strRef>
              <c:f>'MONOXIDO (CO)  '!$C$68</c:f>
              <c:strCache>
                <c:ptCount val="1"/>
                <c:pt idx="0">
                  <c:v>RUIDO CAL 2</c:v>
                </c:pt>
              </c:strCache>
            </c:strRef>
          </c:tx>
          <c:val>
            <c:numRef>
              <c:f>'MONOXIDO (CO)  '!$C$69:$C$72</c:f>
              <c:numCache>
                <c:formatCode>0.000</c:formatCode>
                <c:ptCount val="4"/>
                <c:pt idx="0">
                  <c:v>0</c:v>
                </c:pt>
                <c:pt idx="1">
                  <c:v>7.0000000000000001E-3</c:v>
                </c:pt>
                <c:pt idx="2">
                  <c:v>0</c:v>
                </c:pt>
                <c:pt idx="3">
                  <c:v>0</c:v>
                </c:pt>
              </c:numCache>
            </c:numRef>
          </c:val>
          <c:smooth val="0"/>
          <c:extLst>
            <c:ext xmlns:c16="http://schemas.microsoft.com/office/drawing/2014/chart" uri="{C3380CC4-5D6E-409C-BE32-E72D297353CC}">
              <c16:uniqueId val="{00000000-45BA-40FA-8EB9-24B451D8DBD0}"/>
            </c:ext>
          </c:extLst>
        </c:ser>
        <c:ser>
          <c:idx val="4"/>
          <c:order val="1"/>
          <c:tx>
            <c:strRef>
              <c:f>'MONOXIDO (CO)  '!$D$68</c:f>
              <c:strCache>
                <c:ptCount val="1"/>
                <c:pt idx="0">
                  <c:v>Ruido NTC 4983 Numeral 5.2.7.1 (+) [%]</c:v>
                </c:pt>
              </c:strCache>
            </c:strRef>
          </c:tx>
          <c:val>
            <c:numRef>
              <c:f>'MONOXIDO (CO)  '!$D$69:$D$72</c:f>
              <c:numCache>
                <c:formatCode>0.00</c:formatCode>
                <c:ptCount val="4"/>
                <c:pt idx="0">
                  <c:v>0.02</c:v>
                </c:pt>
                <c:pt idx="1">
                  <c:v>0.06</c:v>
                </c:pt>
                <c:pt idx="2">
                  <c:v>0.1</c:v>
                </c:pt>
                <c:pt idx="3">
                  <c:v>0.02</c:v>
                </c:pt>
              </c:numCache>
            </c:numRef>
          </c:val>
          <c:smooth val="0"/>
          <c:extLst>
            <c:ext xmlns:c16="http://schemas.microsoft.com/office/drawing/2014/chart" uri="{C3380CC4-5D6E-409C-BE32-E72D297353CC}">
              <c16:uniqueId val="{00000001-45BA-40FA-8EB9-24B451D8DBD0}"/>
            </c:ext>
          </c:extLst>
        </c:ser>
        <c:dLbls>
          <c:showLegendKey val="0"/>
          <c:showVal val="0"/>
          <c:showCatName val="0"/>
          <c:showSerName val="0"/>
          <c:showPercent val="0"/>
          <c:showBubbleSize val="0"/>
        </c:dLbls>
        <c:marker val="1"/>
        <c:smooth val="0"/>
        <c:axId val="244763632"/>
        <c:axId val="14232720"/>
      </c:lineChart>
      <c:catAx>
        <c:axId val="244763632"/>
        <c:scaling>
          <c:orientation val="minMax"/>
        </c:scaling>
        <c:delete val="0"/>
        <c:axPos val="b"/>
        <c:numFmt formatCode="General" sourceLinked="1"/>
        <c:majorTickMark val="none"/>
        <c:minorTickMark val="none"/>
        <c:tickLblPos val="nextTo"/>
        <c:crossAx val="14232720"/>
        <c:crosses val="autoZero"/>
        <c:auto val="1"/>
        <c:lblAlgn val="ctr"/>
        <c:lblOffset val="100"/>
        <c:noMultiLvlLbl val="0"/>
      </c:catAx>
      <c:valAx>
        <c:axId val="14232720"/>
        <c:scaling>
          <c:orientation val="minMax"/>
        </c:scaling>
        <c:delete val="0"/>
        <c:axPos val="l"/>
        <c:majorGridlines/>
        <c:title>
          <c:overlay val="0"/>
        </c:title>
        <c:numFmt formatCode="0.000" sourceLinked="1"/>
        <c:majorTickMark val="none"/>
        <c:minorTickMark val="none"/>
        <c:tickLblPos val="nextTo"/>
        <c:crossAx val="244763632"/>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SUSPENSION!$C$113</c:f>
              <c:strCache>
                <c:ptCount val="1"/>
                <c:pt idx="0">
                  <c:v>PRECISION CAL 2 2021</c:v>
                </c:pt>
              </c:strCache>
            </c:strRef>
          </c:tx>
          <c:val>
            <c:numRef>
              <c:f>SUSPENSION!$C$114:$C$118</c:f>
              <c:numCache>
                <c:formatCode>0.000</c:formatCode>
                <c:ptCount val="5"/>
                <c:pt idx="0">
                  <c:v>0.57768924302788838</c:v>
                </c:pt>
                <c:pt idx="1">
                  <c:v>0.28870084619213537</c:v>
                </c:pt>
                <c:pt idx="2">
                  <c:v>0.33189512114171921</c:v>
                </c:pt>
                <c:pt idx="3">
                  <c:v>0.430562468889995</c:v>
                </c:pt>
                <c:pt idx="4">
                  <c:v>0.11546884332072464</c:v>
                </c:pt>
              </c:numCache>
            </c:numRef>
          </c:val>
          <c:smooth val="0"/>
          <c:extLst>
            <c:ext xmlns:c16="http://schemas.microsoft.com/office/drawing/2014/chart" uri="{C3380CC4-5D6E-409C-BE32-E72D297353CC}">
              <c16:uniqueId val="{00000000-2281-4DA6-91D7-752A768FD63D}"/>
            </c:ext>
          </c:extLst>
        </c:ser>
        <c:ser>
          <c:idx val="1"/>
          <c:order val="1"/>
          <c:tx>
            <c:strRef>
              <c:f>SUSPENSION!$D$113</c:f>
              <c:strCache>
                <c:ptCount val="1"/>
                <c:pt idx="0">
                  <c:v>Precision NTC 5385</c:v>
                </c:pt>
              </c:strCache>
            </c:strRef>
          </c:tx>
          <c:val>
            <c:numRef>
              <c:f>SUSPENSION!$D$114:$D$118</c:f>
              <c:numCache>
                <c:formatCode>0.00</c:formatCode>
                <c:ptCount val="5"/>
                <c:pt idx="0">
                  <c:v>3</c:v>
                </c:pt>
                <c:pt idx="1">
                  <c:v>3</c:v>
                </c:pt>
                <c:pt idx="2">
                  <c:v>3</c:v>
                </c:pt>
                <c:pt idx="3">
                  <c:v>3</c:v>
                </c:pt>
                <c:pt idx="4">
                  <c:v>3</c:v>
                </c:pt>
              </c:numCache>
            </c:numRef>
          </c:val>
          <c:smooth val="0"/>
          <c:extLst>
            <c:ext xmlns:c16="http://schemas.microsoft.com/office/drawing/2014/chart" uri="{C3380CC4-5D6E-409C-BE32-E72D297353CC}">
              <c16:uniqueId val="{00000001-2281-4DA6-91D7-752A768FD63D}"/>
            </c:ext>
          </c:extLst>
        </c:ser>
        <c:dLbls>
          <c:showLegendKey val="0"/>
          <c:showVal val="0"/>
          <c:showCatName val="0"/>
          <c:showSerName val="0"/>
          <c:showPercent val="0"/>
          <c:showBubbleSize val="0"/>
        </c:dLbls>
        <c:marker val="1"/>
        <c:smooth val="0"/>
        <c:axId val="244763632"/>
        <c:axId val="14232720"/>
      </c:lineChart>
      <c:catAx>
        <c:axId val="244763632"/>
        <c:scaling>
          <c:orientation val="minMax"/>
        </c:scaling>
        <c:delete val="0"/>
        <c:axPos val="b"/>
        <c:numFmt formatCode="General" sourceLinked="1"/>
        <c:majorTickMark val="none"/>
        <c:minorTickMark val="none"/>
        <c:tickLblPos val="nextTo"/>
        <c:crossAx val="14232720"/>
        <c:crosses val="autoZero"/>
        <c:auto val="1"/>
        <c:lblAlgn val="ctr"/>
        <c:lblOffset val="100"/>
        <c:noMultiLvlLbl val="0"/>
      </c:catAx>
      <c:valAx>
        <c:axId val="14232720"/>
        <c:scaling>
          <c:orientation val="minMax"/>
        </c:scaling>
        <c:delete val="0"/>
        <c:axPos val="l"/>
        <c:majorGridlines/>
        <c:title>
          <c:overlay val="0"/>
        </c:title>
        <c:numFmt formatCode="0.000" sourceLinked="1"/>
        <c:majorTickMark val="none"/>
        <c:minorTickMark val="none"/>
        <c:tickLblPos val="nextTo"/>
        <c:crossAx val="244763632"/>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SUSPENSION!$C$135</c:f>
              <c:strCache>
                <c:ptCount val="1"/>
                <c:pt idx="0">
                  <c:v>ERROR + U EXPANDIDA CAL 2 [%] 2021</c:v>
                </c:pt>
              </c:strCache>
            </c:strRef>
          </c:tx>
          <c:val>
            <c:numRef>
              <c:f>SUSPENSION!$C$136:$C$140</c:f>
              <c:numCache>
                <c:formatCode>0.000</c:formatCode>
                <c:ptCount val="5"/>
                <c:pt idx="0">
                  <c:v>0.56999999999999995</c:v>
                </c:pt>
                <c:pt idx="1">
                  <c:v>1.8999999999999997</c:v>
                </c:pt>
                <c:pt idx="2">
                  <c:v>1.4499999999999997</c:v>
                </c:pt>
                <c:pt idx="3">
                  <c:v>0.98333333333333328</c:v>
                </c:pt>
                <c:pt idx="4">
                  <c:v>0.63</c:v>
                </c:pt>
              </c:numCache>
            </c:numRef>
          </c:val>
          <c:smooth val="0"/>
          <c:extLst>
            <c:ext xmlns:c16="http://schemas.microsoft.com/office/drawing/2014/chart" uri="{C3380CC4-5D6E-409C-BE32-E72D297353CC}">
              <c16:uniqueId val="{00000000-288E-4F17-B43D-9D1BE3D4ACC7}"/>
            </c:ext>
          </c:extLst>
        </c:ser>
        <c:ser>
          <c:idx val="1"/>
          <c:order val="1"/>
          <c:tx>
            <c:strRef>
              <c:f>SUSPENSION!$D$135</c:f>
              <c:strCache>
                <c:ptCount val="1"/>
                <c:pt idx="0">
                  <c:v>ERROR - U EXPANDIDA CAL 2 [%] 2021</c:v>
                </c:pt>
              </c:strCache>
            </c:strRef>
          </c:tx>
          <c:val>
            <c:numRef>
              <c:f>SUSPENSION!$D$136:$D$140</c:f>
              <c:numCache>
                <c:formatCode>0.000</c:formatCode>
                <c:ptCount val="5"/>
                <c:pt idx="0">
                  <c:v>-0.56999999999999995</c:v>
                </c:pt>
                <c:pt idx="1">
                  <c:v>-1.8999999999999997</c:v>
                </c:pt>
                <c:pt idx="2">
                  <c:v>-1.4499999999999997</c:v>
                </c:pt>
                <c:pt idx="3">
                  <c:v>-0.98333333333333328</c:v>
                </c:pt>
                <c:pt idx="4">
                  <c:v>-0.63</c:v>
                </c:pt>
              </c:numCache>
            </c:numRef>
          </c:val>
          <c:smooth val="0"/>
          <c:extLst>
            <c:ext xmlns:c16="http://schemas.microsoft.com/office/drawing/2014/chart" uri="{C3380CC4-5D6E-409C-BE32-E72D297353CC}">
              <c16:uniqueId val="{00000001-288E-4F17-B43D-9D1BE3D4ACC7}"/>
            </c:ext>
          </c:extLst>
        </c:ser>
        <c:ser>
          <c:idx val="2"/>
          <c:order val="2"/>
          <c:tx>
            <c:strRef>
              <c:f>SUSPENSION!$E$135</c:f>
              <c:strCache>
                <c:ptCount val="1"/>
                <c:pt idx="0">
                  <c:v>EXACTITUD DE ACUERDO A NTC: 5385:2011 (+) [%]</c:v>
                </c:pt>
              </c:strCache>
            </c:strRef>
          </c:tx>
          <c:val>
            <c:numRef>
              <c:f>SUSPENSION!$E$136:$E$140</c:f>
              <c:numCache>
                <c:formatCode>0.00</c:formatCode>
                <c:ptCount val="5"/>
                <c:pt idx="0">
                  <c:v>3</c:v>
                </c:pt>
                <c:pt idx="1">
                  <c:v>3</c:v>
                </c:pt>
                <c:pt idx="2">
                  <c:v>3</c:v>
                </c:pt>
                <c:pt idx="3">
                  <c:v>3</c:v>
                </c:pt>
                <c:pt idx="4">
                  <c:v>3</c:v>
                </c:pt>
              </c:numCache>
            </c:numRef>
          </c:val>
          <c:smooth val="0"/>
          <c:extLst>
            <c:ext xmlns:c16="http://schemas.microsoft.com/office/drawing/2014/chart" uri="{C3380CC4-5D6E-409C-BE32-E72D297353CC}">
              <c16:uniqueId val="{00000002-288E-4F17-B43D-9D1BE3D4ACC7}"/>
            </c:ext>
          </c:extLst>
        </c:ser>
        <c:dLbls>
          <c:showLegendKey val="0"/>
          <c:showVal val="0"/>
          <c:showCatName val="0"/>
          <c:showSerName val="0"/>
          <c:showPercent val="0"/>
          <c:showBubbleSize val="0"/>
        </c:dLbls>
        <c:marker val="1"/>
        <c:smooth val="0"/>
        <c:axId val="410184768"/>
        <c:axId val="410185160"/>
      </c:lineChart>
      <c:catAx>
        <c:axId val="410184768"/>
        <c:scaling>
          <c:orientation val="minMax"/>
        </c:scaling>
        <c:delete val="0"/>
        <c:axPos val="b"/>
        <c:numFmt formatCode="General" sourceLinked="1"/>
        <c:majorTickMark val="none"/>
        <c:minorTickMark val="none"/>
        <c:tickLblPos val="nextTo"/>
        <c:crossAx val="410185160"/>
        <c:crosses val="autoZero"/>
        <c:auto val="1"/>
        <c:lblAlgn val="ctr"/>
        <c:lblOffset val="100"/>
        <c:noMultiLvlLbl val="0"/>
      </c:catAx>
      <c:valAx>
        <c:axId val="410185160"/>
        <c:scaling>
          <c:orientation val="minMax"/>
        </c:scaling>
        <c:delete val="0"/>
        <c:axPos val="l"/>
        <c:majorGridlines/>
        <c:title>
          <c:overlay val="0"/>
        </c:title>
        <c:numFmt formatCode="0.000" sourceLinked="1"/>
        <c:majorTickMark val="none"/>
        <c:minorTickMark val="none"/>
        <c:tickLblPos val="nextTo"/>
        <c:crossAx val="410184768"/>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SUSPENSION!$C$161</c:f>
              <c:strCache>
                <c:ptCount val="1"/>
                <c:pt idx="0">
                  <c:v>PRECISION CAL 2 2021</c:v>
                </c:pt>
              </c:strCache>
            </c:strRef>
          </c:tx>
          <c:val>
            <c:numRef>
              <c:f>SUSPENSION!$C$162:$C$166</c:f>
              <c:numCache>
                <c:formatCode>0.000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3B1E-4F90-B93A-B49FFCA4ACC0}"/>
            </c:ext>
          </c:extLst>
        </c:ser>
        <c:ser>
          <c:idx val="1"/>
          <c:order val="1"/>
          <c:tx>
            <c:strRef>
              <c:f>SUSPENSION!$D$161</c:f>
              <c:strCache>
                <c:ptCount val="1"/>
                <c:pt idx="0">
                  <c:v>Precision NTC 5385</c:v>
                </c:pt>
              </c:strCache>
            </c:strRef>
          </c:tx>
          <c:val>
            <c:numRef>
              <c:f>SUSPENSION!$D$162:$D$166</c:f>
              <c:numCache>
                <c:formatCode>0.00</c:formatCode>
                <c:ptCount val="5"/>
                <c:pt idx="0">
                  <c:v>3</c:v>
                </c:pt>
                <c:pt idx="1">
                  <c:v>3</c:v>
                </c:pt>
                <c:pt idx="2">
                  <c:v>3</c:v>
                </c:pt>
                <c:pt idx="3">
                  <c:v>3</c:v>
                </c:pt>
                <c:pt idx="4">
                  <c:v>3</c:v>
                </c:pt>
              </c:numCache>
            </c:numRef>
          </c:val>
          <c:smooth val="0"/>
          <c:extLst>
            <c:ext xmlns:c16="http://schemas.microsoft.com/office/drawing/2014/chart" uri="{C3380CC4-5D6E-409C-BE32-E72D297353CC}">
              <c16:uniqueId val="{00000001-3B1E-4F90-B93A-B49FFCA4ACC0}"/>
            </c:ext>
          </c:extLst>
        </c:ser>
        <c:dLbls>
          <c:showLegendKey val="0"/>
          <c:showVal val="0"/>
          <c:showCatName val="0"/>
          <c:showSerName val="0"/>
          <c:showPercent val="0"/>
          <c:showBubbleSize val="0"/>
        </c:dLbls>
        <c:marker val="1"/>
        <c:smooth val="0"/>
        <c:axId val="244763632"/>
        <c:axId val="14232720"/>
      </c:lineChart>
      <c:catAx>
        <c:axId val="244763632"/>
        <c:scaling>
          <c:orientation val="minMax"/>
        </c:scaling>
        <c:delete val="0"/>
        <c:axPos val="b"/>
        <c:numFmt formatCode="General" sourceLinked="1"/>
        <c:majorTickMark val="none"/>
        <c:minorTickMark val="none"/>
        <c:tickLblPos val="nextTo"/>
        <c:crossAx val="14232720"/>
        <c:crosses val="autoZero"/>
        <c:auto val="1"/>
        <c:lblAlgn val="ctr"/>
        <c:lblOffset val="100"/>
        <c:noMultiLvlLbl val="0"/>
      </c:catAx>
      <c:valAx>
        <c:axId val="14232720"/>
        <c:scaling>
          <c:orientation val="minMax"/>
        </c:scaling>
        <c:delete val="0"/>
        <c:axPos val="l"/>
        <c:majorGridlines/>
        <c:title>
          <c:overlay val="0"/>
        </c:title>
        <c:numFmt formatCode="0.000" sourceLinked="1"/>
        <c:majorTickMark val="none"/>
        <c:minorTickMark val="none"/>
        <c:tickLblPos val="nextTo"/>
        <c:crossAx val="244763632"/>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SUSPENSION!$C$182</c:f>
              <c:strCache>
                <c:ptCount val="1"/>
                <c:pt idx="0">
                  <c:v>ERROR + U EXPANDIDA CAL 2 [%] 2021</c:v>
                </c:pt>
              </c:strCache>
            </c:strRef>
          </c:tx>
          <c:val>
            <c:numRef>
              <c:f>SUSPENSION!$C$183:$C$188</c:f>
              <c:numCache>
                <c:formatCode>0.000</c:formatCode>
                <c:ptCount val="6"/>
                <c:pt idx="0">
                  <c:v>1.7928286852589554</c:v>
                </c:pt>
                <c:pt idx="1">
                  <c:v>1.4421480733269323</c:v>
                </c:pt>
                <c:pt idx="2">
                  <c:v>1.0288748755393293</c:v>
                </c:pt>
                <c:pt idx="3">
                  <c:v>1.1697361871577898</c:v>
                </c:pt>
                <c:pt idx="4">
                  <c:v>1.0869998009157877</c:v>
                </c:pt>
                <c:pt idx="5">
                  <c:v>0.99601593625498008</c:v>
                </c:pt>
              </c:numCache>
            </c:numRef>
          </c:val>
          <c:smooth val="0"/>
          <c:extLst>
            <c:ext xmlns:c16="http://schemas.microsoft.com/office/drawing/2014/chart" uri="{C3380CC4-5D6E-409C-BE32-E72D297353CC}">
              <c16:uniqueId val="{00000000-EFED-46AD-B771-5C82C1419301}"/>
            </c:ext>
          </c:extLst>
        </c:ser>
        <c:ser>
          <c:idx val="1"/>
          <c:order val="1"/>
          <c:tx>
            <c:strRef>
              <c:f>SUSPENSION!$D$182</c:f>
              <c:strCache>
                <c:ptCount val="1"/>
                <c:pt idx="0">
                  <c:v>ERROR - U EXPANDIDA CAL 2 [%] 2021</c:v>
                </c:pt>
              </c:strCache>
            </c:strRef>
          </c:tx>
          <c:val>
            <c:numRef>
              <c:f>SUSPENSION!$D$183:$D$188</c:f>
              <c:numCache>
                <c:formatCode>0.000</c:formatCode>
                <c:ptCount val="6"/>
                <c:pt idx="0">
                  <c:v>-1.9920318725099686</c:v>
                </c:pt>
                <c:pt idx="1">
                  <c:v>-1.6439644204510666</c:v>
                </c:pt>
                <c:pt idx="2">
                  <c:v>-1.6926651178227676</c:v>
                </c:pt>
                <c:pt idx="3">
                  <c:v>-1.4186162269785962</c:v>
                </c:pt>
                <c:pt idx="4">
                  <c:v>-1.4612781206450325</c:v>
                </c:pt>
                <c:pt idx="5">
                  <c:v>-1.593625498007968</c:v>
                </c:pt>
              </c:numCache>
            </c:numRef>
          </c:val>
          <c:smooth val="0"/>
          <c:extLst>
            <c:ext xmlns:c16="http://schemas.microsoft.com/office/drawing/2014/chart" uri="{C3380CC4-5D6E-409C-BE32-E72D297353CC}">
              <c16:uniqueId val="{00000001-EFED-46AD-B771-5C82C1419301}"/>
            </c:ext>
          </c:extLst>
        </c:ser>
        <c:ser>
          <c:idx val="2"/>
          <c:order val="2"/>
          <c:tx>
            <c:strRef>
              <c:f>SUSPENSION!$E$182</c:f>
              <c:strCache>
                <c:ptCount val="1"/>
                <c:pt idx="0">
                  <c:v>EXACTITUD DE ACUERDO A NTC: 5385:2011 (+) [%]</c:v>
                </c:pt>
              </c:strCache>
            </c:strRef>
          </c:tx>
          <c:val>
            <c:numRef>
              <c:f>SUSPENSION!$E$183:$E$188</c:f>
              <c:numCache>
                <c:formatCode>0.00</c:formatCode>
                <c:ptCount val="6"/>
                <c:pt idx="0">
                  <c:v>3</c:v>
                </c:pt>
                <c:pt idx="1">
                  <c:v>3</c:v>
                </c:pt>
                <c:pt idx="2">
                  <c:v>3</c:v>
                </c:pt>
                <c:pt idx="3">
                  <c:v>3</c:v>
                </c:pt>
                <c:pt idx="4">
                  <c:v>3</c:v>
                </c:pt>
                <c:pt idx="5">
                  <c:v>3</c:v>
                </c:pt>
              </c:numCache>
            </c:numRef>
          </c:val>
          <c:smooth val="0"/>
          <c:extLst>
            <c:ext xmlns:c16="http://schemas.microsoft.com/office/drawing/2014/chart" uri="{C3380CC4-5D6E-409C-BE32-E72D297353CC}">
              <c16:uniqueId val="{00000002-EFED-46AD-B771-5C82C1419301}"/>
            </c:ext>
          </c:extLst>
        </c:ser>
        <c:ser>
          <c:idx val="3"/>
          <c:order val="3"/>
          <c:tx>
            <c:strRef>
              <c:f>SUSPENSION!$F$182</c:f>
              <c:strCache>
                <c:ptCount val="1"/>
                <c:pt idx="0">
                  <c:v>EXACTITUD DE ACUERDO A NTC: 5385:2011 (-) [%]</c:v>
                </c:pt>
              </c:strCache>
            </c:strRef>
          </c:tx>
          <c:val>
            <c:numRef>
              <c:f>SUSPENSION!$F$183:$F$188</c:f>
              <c:numCache>
                <c:formatCode>0.00</c:formatCode>
                <c:ptCount val="6"/>
                <c:pt idx="0">
                  <c:v>-3</c:v>
                </c:pt>
                <c:pt idx="1">
                  <c:v>-3</c:v>
                </c:pt>
                <c:pt idx="2">
                  <c:v>-3</c:v>
                </c:pt>
                <c:pt idx="3">
                  <c:v>-3</c:v>
                </c:pt>
                <c:pt idx="4">
                  <c:v>-3</c:v>
                </c:pt>
                <c:pt idx="5">
                  <c:v>-3</c:v>
                </c:pt>
              </c:numCache>
            </c:numRef>
          </c:val>
          <c:smooth val="0"/>
          <c:extLst>
            <c:ext xmlns:c16="http://schemas.microsoft.com/office/drawing/2014/chart" uri="{C3380CC4-5D6E-409C-BE32-E72D297353CC}">
              <c16:uniqueId val="{00000003-EFED-46AD-B771-5C82C1419301}"/>
            </c:ext>
          </c:extLst>
        </c:ser>
        <c:dLbls>
          <c:showLegendKey val="0"/>
          <c:showVal val="0"/>
          <c:showCatName val="0"/>
          <c:showSerName val="0"/>
          <c:showPercent val="0"/>
          <c:showBubbleSize val="0"/>
        </c:dLbls>
        <c:marker val="1"/>
        <c:smooth val="0"/>
        <c:axId val="410184768"/>
        <c:axId val="410185160"/>
      </c:lineChart>
      <c:catAx>
        <c:axId val="410184768"/>
        <c:scaling>
          <c:orientation val="minMax"/>
        </c:scaling>
        <c:delete val="0"/>
        <c:axPos val="b"/>
        <c:numFmt formatCode="General" sourceLinked="1"/>
        <c:majorTickMark val="none"/>
        <c:minorTickMark val="none"/>
        <c:tickLblPos val="nextTo"/>
        <c:crossAx val="410185160"/>
        <c:crosses val="autoZero"/>
        <c:auto val="1"/>
        <c:lblAlgn val="ctr"/>
        <c:lblOffset val="100"/>
        <c:noMultiLvlLbl val="0"/>
      </c:catAx>
      <c:valAx>
        <c:axId val="410185160"/>
        <c:scaling>
          <c:orientation val="minMax"/>
        </c:scaling>
        <c:delete val="0"/>
        <c:axPos val="l"/>
        <c:majorGridlines/>
        <c:title>
          <c:overlay val="0"/>
        </c:title>
        <c:numFmt formatCode="0.000" sourceLinked="1"/>
        <c:majorTickMark val="none"/>
        <c:minorTickMark val="none"/>
        <c:tickLblPos val="nextTo"/>
        <c:crossAx val="410184768"/>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SUSPENSION!$C$208</c:f>
              <c:strCache>
                <c:ptCount val="1"/>
                <c:pt idx="0">
                  <c:v>PRECISION CAL 2 2021</c:v>
                </c:pt>
              </c:strCache>
            </c:strRef>
          </c:tx>
          <c:val>
            <c:numRef>
              <c:f>SUSPENSION!$C$209:$C$214</c:f>
              <c:numCache>
                <c:formatCode>0.000</c:formatCode>
                <c:ptCount val="6"/>
                <c:pt idx="0">
                  <c:v>0.57768924302788838</c:v>
                </c:pt>
                <c:pt idx="1">
                  <c:v>0.28870084619213537</c:v>
                </c:pt>
                <c:pt idx="2">
                  <c:v>0.19249917026219712</c:v>
                </c:pt>
                <c:pt idx="3">
                  <c:v>0.14435042309606769</c:v>
                </c:pt>
                <c:pt idx="4">
                  <c:v>0.11546884332072464</c:v>
                </c:pt>
                <c:pt idx="5">
                  <c:v>9.9601593625498003E-2</c:v>
                </c:pt>
              </c:numCache>
            </c:numRef>
          </c:val>
          <c:smooth val="0"/>
          <c:extLst>
            <c:ext xmlns:c16="http://schemas.microsoft.com/office/drawing/2014/chart" uri="{C3380CC4-5D6E-409C-BE32-E72D297353CC}">
              <c16:uniqueId val="{00000000-9A00-4910-9F47-0B5885C5EB16}"/>
            </c:ext>
          </c:extLst>
        </c:ser>
        <c:ser>
          <c:idx val="1"/>
          <c:order val="1"/>
          <c:tx>
            <c:strRef>
              <c:f>SUSPENSION!$D$208</c:f>
              <c:strCache>
                <c:ptCount val="1"/>
                <c:pt idx="0">
                  <c:v>Precision NTC 5385</c:v>
                </c:pt>
              </c:strCache>
            </c:strRef>
          </c:tx>
          <c:val>
            <c:numRef>
              <c:f>SUSPENSION!$D$209:$D$214</c:f>
              <c:numCache>
                <c:formatCode>0.00</c:formatCode>
                <c:ptCount val="6"/>
                <c:pt idx="0">
                  <c:v>3</c:v>
                </c:pt>
                <c:pt idx="1">
                  <c:v>3</c:v>
                </c:pt>
                <c:pt idx="2">
                  <c:v>3</c:v>
                </c:pt>
                <c:pt idx="3">
                  <c:v>3</c:v>
                </c:pt>
                <c:pt idx="4">
                  <c:v>3</c:v>
                </c:pt>
                <c:pt idx="5">
                  <c:v>3</c:v>
                </c:pt>
              </c:numCache>
            </c:numRef>
          </c:val>
          <c:smooth val="0"/>
          <c:extLst>
            <c:ext xmlns:c16="http://schemas.microsoft.com/office/drawing/2014/chart" uri="{C3380CC4-5D6E-409C-BE32-E72D297353CC}">
              <c16:uniqueId val="{00000001-9A00-4910-9F47-0B5885C5EB16}"/>
            </c:ext>
          </c:extLst>
        </c:ser>
        <c:dLbls>
          <c:showLegendKey val="0"/>
          <c:showVal val="0"/>
          <c:showCatName val="0"/>
          <c:showSerName val="0"/>
          <c:showPercent val="0"/>
          <c:showBubbleSize val="0"/>
        </c:dLbls>
        <c:marker val="1"/>
        <c:smooth val="0"/>
        <c:axId val="244763632"/>
        <c:axId val="14232720"/>
      </c:lineChart>
      <c:catAx>
        <c:axId val="244763632"/>
        <c:scaling>
          <c:orientation val="minMax"/>
        </c:scaling>
        <c:delete val="0"/>
        <c:axPos val="b"/>
        <c:numFmt formatCode="General" sourceLinked="1"/>
        <c:majorTickMark val="none"/>
        <c:minorTickMark val="none"/>
        <c:tickLblPos val="nextTo"/>
        <c:crossAx val="14232720"/>
        <c:crosses val="autoZero"/>
        <c:auto val="1"/>
        <c:lblAlgn val="ctr"/>
        <c:lblOffset val="100"/>
        <c:noMultiLvlLbl val="0"/>
      </c:catAx>
      <c:valAx>
        <c:axId val="14232720"/>
        <c:scaling>
          <c:orientation val="minMax"/>
        </c:scaling>
        <c:delete val="0"/>
        <c:axPos val="l"/>
        <c:majorGridlines/>
        <c:title>
          <c:overlay val="0"/>
        </c:title>
        <c:numFmt formatCode="0.000" sourceLinked="1"/>
        <c:majorTickMark val="none"/>
        <c:minorTickMark val="none"/>
        <c:tickLblPos val="nextTo"/>
        <c:crossAx val="244763632"/>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'FRENOMETRO (FUERZA)'!$C$40</c:f>
              <c:strCache>
                <c:ptCount val="1"/>
                <c:pt idx="0">
                  <c:v>ERROR + U EXPANDIDA CAL 2 [mm]</c:v>
                </c:pt>
              </c:strCache>
            </c:strRef>
          </c:tx>
          <c:val>
            <c:numRef>
              <c:f>'FRENOMETRO (FUERZA)'!$C$41:$C$48</c:f>
              <c:numCache>
                <c:formatCode>0.000</c:formatCode>
                <c:ptCount val="8"/>
                <c:pt idx="0">
                  <c:v>3.3333333333333335E-3</c:v>
                </c:pt>
                <c:pt idx="1">
                  <c:v>5.3000000000000075E-2</c:v>
                </c:pt>
                <c:pt idx="2">
                  <c:v>-7.3333333333333334E-2</c:v>
                </c:pt>
                <c:pt idx="3">
                  <c:v>-0.31666666666666671</c:v>
                </c:pt>
                <c:pt idx="4">
                  <c:v>6.666666666666668E-3</c:v>
                </c:pt>
                <c:pt idx="5">
                  <c:v>-0.33666666666666667</c:v>
                </c:pt>
                <c:pt idx="6">
                  <c:v>-5.3333333333333344E-2</c:v>
                </c:pt>
                <c:pt idx="7">
                  <c:v>0.11</c:v>
                </c:pt>
              </c:numCache>
            </c:numRef>
          </c:val>
          <c:smooth val="0"/>
          <c:extLst>
            <c:ext xmlns:c16="http://schemas.microsoft.com/office/drawing/2014/chart" uri="{C3380CC4-5D6E-409C-BE32-E72D297353CC}">
              <c16:uniqueId val="{00000000-4029-44BB-9542-32A8A6E0FC46}"/>
            </c:ext>
          </c:extLst>
        </c:ser>
        <c:ser>
          <c:idx val="1"/>
          <c:order val="1"/>
          <c:tx>
            <c:strRef>
              <c:f>'FRENOMETRO (FUERZA)'!$D$40</c:f>
              <c:strCache>
                <c:ptCount val="1"/>
                <c:pt idx="0">
                  <c:v>ERROR - U EXPANDIDA CAL 2 [mm]</c:v>
                </c:pt>
              </c:strCache>
            </c:strRef>
          </c:tx>
          <c:val>
            <c:numRef>
              <c:f>'FRENOMETRO (FUERZA)'!$D$41:$D$48</c:f>
              <c:numCache>
                <c:formatCode>0.000</c:formatCode>
                <c:ptCount val="8"/>
                <c:pt idx="0">
                  <c:v>-3.3333333333333335E-3</c:v>
                </c:pt>
                <c:pt idx="1">
                  <c:v>3.433333333333341E-2</c:v>
                </c:pt>
                <c:pt idx="2">
                  <c:v>-0.16666666666666666</c:v>
                </c:pt>
                <c:pt idx="3">
                  <c:v>-0.45</c:v>
                </c:pt>
                <c:pt idx="4">
                  <c:v>-0.21333333333333332</c:v>
                </c:pt>
                <c:pt idx="5">
                  <c:v>-0.63666666666666671</c:v>
                </c:pt>
                <c:pt idx="6">
                  <c:v>-0.44</c:v>
                </c:pt>
                <c:pt idx="7">
                  <c:v>-0.29666666666666669</c:v>
                </c:pt>
              </c:numCache>
            </c:numRef>
          </c:val>
          <c:smooth val="0"/>
          <c:extLst>
            <c:ext xmlns:c16="http://schemas.microsoft.com/office/drawing/2014/chart" uri="{C3380CC4-5D6E-409C-BE32-E72D297353CC}">
              <c16:uniqueId val="{00000001-4029-44BB-9542-32A8A6E0FC46}"/>
            </c:ext>
          </c:extLst>
        </c:ser>
        <c:ser>
          <c:idx val="2"/>
          <c:order val="2"/>
          <c:tx>
            <c:strRef>
              <c:f>'FRENOMETRO (FUERZA)'!$E$40</c:f>
              <c:strCache>
                <c:ptCount val="1"/>
                <c:pt idx="0">
                  <c:v>EXACTITUD DE ACUERDO A NTC: 5385:2011 (+) [mm]</c:v>
                </c:pt>
              </c:strCache>
            </c:strRef>
          </c:tx>
          <c:val>
            <c:numRef>
              <c:f>'FRENOMETRO (FUERZA)'!$E$41:$E$48</c:f>
              <c:numCache>
                <c:formatCode>0.00</c:formatCode>
                <c:ptCount val="8"/>
                <c:pt idx="0">
                  <c:v>3</c:v>
                </c:pt>
                <c:pt idx="1">
                  <c:v>3</c:v>
                </c:pt>
                <c:pt idx="2">
                  <c:v>3</c:v>
                </c:pt>
                <c:pt idx="3">
                  <c:v>3</c:v>
                </c:pt>
                <c:pt idx="4">
                  <c:v>3</c:v>
                </c:pt>
                <c:pt idx="5">
                  <c:v>3</c:v>
                </c:pt>
                <c:pt idx="6">
                  <c:v>3</c:v>
                </c:pt>
                <c:pt idx="7">
                  <c:v>3</c:v>
                </c:pt>
              </c:numCache>
            </c:numRef>
          </c:val>
          <c:smooth val="0"/>
          <c:extLst>
            <c:ext xmlns:c16="http://schemas.microsoft.com/office/drawing/2014/chart" uri="{C3380CC4-5D6E-409C-BE32-E72D297353CC}">
              <c16:uniqueId val="{00000002-4029-44BB-9542-32A8A6E0FC46}"/>
            </c:ext>
          </c:extLst>
        </c:ser>
        <c:ser>
          <c:idx val="3"/>
          <c:order val="3"/>
          <c:tx>
            <c:strRef>
              <c:f>'FRENOMETRO (FUERZA)'!$F$40</c:f>
              <c:strCache>
                <c:ptCount val="1"/>
                <c:pt idx="0">
                  <c:v>EXACTITUD DE ACUERDO A NTC: 5385:2011 (-) [mm]</c:v>
                </c:pt>
              </c:strCache>
            </c:strRef>
          </c:tx>
          <c:val>
            <c:numRef>
              <c:f>'FRENOMETRO (FUERZA)'!$F$41:$F$48</c:f>
              <c:numCache>
                <c:formatCode>0.00</c:formatCode>
                <c:ptCount val="8"/>
                <c:pt idx="0">
                  <c:v>-3</c:v>
                </c:pt>
                <c:pt idx="1">
                  <c:v>-3</c:v>
                </c:pt>
                <c:pt idx="2">
                  <c:v>-3</c:v>
                </c:pt>
                <c:pt idx="3">
                  <c:v>-3</c:v>
                </c:pt>
                <c:pt idx="4">
                  <c:v>-3</c:v>
                </c:pt>
                <c:pt idx="5">
                  <c:v>-3</c:v>
                </c:pt>
                <c:pt idx="6">
                  <c:v>-3</c:v>
                </c:pt>
                <c:pt idx="7">
                  <c:v>-3</c:v>
                </c:pt>
              </c:numCache>
            </c:numRef>
          </c:val>
          <c:smooth val="0"/>
          <c:extLst>
            <c:ext xmlns:c16="http://schemas.microsoft.com/office/drawing/2014/chart" uri="{C3380CC4-5D6E-409C-BE32-E72D297353CC}">
              <c16:uniqueId val="{00000003-4029-44BB-9542-32A8A6E0FC46}"/>
            </c:ext>
          </c:extLst>
        </c:ser>
        <c:dLbls>
          <c:showLegendKey val="0"/>
          <c:showVal val="0"/>
          <c:showCatName val="0"/>
          <c:showSerName val="0"/>
          <c:showPercent val="0"/>
          <c:showBubbleSize val="0"/>
        </c:dLbls>
        <c:marker val="1"/>
        <c:smooth val="0"/>
        <c:axId val="410183592"/>
        <c:axId val="410183984"/>
      </c:lineChart>
      <c:catAx>
        <c:axId val="410183592"/>
        <c:scaling>
          <c:orientation val="minMax"/>
        </c:scaling>
        <c:delete val="0"/>
        <c:axPos val="b"/>
        <c:numFmt formatCode="General" sourceLinked="1"/>
        <c:majorTickMark val="none"/>
        <c:minorTickMark val="none"/>
        <c:tickLblPos val="nextTo"/>
        <c:crossAx val="410183984"/>
        <c:crosses val="autoZero"/>
        <c:auto val="1"/>
        <c:lblAlgn val="ctr"/>
        <c:lblOffset val="100"/>
        <c:noMultiLvlLbl val="0"/>
      </c:catAx>
      <c:valAx>
        <c:axId val="410183984"/>
        <c:scaling>
          <c:orientation val="minMax"/>
        </c:scaling>
        <c:delete val="0"/>
        <c:axPos val="l"/>
        <c:majorGridlines/>
        <c:title>
          <c:overlay val="0"/>
        </c:title>
        <c:numFmt formatCode="0.000" sourceLinked="1"/>
        <c:majorTickMark val="none"/>
        <c:minorTickMark val="none"/>
        <c:tickLblPos val="nextTo"/>
        <c:crossAx val="410183592"/>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'FRENOMETRO (FUERZA)'!$C$68</c:f>
              <c:strCache>
                <c:ptCount val="1"/>
                <c:pt idx="0">
                  <c:v>PRECISION CAL 2</c:v>
                </c:pt>
              </c:strCache>
            </c:strRef>
          </c:tx>
          <c:val>
            <c:numRef>
              <c:f>'FRENOMETRO (FUERZA)'!$C$69:$C$76</c:f>
              <c:numCache>
                <c:formatCode>0.000</c:formatCode>
                <c:ptCount val="8"/>
                <c:pt idx="0">
                  <c:v>0</c:v>
                </c:pt>
                <c:pt idx="1">
                  <c:v>7.3333333333333341E-3</c:v>
                </c:pt>
                <c:pt idx="2">
                  <c:v>8.6666666666666663E-3</c:v>
                </c:pt>
                <c:pt idx="3">
                  <c:v>9.6666666666666672E-3</c:v>
                </c:pt>
                <c:pt idx="4">
                  <c:v>1.2E-2</c:v>
                </c:pt>
                <c:pt idx="5">
                  <c:v>1.6333333333333335E-2</c:v>
                </c:pt>
                <c:pt idx="6">
                  <c:v>1.2333333333333333E-2</c:v>
                </c:pt>
                <c:pt idx="7">
                  <c:v>1.9666666666666666E-2</c:v>
                </c:pt>
              </c:numCache>
            </c:numRef>
          </c:val>
          <c:smooth val="0"/>
          <c:extLst>
            <c:ext xmlns:c16="http://schemas.microsoft.com/office/drawing/2014/chart" uri="{C3380CC4-5D6E-409C-BE32-E72D297353CC}">
              <c16:uniqueId val="{00000000-8A2A-4986-BF67-32F8CBFA5125}"/>
            </c:ext>
          </c:extLst>
        </c:ser>
        <c:ser>
          <c:idx val="1"/>
          <c:order val="1"/>
          <c:tx>
            <c:strRef>
              <c:f>'FRENOMETRO (FUERZA)'!$D$68</c:f>
              <c:strCache>
                <c:ptCount val="1"/>
                <c:pt idx="0">
                  <c:v>Precision NTC 5385</c:v>
                </c:pt>
              </c:strCache>
            </c:strRef>
          </c:tx>
          <c:val>
            <c:numRef>
              <c:f>'FRENOMETRO (FUERZA)'!$D$69:$D$76</c:f>
              <c:numCache>
                <c:formatCode>0.00</c:formatCode>
                <c:ptCount val="8"/>
                <c:pt idx="0">
                  <c:v>2</c:v>
                </c:pt>
                <c:pt idx="1">
                  <c:v>2</c:v>
                </c:pt>
                <c:pt idx="2">
                  <c:v>2</c:v>
                </c:pt>
                <c:pt idx="3">
                  <c:v>2</c:v>
                </c:pt>
                <c:pt idx="4">
                  <c:v>2</c:v>
                </c:pt>
                <c:pt idx="5">
                  <c:v>2</c:v>
                </c:pt>
                <c:pt idx="6">
                  <c:v>2</c:v>
                </c:pt>
                <c:pt idx="7">
                  <c:v>2</c:v>
                </c:pt>
              </c:numCache>
            </c:numRef>
          </c:val>
          <c:smooth val="0"/>
          <c:extLst>
            <c:ext xmlns:c16="http://schemas.microsoft.com/office/drawing/2014/chart" uri="{C3380CC4-5D6E-409C-BE32-E72D297353CC}">
              <c16:uniqueId val="{00000001-8A2A-4986-BF67-32F8CBFA5125}"/>
            </c:ext>
          </c:extLst>
        </c:ser>
        <c:dLbls>
          <c:showLegendKey val="0"/>
          <c:showVal val="0"/>
          <c:showCatName val="0"/>
          <c:showSerName val="0"/>
          <c:showPercent val="0"/>
          <c:showBubbleSize val="0"/>
        </c:dLbls>
        <c:marker val="1"/>
        <c:smooth val="0"/>
        <c:axId val="244763632"/>
        <c:axId val="14232720"/>
      </c:lineChart>
      <c:catAx>
        <c:axId val="244763632"/>
        <c:scaling>
          <c:orientation val="minMax"/>
        </c:scaling>
        <c:delete val="0"/>
        <c:axPos val="b"/>
        <c:numFmt formatCode="General" sourceLinked="1"/>
        <c:majorTickMark val="none"/>
        <c:minorTickMark val="none"/>
        <c:tickLblPos val="nextTo"/>
        <c:crossAx val="14232720"/>
        <c:crosses val="autoZero"/>
        <c:auto val="1"/>
        <c:lblAlgn val="ctr"/>
        <c:lblOffset val="100"/>
        <c:noMultiLvlLbl val="0"/>
      </c:catAx>
      <c:valAx>
        <c:axId val="14232720"/>
        <c:scaling>
          <c:orientation val="minMax"/>
        </c:scaling>
        <c:delete val="0"/>
        <c:axPos val="l"/>
        <c:majorGridlines/>
        <c:title>
          <c:overlay val="0"/>
        </c:title>
        <c:numFmt formatCode="0.000" sourceLinked="1"/>
        <c:majorTickMark val="none"/>
        <c:minorTickMark val="none"/>
        <c:tickLblPos val="nextTo"/>
        <c:crossAx val="244763632"/>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'FRENOMETRO (FUERZA)'!$C$91</c:f>
              <c:strCache>
                <c:ptCount val="1"/>
                <c:pt idx="0">
                  <c:v>ERROR + U EXPANDIDA CAL 2 [mm]</c:v>
                </c:pt>
              </c:strCache>
            </c:strRef>
          </c:tx>
          <c:val>
            <c:numRef>
              <c:f>'FRENOMETRO (FUERZA)'!$C$92:$C$99</c:f>
              <c:numCache>
                <c:formatCode>0.000</c:formatCode>
                <c:ptCount val="8"/>
                <c:pt idx="0">
                  <c:v>3.3333333333333335E-3</c:v>
                </c:pt>
                <c:pt idx="1">
                  <c:v>0.18666666666666673</c:v>
                </c:pt>
                <c:pt idx="2">
                  <c:v>3.8666666666666211E-2</c:v>
                </c:pt>
                <c:pt idx="3">
                  <c:v>-0.24500000000000061</c:v>
                </c:pt>
                <c:pt idx="4">
                  <c:v>-0.57333333333333336</c:v>
                </c:pt>
                <c:pt idx="5">
                  <c:v>-0.65333333333333332</c:v>
                </c:pt>
                <c:pt idx="6">
                  <c:v>-0.90666666666666662</c:v>
                </c:pt>
                <c:pt idx="7">
                  <c:v>-0.66</c:v>
                </c:pt>
              </c:numCache>
            </c:numRef>
          </c:val>
          <c:smooth val="0"/>
          <c:extLst>
            <c:ext xmlns:c16="http://schemas.microsoft.com/office/drawing/2014/chart" uri="{C3380CC4-5D6E-409C-BE32-E72D297353CC}">
              <c16:uniqueId val="{00000000-F701-4BFC-B99E-73C1ED1F8DA8}"/>
            </c:ext>
          </c:extLst>
        </c:ser>
        <c:ser>
          <c:idx val="1"/>
          <c:order val="1"/>
          <c:tx>
            <c:strRef>
              <c:f>'FRENOMETRO (FUERZA)'!$D$91</c:f>
              <c:strCache>
                <c:ptCount val="1"/>
                <c:pt idx="0">
                  <c:v>ERROR - U EXPANDIDA CAL 2 [mm]</c:v>
                </c:pt>
              </c:strCache>
            </c:strRef>
          </c:tx>
          <c:val>
            <c:numRef>
              <c:f>'FRENOMETRO (FUERZA)'!$D$92:$D$99</c:f>
              <c:numCache>
                <c:formatCode>0.000</c:formatCode>
                <c:ptCount val="8"/>
                <c:pt idx="0">
                  <c:v>-3.3333333333333335E-3</c:v>
                </c:pt>
                <c:pt idx="1">
                  <c:v>0.16733333333333342</c:v>
                </c:pt>
                <c:pt idx="2">
                  <c:v>1.0666666666666212E-2</c:v>
                </c:pt>
                <c:pt idx="3">
                  <c:v>-0.29366666666666724</c:v>
                </c:pt>
                <c:pt idx="4">
                  <c:v>-0.66666666666666663</c:v>
                </c:pt>
                <c:pt idx="5">
                  <c:v>-0.78666666666666663</c:v>
                </c:pt>
                <c:pt idx="6">
                  <c:v>-1.1266666666666667</c:v>
                </c:pt>
                <c:pt idx="7">
                  <c:v>-0.96000000000000008</c:v>
                </c:pt>
              </c:numCache>
            </c:numRef>
          </c:val>
          <c:smooth val="0"/>
          <c:extLst>
            <c:ext xmlns:c16="http://schemas.microsoft.com/office/drawing/2014/chart" uri="{C3380CC4-5D6E-409C-BE32-E72D297353CC}">
              <c16:uniqueId val="{00000001-F701-4BFC-B99E-73C1ED1F8DA8}"/>
            </c:ext>
          </c:extLst>
        </c:ser>
        <c:ser>
          <c:idx val="2"/>
          <c:order val="2"/>
          <c:tx>
            <c:strRef>
              <c:f>'FRENOMETRO (FUERZA)'!$E$91</c:f>
              <c:strCache>
                <c:ptCount val="1"/>
                <c:pt idx="0">
                  <c:v>EXACTITUD DE ACUERDO A NTC: 5385:2011 (+) [mm]</c:v>
                </c:pt>
              </c:strCache>
            </c:strRef>
          </c:tx>
          <c:val>
            <c:numRef>
              <c:f>'FRENOMETRO (FUERZA)'!$E$92:$E$99</c:f>
              <c:numCache>
                <c:formatCode>0.00</c:formatCode>
                <c:ptCount val="8"/>
                <c:pt idx="0">
                  <c:v>3</c:v>
                </c:pt>
                <c:pt idx="1">
                  <c:v>3</c:v>
                </c:pt>
                <c:pt idx="2">
                  <c:v>3</c:v>
                </c:pt>
                <c:pt idx="3">
                  <c:v>3</c:v>
                </c:pt>
                <c:pt idx="4">
                  <c:v>3</c:v>
                </c:pt>
                <c:pt idx="5">
                  <c:v>3</c:v>
                </c:pt>
                <c:pt idx="6">
                  <c:v>3</c:v>
                </c:pt>
                <c:pt idx="7">
                  <c:v>3</c:v>
                </c:pt>
              </c:numCache>
            </c:numRef>
          </c:val>
          <c:smooth val="0"/>
          <c:extLst>
            <c:ext xmlns:c16="http://schemas.microsoft.com/office/drawing/2014/chart" uri="{C3380CC4-5D6E-409C-BE32-E72D297353CC}">
              <c16:uniqueId val="{00000002-F701-4BFC-B99E-73C1ED1F8DA8}"/>
            </c:ext>
          </c:extLst>
        </c:ser>
        <c:ser>
          <c:idx val="3"/>
          <c:order val="3"/>
          <c:tx>
            <c:strRef>
              <c:f>'FRENOMETRO (FUERZA)'!$F$91</c:f>
              <c:strCache>
                <c:ptCount val="1"/>
                <c:pt idx="0">
                  <c:v>EXACTITUD DE ACUERDO A NTC: 5385:2011 (-) [mm]</c:v>
                </c:pt>
              </c:strCache>
            </c:strRef>
          </c:tx>
          <c:val>
            <c:numRef>
              <c:f>'FRENOMETRO (FUERZA)'!$F$92:$F$99</c:f>
              <c:numCache>
                <c:formatCode>0.00</c:formatCode>
                <c:ptCount val="8"/>
                <c:pt idx="0">
                  <c:v>-3</c:v>
                </c:pt>
                <c:pt idx="1">
                  <c:v>-3</c:v>
                </c:pt>
                <c:pt idx="2">
                  <c:v>-3</c:v>
                </c:pt>
                <c:pt idx="3">
                  <c:v>-3</c:v>
                </c:pt>
                <c:pt idx="4">
                  <c:v>-3</c:v>
                </c:pt>
                <c:pt idx="5">
                  <c:v>-3</c:v>
                </c:pt>
                <c:pt idx="6">
                  <c:v>-3</c:v>
                </c:pt>
                <c:pt idx="7">
                  <c:v>-3</c:v>
                </c:pt>
              </c:numCache>
            </c:numRef>
          </c:val>
          <c:smooth val="0"/>
          <c:extLst>
            <c:ext xmlns:c16="http://schemas.microsoft.com/office/drawing/2014/chart" uri="{C3380CC4-5D6E-409C-BE32-E72D297353CC}">
              <c16:uniqueId val="{00000003-F701-4BFC-B99E-73C1ED1F8DA8}"/>
            </c:ext>
          </c:extLst>
        </c:ser>
        <c:dLbls>
          <c:showLegendKey val="0"/>
          <c:showVal val="0"/>
          <c:showCatName val="0"/>
          <c:showSerName val="0"/>
          <c:showPercent val="0"/>
          <c:showBubbleSize val="0"/>
        </c:dLbls>
        <c:marker val="1"/>
        <c:smooth val="0"/>
        <c:axId val="410183592"/>
        <c:axId val="410183984"/>
      </c:lineChart>
      <c:catAx>
        <c:axId val="410183592"/>
        <c:scaling>
          <c:orientation val="minMax"/>
        </c:scaling>
        <c:delete val="0"/>
        <c:axPos val="b"/>
        <c:numFmt formatCode="General" sourceLinked="1"/>
        <c:majorTickMark val="none"/>
        <c:minorTickMark val="none"/>
        <c:tickLblPos val="nextTo"/>
        <c:crossAx val="410183984"/>
        <c:crosses val="autoZero"/>
        <c:auto val="1"/>
        <c:lblAlgn val="ctr"/>
        <c:lblOffset val="100"/>
        <c:noMultiLvlLbl val="0"/>
      </c:catAx>
      <c:valAx>
        <c:axId val="410183984"/>
        <c:scaling>
          <c:orientation val="minMax"/>
        </c:scaling>
        <c:delete val="0"/>
        <c:axPos val="l"/>
        <c:majorGridlines/>
        <c:title>
          <c:overlay val="0"/>
        </c:title>
        <c:numFmt formatCode="0.000" sourceLinked="1"/>
        <c:majorTickMark val="none"/>
        <c:minorTickMark val="none"/>
        <c:tickLblPos val="nextTo"/>
        <c:crossAx val="410183592"/>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'FRENOMETRO (FUERZA)'!$C$119</c:f>
              <c:strCache>
                <c:ptCount val="1"/>
                <c:pt idx="0">
                  <c:v>PRECISION CAL 2</c:v>
                </c:pt>
              </c:strCache>
            </c:strRef>
          </c:tx>
          <c:val>
            <c:numRef>
              <c:f>'FRENOMETRO (FUERZA)'!$C$120:$C$127</c:f>
              <c:numCache>
                <c:formatCode>0.000</c:formatCode>
                <c:ptCount val="8"/>
                <c:pt idx="0">
                  <c:v>0</c:v>
                </c:pt>
                <c:pt idx="1">
                  <c:v>7.6666666666666654E-3</c:v>
                </c:pt>
                <c:pt idx="2">
                  <c:v>9.6666666666666672E-3</c:v>
                </c:pt>
                <c:pt idx="3">
                  <c:v>1.7666666666666667E-2</c:v>
                </c:pt>
                <c:pt idx="4">
                  <c:v>1.6666666666666666E-2</c:v>
                </c:pt>
                <c:pt idx="5">
                  <c:v>1.0333333333333333E-2</c:v>
                </c:pt>
                <c:pt idx="6">
                  <c:v>2.3E-2</c:v>
                </c:pt>
                <c:pt idx="7">
                  <c:v>1.7333333333333333E-2</c:v>
                </c:pt>
              </c:numCache>
            </c:numRef>
          </c:val>
          <c:smooth val="0"/>
          <c:extLst>
            <c:ext xmlns:c16="http://schemas.microsoft.com/office/drawing/2014/chart" uri="{C3380CC4-5D6E-409C-BE32-E72D297353CC}">
              <c16:uniqueId val="{00000000-1E56-4BB6-A6E8-DDE47BE348D1}"/>
            </c:ext>
          </c:extLst>
        </c:ser>
        <c:ser>
          <c:idx val="1"/>
          <c:order val="1"/>
          <c:tx>
            <c:strRef>
              <c:f>'FRENOMETRO (FUERZA)'!$D$119</c:f>
              <c:strCache>
                <c:ptCount val="1"/>
                <c:pt idx="0">
                  <c:v>Precision NTC 5385</c:v>
                </c:pt>
              </c:strCache>
            </c:strRef>
          </c:tx>
          <c:val>
            <c:numRef>
              <c:f>'FRENOMETRO (FUERZA)'!$D$120:$D$127</c:f>
              <c:numCache>
                <c:formatCode>0.00</c:formatCode>
                <c:ptCount val="8"/>
                <c:pt idx="0">
                  <c:v>2</c:v>
                </c:pt>
                <c:pt idx="1">
                  <c:v>2</c:v>
                </c:pt>
                <c:pt idx="2">
                  <c:v>2</c:v>
                </c:pt>
                <c:pt idx="3">
                  <c:v>2</c:v>
                </c:pt>
                <c:pt idx="4">
                  <c:v>2</c:v>
                </c:pt>
                <c:pt idx="5">
                  <c:v>2</c:v>
                </c:pt>
                <c:pt idx="6">
                  <c:v>2</c:v>
                </c:pt>
                <c:pt idx="7">
                  <c:v>2</c:v>
                </c:pt>
              </c:numCache>
            </c:numRef>
          </c:val>
          <c:smooth val="0"/>
          <c:extLst>
            <c:ext xmlns:c16="http://schemas.microsoft.com/office/drawing/2014/chart" uri="{C3380CC4-5D6E-409C-BE32-E72D297353CC}">
              <c16:uniqueId val="{00000001-1E56-4BB6-A6E8-DDE47BE348D1}"/>
            </c:ext>
          </c:extLst>
        </c:ser>
        <c:dLbls>
          <c:showLegendKey val="0"/>
          <c:showVal val="0"/>
          <c:showCatName val="0"/>
          <c:showSerName val="0"/>
          <c:showPercent val="0"/>
          <c:showBubbleSize val="0"/>
        </c:dLbls>
        <c:marker val="1"/>
        <c:smooth val="0"/>
        <c:axId val="244763632"/>
        <c:axId val="14232720"/>
      </c:lineChart>
      <c:catAx>
        <c:axId val="244763632"/>
        <c:scaling>
          <c:orientation val="minMax"/>
        </c:scaling>
        <c:delete val="0"/>
        <c:axPos val="b"/>
        <c:numFmt formatCode="General" sourceLinked="1"/>
        <c:majorTickMark val="none"/>
        <c:minorTickMark val="none"/>
        <c:tickLblPos val="nextTo"/>
        <c:crossAx val="14232720"/>
        <c:crosses val="autoZero"/>
        <c:auto val="1"/>
        <c:lblAlgn val="ctr"/>
        <c:lblOffset val="100"/>
        <c:noMultiLvlLbl val="0"/>
      </c:catAx>
      <c:valAx>
        <c:axId val="14232720"/>
        <c:scaling>
          <c:orientation val="minMax"/>
        </c:scaling>
        <c:delete val="0"/>
        <c:axPos val="l"/>
        <c:majorGridlines/>
        <c:title>
          <c:overlay val="0"/>
        </c:title>
        <c:numFmt formatCode="0.000" sourceLinked="1"/>
        <c:majorTickMark val="none"/>
        <c:minorTickMark val="none"/>
        <c:tickLblPos val="nextTo"/>
        <c:crossAx val="244763632"/>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'FRENOMETRO (PESO)'!$C$40</c:f>
              <c:strCache>
                <c:ptCount val="1"/>
                <c:pt idx="0">
                  <c:v>ERROR + U EXPANDIDA CAL 2 [%] 2021</c:v>
                </c:pt>
              </c:strCache>
            </c:strRef>
          </c:tx>
          <c:val>
            <c:numRef>
              <c:f>'FRENOMETRO (PESO)'!$C$41:$C$45</c:f>
              <c:numCache>
                <c:formatCode>0.000</c:formatCode>
                <c:ptCount val="5"/>
                <c:pt idx="0">
                  <c:v>0.56999999999999995</c:v>
                </c:pt>
                <c:pt idx="1">
                  <c:v>1.8999999999999997</c:v>
                </c:pt>
                <c:pt idx="2">
                  <c:v>1.4499999999999997</c:v>
                </c:pt>
                <c:pt idx="3">
                  <c:v>0.98333333333333328</c:v>
                </c:pt>
                <c:pt idx="4">
                  <c:v>0.63</c:v>
                </c:pt>
              </c:numCache>
            </c:numRef>
          </c:val>
          <c:smooth val="0"/>
          <c:extLst>
            <c:ext xmlns:c16="http://schemas.microsoft.com/office/drawing/2014/chart" uri="{C3380CC4-5D6E-409C-BE32-E72D297353CC}">
              <c16:uniqueId val="{00000000-6498-47AC-BFAE-9B5D23432D22}"/>
            </c:ext>
          </c:extLst>
        </c:ser>
        <c:ser>
          <c:idx val="1"/>
          <c:order val="1"/>
          <c:tx>
            <c:strRef>
              <c:f>'FRENOMETRO (PESO)'!$D$40</c:f>
              <c:strCache>
                <c:ptCount val="1"/>
                <c:pt idx="0">
                  <c:v>ERROR - U EXPANDIDA CAL 2 [%] 2021</c:v>
                </c:pt>
              </c:strCache>
            </c:strRef>
          </c:tx>
          <c:val>
            <c:numRef>
              <c:f>'FRENOMETRO (PESO)'!$D$41:$D$45</c:f>
              <c:numCache>
                <c:formatCode>0.000</c:formatCode>
                <c:ptCount val="5"/>
                <c:pt idx="0">
                  <c:v>-0.56999999999999995</c:v>
                </c:pt>
                <c:pt idx="1">
                  <c:v>-1.8999999999999997</c:v>
                </c:pt>
                <c:pt idx="2">
                  <c:v>-1.4499999999999997</c:v>
                </c:pt>
                <c:pt idx="3">
                  <c:v>-0.98333333333333328</c:v>
                </c:pt>
                <c:pt idx="4">
                  <c:v>-0.63</c:v>
                </c:pt>
              </c:numCache>
            </c:numRef>
          </c:val>
          <c:smooth val="0"/>
          <c:extLst>
            <c:ext xmlns:c16="http://schemas.microsoft.com/office/drawing/2014/chart" uri="{C3380CC4-5D6E-409C-BE32-E72D297353CC}">
              <c16:uniqueId val="{00000001-6498-47AC-BFAE-9B5D23432D22}"/>
            </c:ext>
          </c:extLst>
        </c:ser>
        <c:ser>
          <c:idx val="2"/>
          <c:order val="2"/>
          <c:tx>
            <c:strRef>
              <c:f>'FRENOMETRO (PESO)'!$E$40</c:f>
              <c:strCache>
                <c:ptCount val="1"/>
                <c:pt idx="0">
                  <c:v>EXACTITUD DE ACUERDO A NTC: 5385:2011 (+) [%]</c:v>
                </c:pt>
              </c:strCache>
            </c:strRef>
          </c:tx>
          <c:val>
            <c:numRef>
              <c:f>'FRENOMETRO (PESO)'!$E$41:$E$45</c:f>
              <c:numCache>
                <c:formatCode>0.00</c:formatCode>
                <c:ptCount val="5"/>
                <c:pt idx="0">
                  <c:v>3</c:v>
                </c:pt>
                <c:pt idx="1">
                  <c:v>3</c:v>
                </c:pt>
                <c:pt idx="2">
                  <c:v>3</c:v>
                </c:pt>
                <c:pt idx="3">
                  <c:v>3</c:v>
                </c:pt>
                <c:pt idx="4">
                  <c:v>3</c:v>
                </c:pt>
              </c:numCache>
            </c:numRef>
          </c:val>
          <c:smooth val="0"/>
          <c:extLst>
            <c:ext xmlns:c16="http://schemas.microsoft.com/office/drawing/2014/chart" uri="{C3380CC4-5D6E-409C-BE32-E72D297353CC}">
              <c16:uniqueId val="{00000002-6498-47AC-BFAE-9B5D23432D22}"/>
            </c:ext>
          </c:extLst>
        </c:ser>
        <c:ser>
          <c:idx val="3"/>
          <c:order val="3"/>
          <c:tx>
            <c:strRef>
              <c:f>'FRENOMETRO (PESO)'!$F$40</c:f>
              <c:strCache>
                <c:ptCount val="1"/>
                <c:pt idx="0">
                  <c:v>EXACTITUD DE ACUERDO A NTC: 5385:2011 (-) [%]</c:v>
                </c:pt>
              </c:strCache>
            </c:strRef>
          </c:tx>
          <c:val>
            <c:numRef>
              <c:f>'FRENOMETRO (PESO)'!$F$41:$F$45</c:f>
              <c:numCache>
                <c:formatCode>0.00</c:formatCode>
                <c:ptCount val="5"/>
                <c:pt idx="0">
                  <c:v>-3</c:v>
                </c:pt>
                <c:pt idx="1">
                  <c:v>-3</c:v>
                </c:pt>
                <c:pt idx="2">
                  <c:v>-3</c:v>
                </c:pt>
                <c:pt idx="3">
                  <c:v>-3</c:v>
                </c:pt>
                <c:pt idx="4">
                  <c:v>-3</c:v>
                </c:pt>
              </c:numCache>
            </c:numRef>
          </c:val>
          <c:smooth val="0"/>
          <c:extLst>
            <c:ext xmlns:c16="http://schemas.microsoft.com/office/drawing/2014/chart" uri="{C3380CC4-5D6E-409C-BE32-E72D297353CC}">
              <c16:uniqueId val="{00000003-6498-47AC-BFAE-9B5D23432D22}"/>
            </c:ext>
          </c:extLst>
        </c:ser>
        <c:dLbls>
          <c:showLegendKey val="0"/>
          <c:showVal val="0"/>
          <c:showCatName val="0"/>
          <c:showSerName val="0"/>
          <c:showPercent val="0"/>
          <c:showBubbleSize val="0"/>
        </c:dLbls>
        <c:marker val="1"/>
        <c:smooth val="0"/>
        <c:axId val="410184768"/>
        <c:axId val="410185160"/>
      </c:lineChart>
      <c:catAx>
        <c:axId val="410184768"/>
        <c:scaling>
          <c:orientation val="minMax"/>
        </c:scaling>
        <c:delete val="0"/>
        <c:axPos val="b"/>
        <c:numFmt formatCode="General" sourceLinked="1"/>
        <c:majorTickMark val="none"/>
        <c:minorTickMark val="none"/>
        <c:tickLblPos val="nextTo"/>
        <c:crossAx val="410185160"/>
        <c:crosses val="autoZero"/>
        <c:auto val="1"/>
        <c:lblAlgn val="ctr"/>
        <c:lblOffset val="100"/>
        <c:noMultiLvlLbl val="0"/>
      </c:catAx>
      <c:valAx>
        <c:axId val="410185160"/>
        <c:scaling>
          <c:orientation val="minMax"/>
        </c:scaling>
        <c:delete val="0"/>
        <c:axPos val="l"/>
        <c:majorGridlines/>
        <c:title>
          <c:overlay val="0"/>
        </c:title>
        <c:numFmt formatCode="0.000" sourceLinked="1"/>
        <c:majorTickMark val="none"/>
        <c:minorTickMark val="none"/>
        <c:tickLblPos val="nextTo"/>
        <c:crossAx val="410184768"/>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3"/>
          <c:order val="0"/>
          <c:tx>
            <c:strRef>
              <c:f>'MONOXIDO (CO)  '!$C$86</c:f>
              <c:strCache>
                <c:ptCount val="1"/>
                <c:pt idx="0">
                  <c:v>REPETIBILIDAD  CAL 2</c:v>
                </c:pt>
              </c:strCache>
            </c:strRef>
          </c:tx>
          <c:val>
            <c:numRef>
              <c:f>'MONOXIDO (CO)  '!$C$87:$C$94</c:f>
              <c:numCache>
                <c:formatCode>0.000</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0-F0DF-4DFB-9AFC-F6577DBDEBA2}"/>
            </c:ext>
          </c:extLst>
        </c:ser>
        <c:ser>
          <c:idx val="4"/>
          <c:order val="1"/>
          <c:tx>
            <c:strRef>
              <c:f>'MONOXIDO (CO)  '!$D$86</c:f>
              <c:strCache>
                <c:ptCount val="1"/>
                <c:pt idx="0">
                  <c:v>Repetibilidad NTC 4983 Numeral 5.2.7.1 (+) [%]</c:v>
                </c:pt>
              </c:strCache>
            </c:strRef>
          </c:tx>
          <c:val>
            <c:numRef>
              <c:f>'MONOXIDO (CO)  '!$D$87:$D$94</c:f>
              <c:numCache>
                <c:formatCode>0.00</c:formatCode>
                <c:ptCount val="8"/>
                <c:pt idx="0">
                  <c:v>0.03</c:v>
                </c:pt>
                <c:pt idx="1">
                  <c:v>0.08</c:v>
                </c:pt>
                <c:pt idx="2">
                  <c:v>0.15</c:v>
                </c:pt>
                <c:pt idx="3">
                  <c:v>0.03</c:v>
                </c:pt>
                <c:pt idx="4">
                  <c:v>0.03</c:v>
                </c:pt>
                <c:pt idx="5">
                  <c:v>0.08</c:v>
                </c:pt>
                <c:pt idx="6">
                  <c:v>0.15</c:v>
                </c:pt>
                <c:pt idx="7">
                  <c:v>0.03</c:v>
                </c:pt>
              </c:numCache>
            </c:numRef>
          </c:val>
          <c:smooth val="0"/>
          <c:extLst>
            <c:ext xmlns:c16="http://schemas.microsoft.com/office/drawing/2014/chart" uri="{C3380CC4-5D6E-409C-BE32-E72D297353CC}">
              <c16:uniqueId val="{00000001-F0DF-4DFB-9AFC-F6577DBDEBA2}"/>
            </c:ext>
          </c:extLst>
        </c:ser>
        <c:dLbls>
          <c:showLegendKey val="0"/>
          <c:showVal val="0"/>
          <c:showCatName val="0"/>
          <c:showSerName val="0"/>
          <c:showPercent val="0"/>
          <c:showBubbleSize val="0"/>
        </c:dLbls>
        <c:marker val="1"/>
        <c:smooth val="0"/>
        <c:axId val="244763632"/>
        <c:axId val="14232720"/>
      </c:lineChart>
      <c:catAx>
        <c:axId val="244763632"/>
        <c:scaling>
          <c:orientation val="minMax"/>
        </c:scaling>
        <c:delete val="0"/>
        <c:axPos val="b"/>
        <c:numFmt formatCode="General" sourceLinked="1"/>
        <c:majorTickMark val="none"/>
        <c:minorTickMark val="none"/>
        <c:tickLblPos val="nextTo"/>
        <c:crossAx val="14232720"/>
        <c:crosses val="autoZero"/>
        <c:auto val="1"/>
        <c:lblAlgn val="ctr"/>
        <c:lblOffset val="100"/>
        <c:noMultiLvlLbl val="0"/>
      </c:catAx>
      <c:valAx>
        <c:axId val="14232720"/>
        <c:scaling>
          <c:orientation val="minMax"/>
        </c:scaling>
        <c:delete val="0"/>
        <c:axPos val="l"/>
        <c:majorGridlines/>
        <c:title>
          <c:overlay val="0"/>
        </c:title>
        <c:numFmt formatCode="0.000" sourceLinked="1"/>
        <c:majorTickMark val="none"/>
        <c:minorTickMark val="none"/>
        <c:tickLblPos val="nextTo"/>
        <c:crossAx val="244763632"/>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'FRENOMETRO (PESO)'!$C$66</c:f>
              <c:strCache>
                <c:ptCount val="1"/>
                <c:pt idx="0">
                  <c:v>PRECISION CAL 2 2021</c:v>
                </c:pt>
              </c:strCache>
            </c:strRef>
          </c:tx>
          <c:val>
            <c:numRef>
              <c:f>'FRENOMETRO (PESO)'!$C$67:$C$71</c:f>
              <c:numCache>
                <c:formatCode>0.000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81D9-4810-85D4-4F5420FA4394}"/>
            </c:ext>
          </c:extLst>
        </c:ser>
        <c:ser>
          <c:idx val="1"/>
          <c:order val="1"/>
          <c:tx>
            <c:strRef>
              <c:f>'FRENOMETRO (PESO)'!$D$66</c:f>
              <c:strCache>
                <c:ptCount val="1"/>
                <c:pt idx="0">
                  <c:v>Precision NTC 5385</c:v>
                </c:pt>
              </c:strCache>
            </c:strRef>
          </c:tx>
          <c:val>
            <c:numRef>
              <c:f>'FRENOMETRO (PESO)'!$D$67:$D$71</c:f>
              <c:numCache>
                <c:formatCode>0.00</c:formatCode>
                <c:ptCount val="5"/>
                <c:pt idx="0">
                  <c:v>3</c:v>
                </c:pt>
                <c:pt idx="1">
                  <c:v>3</c:v>
                </c:pt>
                <c:pt idx="2">
                  <c:v>3</c:v>
                </c:pt>
                <c:pt idx="3">
                  <c:v>3</c:v>
                </c:pt>
                <c:pt idx="4">
                  <c:v>3</c:v>
                </c:pt>
              </c:numCache>
            </c:numRef>
          </c:val>
          <c:smooth val="0"/>
          <c:extLst>
            <c:ext xmlns:c16="http://schemas.microsoft.com/office/drawing/2014/chart" uri="{C3380CC4-5D6E-409C-BE32-E72D297353CC}">
              <c16:uniqueId val="{00000001-81D9-4810-85D4-4F5420FA4394}"/>
            </c:ext>
          </c:extLst>
        </c:ser>
        <c:dLbls>
          <c:showLegendKey val="0"/>
          <c:showVal val="0"/>
          <c:showCatName val="0"/>
          <c:showSerName val="0"/>
          <c:showPercent val="0"/>
          <c:showBubbleSize val="0"/>
        </c:dLbls>
        <c:marker val="1"/>
        <c:smooth val="0"/>
        <c:axId val="244763632"/>
        <c:axId val="14232720"/>
      </c:lineChart>
      <c:catAx>
        <c:axId val="244763632"/>
        <c:scaling>
          <c:orientation val="minMax"/>
        </c:scaling>
        <c:delete val="0"/>
        <c:axPos val="b"/>
        <c:numFmt formatCode="General" sourceLinked="1"/>
        <c:majorTickMark val="none"/>
        <c:minorTickMark val="none"/>
        <c:tickLblPos val="nextTo"/>
        <c:crossAx val="14232720"/>
        <c:crosses val="autoZero"/>
        <c:auto val="1"/>
        <c:lblAlgn val="ctr"/>
        <c:lblOffset val="100"/>
        <c:noMultiLvlLbl val="0"/>
      </c:catAx>
      <c:valAx>
        <c:axId val="14232720"/>
        <c:scaling>
          <c:orientation val="minMax"/>
        </c:scaling>
        <c:delete val="0"/>
        <c:axPos val="l"/>
        <c:majorGridlines/>
        <c:title>
          <c:overlay val="0"/>
        </c:title>
        <c:numFmt formatCode="0.000" sourceLinked="1"/>
        <c:majorTickMark val="none"/>
        <c:minorTickMark val="none"/>
        <c:tickLblPos val="nextTo"/>
        <c:crossAx val="244763632"/>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'FRENOMETRO (PESO)'!$C$87</c:f>
              <c:strCache>
                <c:ptCount val="1"/>
                <c:pt idx="0">
                  <c:v>ERROR + U EXPANDIDA CAL 2 [%] 2021</c:v>
                </c:pt>
              </c:strCache>
            </c:strRef>
          </c:tx>
          <c:val>
            <c:numRef>
              <c:f>'FRENOMETRO (PESO)'!$C$88:$C$96</c:f>
              <c:numCache>
                <c:formatCode>0.000</c:formatCode>
                <c:ptCount val="9"/>
                <c:pt idx="0">
                  <c:v>1.6000000000000028</c:v>
                </c:pt>
                <c:pt idx="1">
                  <c:v>0.36666666666666647</c:v>
                </c:pt>
                <c:pt idx="2">
                  <c:v>0.68000000000001126</c:v>
                </c:pt>
                <c:pt idx="3">
                  <c:v>2.2999999999999998</c:v>
                </c:pt>
                <c:pt idx="4">
                  <c:v>1.25</c:v>
                </c:pt>
                <c:pt idx="5">
                  <c:v>1.1666666666666665</c:v>
                </c:pt>
                <c:pt idx="6">
                  <c:v>1.2222222222222223</c:v>
                </c:pt>
                <c:pt idx="7">
                  <c:v>1.3541666666666667</c:v>
                </c:pt>
                <c:pt idx="8">
                  <c:v>1.4000000000000001</c:v>
                </c:pt>
              </c:numCache>
            </c:numRef>
          </c:val>
          <c:smooth val="0"/>
          <c:extLst>
            <c:ext xmlns:c16="http://schemas.microsoft.com/office/drawing/2014/chart" uri="{C3380CC4-5D6E-409C-BE32-E72D297353CC}">
              <c16:uniqueId val="{00000000-22FE-4A33-AD6B-33341BA9AE3B}"/>
            </c:ext>
          </c:extLst>
        </c:ser>
        <c:ser>
          <c:idx val="1"/>
          <c:order val="1"/>
          <c:tx>
            <c:strRef>
              <c:f>'FRENOMETRO (PESO)'!$D$87</c:f>
              <c:strCache>
                <c:ptCount val="1"/>
                <c:pt idx="0">
                  <c:v>ERROR - U EXPANDIDA CAL 2 [%] 2021</c:v>
                </c:pt>
              </c:strCache>
            </c:strRef>
          </c:tx>
          <c:val>
            <c:numRef>
              <c:f>'FRENOMETRO (PESO)'!$D$88:$D$96</c:f>
              <c:numCache>
                <c:formatCode>0.000</c:formatCode>
                <c:ptCount val="9"/>
                <c:pt idx="0">
                  <c:v>-2.1999999999999971</c:v>
                </c:pt>
                <c:pt idx="1">
                  <c:v>-1.6999999999999997</c:v>
                </c:pt>
                <c:pt idx="2">
                  <c:v>-1.5199999999999976</c:v>
                </c:pt>
                <c:pt idx="3">
                  <c:v>-1.2</c:v>
                </c:pt>
                <c:pt idx="4">
                  <c:v>-1.25</c:v>
                </c:pt>
                <c:pt idx="5">
                  <c:v>-1.25</c:v>
                </c:pt>
                <c:pt idx="6">
                  <c:v>-1.2222222222222223</c:v>
                </c:pt>
                <c:pt idx="7">
                  <c:v>-1.3958333333333333</c:v>
                </c:pt>
                <c:pt idx="8">
                  <c:v>-1.3333333333333333</c:v>
                </c:pt>
              </c:numCache>
            </c:numRef>
          </c:val>
          <c:smooth val="0"/>
          <c:extLst>
            <c:ext xmlns:c16="http://schemas.microsoft.com/office/drawing/2014/chart" uri="{C3380CC4-5D6E-409C-BE32-E72D297353CC}">
              <c16:uniqueId val="{00000001-22FE-4A33-AD6B-33341BA9AE3B}"/>
            </c:ext>
          </c:extLst>
        </c:ser>
        <c:ser>
          <c:idx val="2"/>
          <c:order val="2"/>
          <c:tx>
            <c:strRef>
              <c:f>'FRENOMETRO (PESO)'!$E$87</c:f>
              <c:strCache>
                <c:ptCount val="1"/>
                <c:pt idx="0">
                  <c:v>EXACTITUD DE ACUERDO A NTC: 5385:2011 (+) [%]</c:v>
                </c:pt>
              </c:strCache>
            </c:strRef>
          </c:tx>
          <c:val>
            <c:numRef>
              <c:f>'FRENOMETRO (PESO)'!$E$88:$E$96</c:f>
              <c:numCache>
                <c:formatCode>0.00</c:formatCode>
                <c:ptCount val="9"/>
                <c:pt idx="0">
                  <c:v>3</c:v>
                </c:pt>
                <c:pt idx="1">
                  <c:v>3</c:v>
                </c:pt>
                <c:pt idx="2">
                  <c:v>3</c:v>
                </c:pt>
                <c:pt idx="3">
                  <c:v>3</c:v>
                </c:pt>
                <c:pt idx="4">
                  <c:v>3</c:v>
                </c:pt>
                <c:pt idx="5">
                  <c:v>3</c:v>
                </c:pt>
                <c:pt idx="6">
                  <c:v>3</c:v>
                </c:pt>
                <c:pt idx="7">
                  <c:v>3</c:v>
                </c:pt>
                <c:pt idx="8">
                  <c:v>3</c:v>
                </c:pt>
              </c:numCache>
            </c:numRef>
          </c:val>
          <c:smooth val="0"/>
          <c:extLst>
            <c:ext xmlns:c16="http://schemas.microsoft.com/office/drawing/2014/chart" uri="{C3380CC4-5D6E-409C-BE32-E72D297353CC}">
              <c16:uniqueId val="{00000002-22FE-4A33-AD6B-33341BA9AE3B}"/>
            </c:ext>
          </c:extLst>
        </c:ser>
        <c:ser>
          <c:idx val="3"/>
          <c:order val="3"/>
          <c:tx>
            <c:strRef>
              <c:f>'FRENOMETRO (PESO)'!$F$87</c:f>
              <c:strCache>
                <c:ptCount val="1"/>
                <c:pt idx="0">
                  <c:v>EXACTITUD DE ACUERDO A NTC: 5385:2011 (-) [%]</c:v>
                </c:pt>
              </c:strCache>
            </c:strRef>
          </c:tx>
          <c:val>
            <c:numRef>
              <c:f>'FRENOMETRO (PESO)'!$F$88:$F$96</c:f>
              <c:numCache>
                <c:formatCode>0.00</c:formatCode>
                <c:ptCount val="9"/>
                <c:pt idx="0">
                  <c:v>-3</c:v>
                </c:pt>
                <c:pt idx="1">
                  <c:v>-3</c:v>
                </c:pt>
                <c:pt idx="2">
                  <c:v>-3</c:v>
                </c:pt>
                <c:pt idx="3">
                  <c:v>-3</c:v>
                </c:pt>
                <c:pt idx="4">
                  <c:v>-3</c:v>
                </c:pt>
                <c:pt idx="5">
                  <c:v>-3</c:v>
                </c:pt>
                <c:pt idx="6">
                  <c:v>-3</c:v>
                </c:pt>
                <c:pt idx="7">
                  <c:v>-3</c:v>
                </c:pt>
                <c:pt idx="8">
                  <c:v>-3</c:v>
                </c:pt>
              </c:numCache>
            </c:numRef>
          </c:val>
          <c:smooth val="0"/>
          <c:extLst>
            <c:ext xmlns:c16="http://schemas.microsoft.com/office/drawing/2014/chart" uri="{C3380CC4-5D6E-409C-BE32-E72D297353CC}">
              <c16:uniqueId val="{00000003-22FE-4A33-AD6B-33341BA9AE3B}"/>
            </c:ext>
          </c:extLst>
        </c:ser>
        <c:dLbls>
          <c:showLegendKey val="0"/>
          <c:showVal val="0"/>
          <c:showCatName val="0"/>
          <c:showSerName val="0"/>
          <c:showPercent val="0"/>
          <c:showBubbleSize val="0"/>
        </c:dLbls>
        <c:marker val="1"/>
        <c:smooth val="0"/>
        <c:axId val="410184768"/>
        <c:axId val="410185160"/>
      </c:lineChart>
      <c:catAx>
        <c:axId val="410184768"/>
        <c:scaling>
          <c:orientation val="minMax"/>
        </c:scaling>
        <c:delete val="0"/>
        <c:axPos val="b"/>
        <c:numFmt formatCode="General" sourceLinked="1"/>
        <c:majorTickMark val="none"/>
        <c:minorTickMark val="none"/>
        <c:tickLblPos val="nextTo"/>
        <c:crossAx val="410185160"/>
        <c:crosses val="autoZero"/>
        <c:auto val="1"/>
        <c:lblAlgn val="ctr"/>
        <c:lblOffset val="100"/>
        <c:noMultiLvlLbl val="0"/>
      </c:catAx>
      <c:valAx>
        <c:axId val="410185160"/>
        <c:scaling>
          <c:orientation val="minMax"/>
        </c:scaling>
        <c:delete val="0"/>
        <c:axPos val="l"/>
        <c:majorGridlines/>
        <c:title>
          <c:overlay val="0"/>
        </c:title>
        <c:numFmt formatCode="0.000" sourceLinked="1"/>
        <c:majorTickMark val="none"/>
        <c:minorTickMark val="none"/>
        <c:tickLblPos val="nextTo"/>
        <c:crossAx val="410184768"/>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'FRENOMETRO (PESO)'!$C$117</c:f>
              <c:strCache>
                <c:ptCount val="1"/>
                <c:pt idx="0">
                  <c:v>PRECISION CAL 2 2021</c:v>
                </c:pt>
              </c:strCache>
            </c:strRef>
          </c:tx>
          <c:val>
            <c:numRef>
              <c:f>'FRENOMETRO (PESO)'!$C$118:$C$126</c:f>
              <c:numCache>
                <c:formatCode>0.000</c:formatCode>
                <c:ptCount val="9"/>
                <c:pt idx="0">
                  <c:v>0.57999999999999996</c:v>
                </c:pt>
                <c:pt idx="1">
                  <c:v>0.33333333333333331</c:v>
                </c:pt>
                <c:pt idx="2">
                  <c:v>0.11599999999999999</c:v>
                </c:pt>
                <c:pt idx="3">
                  <c:v>0.1</c:v>
                </c:pt>
                <c:pt idx="4">
                  <c:v>8.3333333333333329E-2</c:v>
                </c:pt>
                <c:pt idx="5">
                  <c:v>2.4166666666666663E-2</c:v>
                </c:pt>
                <c:pt idx="6">
                  <c:v>3.1944444444444442E-2</c:v>
                </c:pt>
                <c:pt idx="7">
                  <c:v>1.2083333333333331E-2</c:v>
                </c:pt>
                <c:pt idx="8">
                  <c:v>9.6666666666666654E-3</c:v>
                </c:pt>
              </c:numCache>
            </c:numRef>
          </c:val>
          <c:smooth val="0"/>
          <c:extLst>
            <c:ext xmlns:c16="http://schemas.microsoft.com/office/drawing/2014/chart" uri="{C3380CC4-5D6E-409C-BE32-E72D297353CC}">
              <c16:uniqueId val="{00000000-1904-4A30-85BF-0495DECC40B6}"/>
            </c:ext>
          </c:extLst>
        </c:ser>
        <c:ser>
          <c:idx val="1"/>
          <c:order val="1"/>
          <c:tx>
            <c:strRef>
              <c:f>'FRENOMETRO (PESO)'!$D$117</c:f>
              <c:strCache>
                <c:ptCount val="1"/>
                <c:pt idx="0">
                  <c:v>Precision NTC 5385</c:v>
                </c:pt>
              </c:strCache>
            </c:strRef>
          </c:tx>
          <c:val>
            <c:numRef>
              <c:f>'FRENOMETRO (PESO)'!$D$118:$D$126</c:f>
              <c:numCache>
                <c:formatCode>0.00</c:formatCode>
                <c:ptCount val="9"/>
                <c:pt idx="0">
                  <c:v>3</c:v>
                </c:pt>
                <c:pt idx="1">
                  <c:v>3</c:v>
                </c:pt>
                <c:pt idx="2">
                  <c:v>3</c:v>
                </c:pt>
                <c:pt idx="3">
                  <c:v>3</c:v>
                </c:pt>
                <c:pt idx="4">
                  <c:v>3</c:v>
                </c:pt>
                <c:pt idx="5">
                  <c:v>3</c:v>
                </c:pt>
                <c:pt idx="6">
                  <c:v>3</c:v>
                </c:pt>
                <c:pt idx="7">
                  <c:v>3</c:v>
                </c:pt>
                <c:pt idx="8">
                  <c:v>3</c:v>
                </c:pt>
              </c:numCache>
            </c:numRef>
          </c:val>
          <c:smooth val="0"/>
          <c:extLst>
            <c:ext xmlns:c16="http://schemas.microsoft.com/office/drawing/2014/chart" uri="{C3380CC4-5D6E-409C-BE32-E72D297353CC}">
              <c16:uniqueId val="{00000001-1904-4A30-85BF-0495DECC40B6}"/>
            </c:ext>
          </c:extLst>
        </c:ser>
        <c:dLbls>
          <c:showLegendKey val="0"/>
          <c:showVal val="0"/>
          <c:showCatName val="0"/>
          <c:showSerName val="0"/>
          <c:showPercent val="0"/>
          <c:showBubbleSize val="0"/>
        </c:dLbls>
        <c:marker val="1"/>
        <c:smooth val="0"/>
        <c:axId val="244763632"/>
        <c:axId val="14232720"/>
      </c:lineChart>
      <c:catAx>
        <c:axId val="244763632"/>
        <c:scaling>
          <c:orientation val="minMax"/>
        </c:scaling>
        <c:delete val="0"/>
        <c:axPos val="b"/>
        <c:numFmt formatCode="General" sourceLinked="1"/>
        <c:majorTickMark val="none"/>
        <c:minorTickMark val="none"/>
        <c:tickLblPos val="nextTo"/>
        <c:crossAx val="14232720"/>
        <c:crosses val="autoZero"/>
        <c:auto val="1"/>
        <c:lblAlgn val="ctr"/>
        <c:lblOffset val="100"/>
        <c:noMultiLvlLbl val="0"/>
      </c:catAx>
      <c:valAx>
        <c:axId val="14232720"/>
        <c:scaling>
          <c:orientation val="minMax"/>
        </c:scaling>
        <c:delete val="0"/>
        <c:axPos val="l"/>
        <c:majorGridlines/>
        <c:title>
          <c:overlay val="0"/>
        </c:title>
        <c:numFmt formatCode="0.000" sourceLinked="1"/>
        <c:majorTickMark val="none"/>
        <c:minorTickMark val="none"/>
        <c:tickLblPos val="nextTo"/>
        <c:crossAx val="244763632"/>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'FRENOMETRO (PESO)'!$C$143</c:f>
              <c:strCache>
                <c:ptCount val="1"/>
                <c:pt idx="0">
                  <c:v>ERROR + U EXPANDIDA CAL 2 [%] 2021</c:v>
                </c:pt>
              </c:strCache>
            </c:strRef>
          </c:tx>
          <c:val>
            <c:numRef>
              <c:f>'FRENOMETRO (PESO)'!$C$144:$C$148</c:f>
              <c:numCache>
                <c:formatCode>0.000</c:formatCode>
                <c:ptCount val="5"/>
                <c:pt idx="0">
                  <c:v>0.56999999999999995</c:v>
                </c:pt>
                <c:pt idx="1">
                  <c:v>1.8999999999999997</c:v>
                </c:pt>
                <c:pt idx="2">
                  <c:v>1.4499999999999997</c:v>
                </c:pt>
                <c:pt idx="3">
                  <c:v>0.98333333333333328</c:v>
                </c:pt>
                <c:pt idx="4">
                  <c:v>0.63</c:v>
                </c:pt>
              </c:numCache>
            </c:numRef>
          </c:val>
          <c:smooth val="0"/>
          <c:extLst>
            <c:ext xmlns:c16="http://schemas.microsoft.com/office/drawing/2014/chart" uri="{C3380CC4-5D6E-409C-BE32-E72D297353CC}">
              <c16:uniqueId val="{00000000-EA46-49D7-BB40-A62D1F029849}"/>
            </c:ext>
          </c:extLst>
        </c:ser>
        <c:ser>
          <c:idx val="1"/>
          <c:order val="1"/>
          <c:tx>
            <c:strRef>
              <c:f>'FRENOMETRO (PESO)'!$D$143</c:f>
              <c:strCache>
                <c:ptCount val="1"/>
                <c:pt idx="0">
                  <c:v>ERROR - U EXPANDIDA CAL 2 [%] 2021</c:v>
                </c:pt>
              </c:strCache>
            </c:strRef>
          </c:tx>
          <c:val>
            <c:numRef>
              <c:f>'FRENOMETRO (PESO)'!$D$144:$D$148</c:f>
              <c:numCache>
                <c:formatCode>0.000</c:formatCode>
                <c:ptCount val="5"/>
                <c:pt idx="0">
                  <c:v>-0.56999999999999995</c:v>
                </c:pt>
                <c:pt idx="1">
                  <c:v>-1.8999999999999997</c:v>
                </c:pt>
                <c:pt idx="2">
                  <c:v>-1.4499999999999997</c:v>
                </c:pt>
                <c:pt idx="3">
                  <c:v>-0.98333333333333328</c:v>
                </c:pt>
                <c:pt idx="4">
                  <c:v>-0.63</c:v>
                </c:pt>
              </c:numCache>
            </c:numRef>
          </c:val>
          <c:smooth val="0"/>
          <c:extLst>
            <c:ext xmlns:c16="http://schemas.microsoft.com/office/drawing/2014/chart" uri="{C3380CC4-5D6E-409C-BE32-E72D297353CC}">
              <c16:uniqueId val="{00000001-EA46-49D7-BB40-A62D1F029849}"/>
            </c:ext>
          </c:extLst>
        </c:ser>
        <c:ser>
          <c:idx val="2"/>
          <c:order val="2"/>
          <c:tx>
            <c:strRef>
              <c:f>'FRENOMETRO (PESO)'!$E$143</c:f>
              <c:strCache>
                <c:ptCount val="1"/>
                <c:pt idx="0">
                  <c:v>EXACTITUD DE ACUERDO A NTC: 5385:2011 (+) [%]</c:v>
                </c:pt>
              </c:strCache>
            </c:strRef>
          </c:tx>
          <c:val>
            <c:numRef>
              <c:f>'FRENOMETRO (PESO)'!$E$144:$E$148</c:f>
              <c:numCache>
                <c:formatCode>0.00</c:formatCode>
                <c:ptCount val="5"/>
                <c:pt idx="0">
                  <c:v>3</c:v>
                </c:pt>
                <c:pt idx="1">
                  <c:v>3</c:v>
                </c:pt>
                <c:pt idx="2">
                  <c:v>3</c:v>
                </c:pt>
                <c:pt idx="3">
                  <c:v>3</c:v>
                </c:pt>
                <c:pt idx="4">
                  <c:v>3</c:v>
                </c:pt>
              </c:numCache>
            </c:numRef>
          </c:val>
          <c:smooth val="0"/>
          <c:extLst>
            <c:ext xmlns:c16="http://schemas.microsoft.com/office/drawing/2014/chart" uri="{C3380CC4-5D6E-409C-BE32-E72D297353CC}">
              <c16:uniqueId val="{00000002-EA46-49D7-BB40-A62D1F029849}"/>
            </c:ext>
          </c:extLst>
        </c:ser>
        <c:ser>
          <c:idx val="3"/>
          <c:order val="3"/>
          <c:tx>
            <c:strRef>
              <c:f>'FRENOMETRO (PESO)'!$F$143</c:f>
              <c:strCache>
                <c:ptCount val="1"/>
                <c:pt idx="0">
                  <c:v>EXACTITUD DE ACUERDO A NTC: 5385:2011 (-) [%]</c:v>
                </c:pt>
              </c:strCache>
            </c:strRef>
          </c:tx>
          <c:val>
            <c:numRef>
              <c:f>'FRENOMETRO (PESO)'!$F$144:$F$148</c:f>
              <c:numCache>
                <c:formatCode>0.00</c:formatCode>
                <c:ptCount val="5"/>
                <c:pt idx="0">
                  <c:v>-3</c:v>
                </c:pt>
                <c:pt idx="1">
                  <c:v>-3</c:v>
                </c:pt>
                <c:pt idx="2">
                  <c:v>-3</c:v>
                </c:pt>
                <c:pt idx="3">
                  <c:v>-3</c:v>
                </c:pt>
                <c:pt idx="4">
                  <c:v>-3</c:v>
                </c:pt>
              </c:numCache>
            </c:numRef>
          </c:val>
          <c:smooth val="0"/>
          <c:extLst>
            <c:ext xmlns:c16="http://schemas.microsoft.com/office/drawing/2014/chart" uri="{C3380CC4-5D6E-409C-BE32-E72D297353CC}">
              <c16:uniqueId val="{00000003-EA46-49D7-BB40-A62D1F029849}"/>
            </c:ext>
          </c:extLst>
        </c:ser>
        <c:dLbls>
          <c:showLegendKey val="0"/>
          <c:showVal val="0"/>
          <c:showCatName val="0"/>
          <c:showSerName val="0"/>
          <c:showPercent val="0"/>
          <c:showBubbleSize val="0"/>
        </c:dLbls>
        <c:marker val="1"/>
        <c:smooth val="0"/>
        <c:axId val="410184768"/>
        <c:axId val="410185160"/>
      </c:lineChart>
      <c:catAx>
        <c:axId val="410184768"/>
        <c:scaling>
          <c:orientation val="minMax"/>
        </c:scaling>
        <c:delete val="0"/>
        <c:axPos val="b"/>
        <c:numFmt formatCode="General" sourceLinked="1"/>
        <c:majorTickMark val="none"/>
        <c:minorTickMark val="none"/>
        <c:tickLblPos val="nextTo"/>
        <c:crossAx val="410185160"/>
        <c:crosses val="autoZero"/>
        <c:auto val="1"/>
        <c:lblAlgn val="ctr"/>
        <c:lblOffset val="100"/>
        <c:noMultiLvlLbl val="0"/>
      </c:catAx>
      <c:valAx>
        <c:axId val="410185160"/>
        <c:scaling>
          <c:orientation val="minMax"/>
        </c:scaling>
        <c:delete val="0"/>
        <c:axPos val="l"/>
        <c:majorGridlines/>
        <c:title>
          <c:overlay val="0"/>
        </c:title>
        <c:numFmt formatCode="0.000" sourceLinked="1"/>
        <c:majorTickMark val="none"/>
        <c:minorTickMark val="none"/>
        <c:tickLblPos val="nextTo"/>
        <c:crossAx val="410184768"/>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'FRENOMETRO (PESO)'!$C$169</c:f>
              <c:strCache>
                <c:ptCount val="1"/>
                <c:pt idx="0">
                  <c:v>PRECISION CAL 2 2021</c:v>
                </c:pt>
              </c:strCache>
            </c:strRef>
          </c:tx>
          <c:val>
            <c:numRef>
              <c:f>'FRENOMETRO (PESO)'!$C$170:$C$174</c:f>
              <c:numCache>
                <c:formatCode>0.000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401A-4974-9F3D-CEBE5097F32F}"/>
            </c:ext>
          </c:extLst>
        </c:ser>
        <c:ser>
          <c:idx val="1"/>
          <c:order val="1"/>
          <c:tx>
            <c:strRef>
              <c:f>'FRENOMETRO (PESO)'!$D$169</c:f>
              <c:strCache>
                <c:ptCount val="1"/>
                <c:pt idx="0">
                  <c:v>Precision NTC 5385</c:v>
                </c:pt>
              </c:strCache>
            </c:strRef>
          </c:tx>
          <c:val>
            <c:numRef>
              <c:f>'FRENOMETRO (PESO)'!$D$170:$D$174</c:f>
              <c:numCache>
                <c:formatCode>0.00</c:formatCode>
                <c:ptCount val="5"/>
                <c:pt idx="0">
                  <c:v>3</c:v>
                </c:pt>
                <c:pt idx="1">
                  <c:v>3</c:v>
                </c:pt>
                <c:pt idx="2">
                  <c:v>3</c:v>
                </c:pt>
                <c:pt idx="3">
                  <c:v>3</c:v>
                </c:pt>
                <c:pt idx="4">
                  <c:v>3</c:v>
                </c:pt>
              </c:numCache>
            </c:numRef>
          </c:val>
          <c:smooth val="0"/>
          <c:extLst>
            <c:ext xmlns:c16="http://schemas.microsoft.com/office/drawing/2014/chart" uri="{C3380CC4-5D6E-409C-BE32-E72D297353CC}">
              <c16:uniqueId val="{00000001-401A-4974-9F3D-CEBE5097F32F}"/>
            </c:ext>
          </c:extLst>
        </c:ser>
        <c:dLbls>
          <c:showLegendKey val="0"/>
          <c:showVal val="0"/>
          <c:showCatName val="0"/>
          <c:showSerName val="0"/>
          <c:showPercent val="0"/>
          <c:showBubbleSize val="0"/>
        </c:dLbls>
        <c:marker val="1"/>
        <c:smooth val="0"/>
        <c:axId val="244763632"/>
        <c:axId val="14232720"/>
      </c:lineChart>
      <c:catAx>
        <c:axId val="244763632"/>
        <c:scaling>
          <c:orientation val="minMax"/>
        </c:scaling>
        <c:delete val="0"/>
        <c:axPos val="b"/>
        <c:numFmt formatCode="General" sourceLinked="1"/>
        <c:majorTickMark val="none"/>
        <c:minorTickMark val="none"/>
        <c:tickLblPos val="nextTo"/>
        <c:crossAx val="14232720"/>
        <c:crosses val="autoZero"/>
        <c:auto val="1"/>
        <c:lblAlgn val="ctr"/>
        <c:lblOffset val="100"/>
        <c:noMultiLvlLbl val="0"/>
      </c:catAx>
      <c:valAx>
        <c:axId val="14232720"/>
        <c:scaling>
          <c:orientation val="minMax"/>
        </c:scaling>
        <c:delete val="0"/>
        <c:axPos val="l"/>
        <c:majorGridlines/>
        <c:title>
          <c:overlay val="0"/>
        </c:title>
        <c:numFmt formatCode="0.000" sourceLinked="1"/>
        <c:majorTickMark val="none"/>
        <c:minorTickMark val="none"/>
        <c:tickLblPos val="nextTo"/>
        <c:crossAx val="244763632"/>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'FRENOMETRO (PESO)'!$C$190</c:f>
              <c:strCache>
                <c:ptCount val="1"/>
                <c:pt idx="0">
                  <c:v>ERROR + U EXPANDIDA CAL 2 [%] 2021</c:v>
                </c:pt>
              </c:strCache>
            </c:strRef>
          </c:tx>
          <c:val>
            <c:numRef>
              <c:f>'FRENOMETRO (PESO)'!$C$191:$C$199</c:f>
              <c:numCache>
                <c:formatCode>0.000</c:formatCode>
                <c:ptCount val="9"/>
                <c:pt idx="0">
                  <c:v>2.1999999999999971</c:v>
                </c:pt>
                <c:pt idx="1">
                  <c:v>1.3666666666666665</c:v>
                </c:pt>
                <c:pt idx="2">
                  <c:v>0.68000000000001126</c:v>
                </c:pt>
                <c:pt idx="3">
                  <c:v>1.3</c:v>
                </c:pt>
                <c:pt idx="4">
                  <c:v>1.4166666666666667</c:v>
                </c:pt>
                <c:pt idx="5">
                  <c:v>1.2083333333333333</c:v>
                </c:pt>
                <c:pt idx="6">
                  <c:v>1.25</c:v>
                </c:pt>
                <c:pt idx="7">
                  <c:v>1.4166666666666667</c:v>
                </c:pt>
                <c:pt idx="8">
                  <c:v>1.3666666666666667</c:v>
                </c:pt>
              </c:numCache>
            </c:numRef>
          </c:val>
          <c:smooth val="0"/>
          <c:extLst>
            <c:ext xmlns:c16="http://schemas.microsoft.com/office/drawing/2014/chart" uri="{C3380CC4-5D6E-409C-BE32-E72D297353CC}">
              <c16:uniqueId val="{00000000-BBE0-444C-A272-2B6B37D5CD9A}"/>
            </c:ext>
          </c:extLst>
        </c:ser>
        <c:ser>
          <c:idx val="1"/>
          <c:order val="1"/>
          <c:tx>
            <c:strRef>
              <c:f>'FRENOMETRO (PESO)'!$D$190</c:f>
              <c:strCache>
                <c:ptCount val="1"/>
                <c:pt idx="0">
                  <c:v>ERROR - U EXPANDIDA CAL 2 [%] 2021</c:v>
                </c:pt>
              </c:strCache>
            </c:strRef>
          </c:tx>
          <c:val>
            <c:numRef>
              <c:f>'FRENOMETRO (PESO)'!$D$191:$D$199</c:f>
              <c:numCache>
                <c:formatCode>0.000</c:formatCode>
                <c:ptCount val="9"/>
                <c:pt idx="0">
                  <c:v>-1.6000000000000028</c:v>
                </c:pt>
                <c:pt idx="1">
                  <c:v>-1.3666666666666665</c:v>
                </c:pt>
                <c:pt idx="2">
                  <c:v>-1.5199999999999976</c:v>
                </c:pt>
                <c:pt idx="3">
                  <c:v>-1.3</c:v>
                </c:pt>
                <c:pt idx="4">
                  <c:v>-1.0833333333333333</c:v>
                </c:pt>
                <c:pt idx="5">
                  <c:v>-1.2083333333333333</c:v>
                </c:pt>
                <c:pt idx="6">
                  <c:v>-1.1944444444444446</c:v>
                </c:pt>
                <c:pt idx="7">
                  <c:v>-1.3333333333333333</c:v>
                </c:pt>
                <c:pt idx="8">
                  <c:v>-1.3666666666666667</c:v>
                </c:pt>
              </c:numCache>
            </c:numRef>
          </c:val>
          <c:smooth val="0"/>
          <c:extLst>
            <c:ext xmlns:c16="http://schemas.microsoft.com/office/drawing/2014/chart" uri="{C3380CC4-5D6E-409C-BE32-E72D297353CC}">
              <c16:uniqueId val="{00000001-BBE0-444C-A272-2B6B37D5CD9A}"/>
            </c:ext>
          </c:extLst>
        </c:ser>
        <c:ser>
          <c:idx val="2"/>
          <c:order val="2"/>
          <c:tx>
            <c:strRef>
              <c:f>'FRENOMETRO (PESO)'!$E$190</c:f>
              <c:strCache>
                <c:ptCount val="1"/>
                <c:pt idx="0">
                  <c:v>EXACTITUD DE ACUERDO A NTC: 5385:2011 (+) [%]</c:v>
                </c:pt>
              </c:strCache>
            </c:strRef>
          </c:tx>
          <c:val>
            <c:numRef>
              <c:f>'FRENOMETRO (PESO)'!$E$191:$E$199</c:f>
              <c:numCache>
                <c:formatCode>0.00</c:formatCode>
                <c:ptCount val="9"/>
                <c:pt idx="0">
                  <c:v>3</c:v>
                </c:pt>
                <c:pt idx="1">
                  <c:v>3</c:v>
                </c:pt>
                <c:pt idx="2">
                  <c:v>3</c:v>
                </c:pt>
                <c:pt idx="3">
                  <c:v>3</c:v>
                </c:pt>
                <c:pt idx="4">
                  <c:v>3</c:v>
                </c:pt>
                <c:pt idx="5">
                  <c:v>3</c:v>
                </c:pt>
                <c:pt idx="6">
                  <c:v>3</c:v>
                </c:pt>
                <c:pt idx="7">
                  <c:v>3</c:v>
                </c:pt>
                <c:pt idx="8">
                  <c:v>3</c:v>
                </c:pt>
              </c:numCache>
            </c:numRef>
          </c:val>
          <c:smooth val="0"/>
          <c:extLst>
            <c:ext xmlns:c16="http://schemas.microsoft.com/office/drawing/2014/chart" uri="{C3380CC4-5D6E-409C-BE32-E72D297353CC}">
              <c16:uniqueId val="{00000002-BBE0-444C-A272-2B6B37D5CD9A}"/>
            </c:ext>
          </c:extLst>
        </c:ser>
        <c:dLbls>
          <c:showLegendKey val="0"/>
          <c:showVal val="0"/>
          <c:showCatName val="0"/>
          <c:showSerName val="0"/>
          <c:showPercent val="0"/>
          <c:showBubbleSize val="0"/>
        </c:dLbls>
        <c:marker val="1"/>
        <c:smooth val="0"/>
        <c:axId val="410184768"/>
        <c:axId val="410185160"/>
      </c:lineChart>
      <c:catAx>
        <c:axId val="410184768"/>
        <c:scaling>
          <c:orientation val="minMax"/>
        </c:scaling>
        <c:delete val="0"/>
        <c:axPos val="b"/>
        <c:numFmt formatCode="General" sourceLinked="1"/>
        <c:majorTickMark val="none"/>
        <c:minorTickMark val="none"/>
        <c:tickLblPos val="nextTo"/>
        <c:crossAx val="410185160"/>
        <c:crosses val="autoZero"/>
        <c:auto val="1"/>
        <c:lblAlgn val="ctr"/>
        <c:lblOffset val="100"/>
        <c:noMultiLvlLbl val="0"/>
      </c:catAx>
      <c:valAx>
        <c:axId val="410185160"/>
        <c:scaling>
          <c:orientation val="minMax"/>
        </c:scaling>
        <c:delete val="0"/>
        <c:axPos val="l"/>
        <c:majorGridlines/>
        <c:title>
          <c:overlay val="0"/>
        </c:title>
        <c:numFmt formatCode="0.000" sourceLinked="1"/>
        <c:majorTickMark val="none"/>
        <c:minorTickMark val="none"/>
        <c:tickLblPos val="nextTo"/>
        <c:crossAx val="410184768"/>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'FRENOMETRO (PESO)'!$C$117</c:f>
              <c:strCache>
                <c:ptCount val="1"/>
                <c:pt idx="0">
                  <c:v>PRECISION CAL 2 2021</c:v>
                </c:pt>
              </c:strCache>
            </c:strRef>
          </c:tx>
          <c:val>
            <c:numRef>
              <c:f>'FRENOMETRO (PESO)'!$C$118:$C$126</c:f>
              <c:numCache>
                <c:formatCode>0.000</c:formatCode>
                <c:ptCount val="9"/>
                <c:pt idx="0">
                  <c:v>0.57999999999999996</c:v>
                </c:pt>
                <c:pt idx="1">
                  <c:v>0.33333333333333331</c:v>
                </c:pt>
                <c:pt idx="2">
                  <c:v>0.11599999999999999</c:v>
                </c:pt>
                <c:pt idx="3">
                  <c:v>0.1</c:v>
                </c:pt>
                <c:pt idx="4">
                  <c:v>8.3333333333333329E-2</c:v>
                </c:pt>
                <c:pt idx="5">
                  <c:v>2.4166666666666663E-2</c:v>
                </c:pt>
                <c:pt idx="6">
                  <c:v>3.1944444444444442E-2</c:v>
                </c:pt>
                <c:pt idx="7">
                  <c:v>1.2083333333333331E-2</c:v>
                </c:pt>
                <c:pt idx="8">
                  <c:v>9.6666666666666654E-3</c:v>
                </c:pt>
              </c:numCache>
            </c:numRef>
          </c:val>
          <c:smooth val="0"/>
          <c:extLst>
            <c:ext xmlns:c16="http://schemas.microsoft.com/office/drawing/2014/chart" uri="{C3380CC4-5D6E-409C-BE32-E72D297353CC}">
              <c16:uniqueId val="{00000000-2DF4-4EC5-B2E6-E04434116E36}"/>
            </c:ext>
          </c:extLst>
        </c:ser>
        <c:ser>
          <c:idx val="1"/>
          <c:order val="1"/>
          <c:tx>
            <c:strRef>
              <c:f>'FRENOMETRO (PESO)'!$D$117</c:f>
              <c:strCache>
                <c:ptCount val="1"/>
                <c:pt idx="0">
                  <c:v>Precision NTC 5385</c:v>
                </c:pt>
              </c:strCache>
            </c:strRef>
          </c:tx>
          <c:val>
            <c:numRef>
              <c:f>'FRENOMETRO (PESO)'!$D$118:$D$126</c:f>
              <c:numCache>
                <c:formatCode>0.00</c:formatCode>
                <c:ptCount val="9"/>
                <c:pt idx="0">
                  <c:v>3</c:v>
                </c:pt>
                <c:pt idx="1">
                  <c:v>3</c:v>
                </c:pt>
                <c:pt idx="2">
                  <c:v>3</c:v>
                </c:pt>
                <c:pt idx="3">
                  <c:v>3</c:v>
                </c:pt>
                <c:pt idx="4">
                  <c:v>3</c:v>
                </c:pt>
                <c:pt idx="5">
                  <c:v>3</c:v>
                </c:pt>
                <c:pt idx="6">
                  <c:v>3</c:v>
                </c:pt>
                <c:pt idx="7">
                  <c:v>3</c:v>
                </c:pt>
                <c:pt idx="8">
                  <c:v>3</c:v>
                </c:pt>
              </c:numCache>
            </c:numRef>
          </c:val>
          <c:smooth val="0"/>
          <c:extLst>
            <c:ext xmlns:c16="http://schemas.microsoft.com/office/drawing/2014/chart" uri="{C3380CC4-5D6E-409C-BE32-E72D297353CC}">
              <c16:uniqueId val="{00000001-2DF4-4EC5-B2E6-E04434116E36}"/>
            </c:ext>
          </c:extLst>
        </c:ser>
        <c:dLbls>
          <c:showLegendKey val="0"/>
          <c:showVal val="0"/>
          <c:showCatName val="0"/>
          <c:showSerName val="0"/>
          <c:showPercent val="0"/>
          <c:showBubbleSize val="0"/>
        </c:dLbls>
        <c:marker val="1"/>
        <c:smooth val="0"/>
        <c:axId val="244763632"/>
        <c:axId val="14232720"/>
      </c:lineChart>
      <c:catAx>
        <c:axId val="244763632"/>
        <c:scaling>
          <c:orientation val="minMax"/>
        </c:scaling>
        <c:delete val="0"/>
        <c:axPos val="b"/>
        <c:numFmt formatCode="General" sourceLinked="1"/>
        <c:majorTickMark val="none"/>
        <c:minorTickMark val="none"/>
        <c:tickLblPos val="nextTo"/>
        <c:crossAx val="14232720"/>
        <c:crosses val="autoZero"/>
        <c:auto val="1"/>
        <c:lblAlgn val="ctr"/>
        <c:lblOffset val="100"/>
        <c:noMultiLvlLbl val="0"/>
      </c:catAx>
      <c:valAx>
        <c:axId val="14232720"/>
        <c:scaling>
          <c:orientation val="minMax"/>
        </c:scaling>
        <c:delete val="0"/>
        <c:axPos val="l"/>
        <c:majorGridlines/>
        <c:title>
          <c:overlay val="0"/>
        </c:title>
        <c:numFmt formatCode="0.000" sourceLinked="1"/>
        <c:majorTickMark val="none"/>
        <c:minorTickMark val="none"/>
        <c:tickLblPos val="nextTo"/>
        <c:crossAx val="244763632"/>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OPACIMETRO!$C$39</c:f>
              <c:strCache>
                <c:ptCount val="1"/>
                <c:pt idx="0">
                  <c:v>ERROR + U EXPANDIDA CAL 2 [%]</c:v>
                </c:pt>
              </c:strCache>
            </c:strRef>
          </c:tx>
          <c:val>
            <c:numRef>
              <c:f>OPACIMETRO!$C$40:$C$42</c:f>
              <c:numCache>
                <c:formatCode>0.000</c:formatCode>
                <c:ptCount val="3"/>
                <c:pt idx="0">
                  <c:v>0.69</c:v>
                </c:pt>
                <c:pt idx="1">
                  <c:v>1.8799999999999994</c:v>
                </c:pt>
                <c:pt idx="2">
                  <c:v>0.80000000000000115</c:v>
                </c:pt>
              </c:numCache>
            </c:numRef>
          </c:val>
          <c:smooth val="0"/>
          <c:extLst>
            <c:ext xmlns:c16="http://schemas.microsoft.com/office/drawing/2014/chart" uri="{C3380CC4-5D6E-409C-BE32-E72D297353CC}">
              <c16:uniqueId val="{00000000-FF6E-4497-926F-1187473B49DF}"/>
            </c:ext>
          </c:extLst>
        </c:ser>
        <c:ser>
          <c:idx val="1"/>
          <c:order val="1"/>
          <c:tx>
            <c:strRef>
              <c:f>OPACIMETRO!$D$39</c:f>
              <c:strCache>
                <c:ptCount val="1"/>
                <c:pt idx="0">
                  <c:v>ERROR - U EXPANDIDA CAL 2 [%]</c:v>
                </c:pt>
              </c:strCache>
            </c:strRef>
          </c:tx>
          <c:val>
            <c:numRef>
              <c:f>OPACIMETRO!$D$40:$D$42</c:f>
              <c:numCache>
                <c:formatCode>0.000</c:formatCode>
                <c:ptCount val="3"/>
                <c:pt idx="0">
                  <c:v>-0.69</c:v>
                </c:pt>
                <c:pt idx="1">
                  <c:v>0.33999999999999941</c:v>
                </c:pt>
                <c:pt idx="2">
                  <c:v>-0.73999999999999888</c:v>
                </c:pt>
              </c:numCache>
            </c:numRef>
          </c:val>
          <c:smooth val="0"/>
          <c:extLst>
            <c:ext xmlns:c16="http://schemas.microsoft.com/office/drawing/2014/chart" uri="{C3380CC4-5D6E-409C-BE32-E72D297353CC}">
              <c16:uniqueId val="{00000001-FF6E-4497-926F-1187473B49DF}"/>
            </c:ext>
          </c:extLst>
        </c:ser>
        <c:ser>
          <c:idx val="2"/>
          <c:order val="2"/>
          <c:tx>
            <c:strRef>
              <c:f>OPACIMETRO!$E$39</c:f>
              <c:strCache>
                <c:ptCount val="1"/>
                <c:pt idx="0">
                  <c:v>Exactitud NTC 5365 Numeral 5.2.7.1 (+) [%]</c:v>
                </c:pt>
              </c:strCache>
            </c:strRef>
          </c:tx>
          <c:val>
            <c:numRef>
              <c:f>OPACIMETRO!$E$40:$E$42</c:f>
              <c:numCache>
                <c:formatCode>0.00</c:formatCode>
                <c:ptCount val="3"/>
                <c:pt idx="0">
                  <c:v>1</c:v>
                </c:pt>
                <c:pt idx="1">
                  <c:v>2</c:v>
                </c:pt>
                <c:pt idx="2">
                  <c:v>2</c:v>
                </c:pt>
              </c:numCache>
            </c:numRef>
          </c:val>
          <c:smooth val="0"/>
          <c:extLst>
            <c:ext xmlns:c16="http://schemas.microsoft.com/office/drawing/2014/chart" uri="{C3380CC4-5D6E-409C-BE32-E72D297353CC}">
              <c16:uniqueId val="{00000002-FF6E-4497-926F-1187473B49DF}"/>
            </c:ext>
          </c:extLst>
        </c:ser>
        <c:ser>
          <c:idx val="3"/>
          <c:order val="3"/>
          <c:tx>
            <c:strRef>
              <c:f>OPACIMETRO!$F$39</c:f>
              <c:strCache>
                <c:ptCount val="1"/>
                <c:pt idx="0">
                  <c:v>Exactitud NTC 5365 Numeral 5.2.7.1 (-) [%]</c:v>
                </c:pt>
              </c:strCache>
            </c:strRef>
          </c:tx>
          <c:val>
            <c:numRef>
              <c:f>OPACIMETRO!$F$40:$F$42</c:f>
              <c:numCache>
                <c:formatCode>0.00</c:formatCode>
                <c:ptCount val="3"/>
                <c:pt idx="0">
                  <c:v>-1</c:v>
                </c:pt>
                <c:pt idx="1">
                  <c:v>-2</c:v>
                </c:pt>
                <c:pt idx="2">
                  <c:v>-2</c:v>
                </c:pt>
              </c:numCache>
            </c:numRef>
          </c:val>
          <c:smooth val="0"/>
          <c:extLst>
            <c:ext xmlns:c16="http://schemas.microsoft.com/office/drawing/2014/chart" uri="{C3380CC4-5D6E-409C-BE32-E72D297353CC}">
              <c16:uniqueId val="{00000003-FF6E-4497-926F-1187473B49DF}"/>
            </c:ext>
          </c:extLst>
        </c:ser>
        <c:dLbls>
          <c:showLegendKey val="0"/>
          <c:showVal val="0"/>
          <c:showCatName val="0"/>
          <c:showSerName val="0"/>
          <c:showPercent val="0"/>
          <c:showBubbleSize val="0"/>
        </c:dLbls>
        <c:marker val="1"/>
        <c:smooth val="0"/>
        <c:axId val="410182416"/>
        <c:axId val="410182808"/>
      </c:lineChart>
      <c:catAx>
        <c:axId val="410182416"/>
        <c:scaling>
          <c:orientation val="minMax"/>
        </c:scaling>
        <c:delete val="0"/>
        <c:axPos val="b"/>
        <c:numFmt formatCode="General" sourceLinked="1"/>
        <c:majorTickMark val="none"/>
        <c:minorTickMark val="none"/>
        <c:tickLblPos val="nextTo"/>
        <c:crossAx val="410182808"/>
        <c:crosses val="autoZero"/>
        <c:auto val="1"/>
        <c:lblAlgn val="ctr"/>
        <c:lblOffset val="100"/>
        <c:noMultiLvlLbl val="0"/>
      </c:catAx>
      <c:valAx>
        <c:axId val="410182808"/>
        <c:scaling>
          <c:orientation val="minMax"/>
        </c:scaling>
        <c:delete val="0"/>
        <c:axPos val="l"/>
        <c:majorGridlines/>
        <c:title>
          <c:overlay val="0"/>
        </c:title>
        <c:numFmt formatCode="0.000" sourceLinked="1"/>
        <c:majorTickMark val="none"/>
        <c:minorTickMark val="none"/>
        <c:tickLblPos val="nextTo"/>
        <c:crossAx val="410182416"/>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'LUXOMETRO (INTENSIDAD)'!$C$40</c:f>
              <c:strCache>
                <c:ptCount val="1"/>
                <c:pt idx="0">
                  <c:v>ERROR + U EXPANDIDA CAL 2 [mm]</c:v>
                </c:pt>
              </c:strCache>
            </c:strRef>
          </c:tx>
          <c:val>
            <c:numRef>
              <c:f>'LUXOMETRO (INTENSIDAD)'!$C$41:$C$47</c:f>
              <c:numCache>
                <c:formatCode>0.000</c:formatCode>
                <c:ptCount val="7"/>
                <c:pt idx="0">
                  <c:v>5.7000000000000002E-2</c:v>
                </c:pt>
                <c:pt idx="1">
                  <c:v>5.6000000000000005</c:v>
                </c:pt>
                <c:pt idx="2">
                  <c:v>4.6999999999999993</c:v>
                </c:pt>
                <c:pt idx="3">
                  <c:v>0.36153846153846014</c:v>
                </c:pt>
                <c:pt idx="4">
                  <c:v>5.7000000000000002E-2</c:v>
                </c:pt>
                <c:pt idx="5">
                  <c:v>3.6857142857142842</c:v>
                </c:pt>
                <c:pt idx="6">
                  <c:v>2.5222222222222195</c:v>
                </c:pt>
              </c:numCache>
            </c:numRef>
          </c:val>
          <c:smooth val="0"/>
          <c:extLst>
            <c:ext xmlns:c16="http://schemas.microsoft.com/office/drawing/2014/chart" uri="{C3380CC4-5D6E-409C-BE32-E72D297353CC}">
              <c16:uniqueId val="{00000000-8224-425B-9C4B-C6C6555C3D47}"/>
            </c:ext>
          </c:extLst>
        </c:ser>
        <c:ser>
          <c:idx val="1"/>
          <c:order val="1"/>
          <c:tx>
            <c:strRef>
              <c:f>'LUXOMETRO (INTENSIDAD)'!$D$40</c:f>
              <c:strCache>
                <c:ptCount val="1"/>
                <c:pt idx="0">
                  <c:v>ERROR - U EXPANDIDA CAL 2 [mm]</c:v>
                </c:pt>
              </c:strCache>
            </c:strRef>
          </c:tx>
          <c:val>
            <c:numRef>
              <c:f>'LUXOMETRO (INTENSIDAD)'!$D$41:$D$47</c:f>
              <c:numCache>
                <c:formatCode>0.000</c:formatCode>
                <c:ptCount val="7"/>
                <c:pt idx="0">
                  <c:v>-5.7000000000000002E-2</c:v>
                </c:pt>
                <c:pt idx="1">
                  <c:v>-5.6000000000000005</c:v>
                </c:pt>
                <c:pt idx="2">
                  <c:v>-2.5000000000000071</c:v>
                </c:pt>
                <c:pt idx="3">
                  <c:v>-0.84615384615385159</c:v>
                </c:pt>
                <c:pt idx="4">
                  <c:v>-5.7000000000000002E-2</c:v>
                </c:pt>
                <c:pt idx="5">
                  <c:v>-5.3571428571428594</c:v>
                </c:pt>
                <c:pt idx="6">
                  <c:v>-6.1111111111111143</c:v>
                </c:pt>
              </c:numCache>
            </c:numRef>
          </c:val>
          <c:smooth val="0"/>
          <c:extLst>
            <c:ext xmlns:c16="http://schemas.microsoft.com/office/drawing/2014/chart" uri="{C3380CC4-5D6E-409C-BE32-E72D297353CC}">
              <c16:uniqueId val="{00000001-8224-425B-9C4B-C6C6555C3D47}"/>
            </c:ext>
          </c:extLst>
        </c:ser>
        <c:ser>
          <c:idx val="2"/>
          <c:order val="2"/>
          <c:tx>
            <c:strRef>
              <c:f>'LUXOMETRO (INTENSIDAD)'!$E$40</c:f>
              <c:strCache>
                <c:ptCount val="1"/>
                <c:pt idx="0">
                  <c:v>EXACTITUD DE ACUERDO A NTC: 5385:2011 (+) [mm]</c:v>
                </c:pt>
              </c:strCache>
            </c:strRef>
          </c:tx>
          <c:val>
            <c:numRef>
              <c:f>'LUXOMETRO (INTENSIDAD)'!$E$41:$E$47</c:f>
              <c:numCache>
                <c:formatCode>0.00</c:formatCode>
                <c:ptCount val="7"/>
                <c:pt idx="0">
                  <c:v>10</c:v>
                </c:pt>
                <c:pt idx="1">
                  <c:v>10</c:v>
                </c:pt>
                <c:pt idx="2">
                  <c:v>10</c:v>
                </c:pt>
                <c:pt idx="3">
                  <c:v>10</c:v>
                </c:pt>
                <c:pt idx="4">
                  <c:v>10</c:v>
                </c:pt>
                <c:pt idx="5">
                  <c:v>10</c:v>
                </c:pt>
                <c:pt idx="6">
                  <c:v>10</c:v>
                </c:pt>
              </c:numCache>
            </c:numRef>
          </c:val>
          <c:smooth val="0"/>
          <c:extLst>
            <c:ext xmlns:c16="http://schemas.microsoft.com/office/drawing/2014/chart" uri="{C3380CC4-5D6E-409C-BE32-E72D297353CC}">
              <c16:uniqueId val="{00000002-8224-425B-9C4B-C6C6555C3D47}"/>
            </c:ext>
          </c:extLst>
        </c:ser>
        <c:ser>
          <c:idx val="3"/>
          <c:order val="3"/>
          <c:tx>
            <c:strRef>
              <c:f>'LUXOMETRO (INTENSIDAD)'!$F$40</c:f>
              <c:strCache>
                <c:ptCount val="1"/>
                <c:pt idx="0">
                  <c:v>EXACTITUD DE ACUERDO A NTC: 5385:2011 (-) [mm]</c:v>
                </c:pt>
              </c:strCache>
            </c:strRef>
          </c:tx>
          <c:val>
            <c:numRef>
              <c:f>'LUXOMETRO (INTENSIDAD)'!$F$41:$F$47</c:f>
              <c:numCache>
                <c:formatCode>0.00</c:formatCode>
                <c:ptCount val="7"/>
                <c:pt idx="0">
                  <c:v>-10</c:v>
                </c:pt>
                <c:pt idx="1">
                  <c:v>-10</c:v>
                </c:pt>
                <c:pt idx="2">
                  <c:v>-10</c:v>
                </c:pt>
                <c:pt idx="3">
                  <c:v>-10</c:v>
                </c:pt>
                <c:pt idx="4">
                  <c:v>-10</c:v>
                </c:pt>
                <c:pt idx="5">
                  <c:v>-10</c:v>
                </c:pt>
                <c:pt idx="6">
                  <c:v>-10</c:v>
                </c:pt>
              </c:numCache>
            </c:numRef>
          </c:val>
          <c:smooth val="0"/>
          <c:extLst>
            <c:ext xmlns:c16="http://schemas.microsoft.com/office/drawing/2014/chart" uri="{C3380CC4-5D6E-409C-BE32-E72D297353CC}">
              <c16:uniqueId val="{00000003-8224-425B-9C4B-C6C6555C3D47}"/>
            </c:ext>
          </c:extLst>
        </c:ser>
        <c:dLbls>
          <c:showLegendKey val="0"/>
          <c:showVal val="0"/>
          <c:showCatName val="0"/>
          <c:showSerName val="0"/>
          <c:showPercent val="0"/>
          <c:showBubbleSize val="0"/>
        </c:dLbls>
        <c:marker val="1"/>
        <c:smooth val="0"/>
        <c:axId val="413369104"/>
        <c:axId val="413369496"/>
      </c:lineChart>
      <c:catAx>
        <c:axId val="413369104"/>
        <c:scaling>
          <c:orientation val="minMax"/>
        </c:scaling>
        <c:delete val="0"/>
        <c:axPos val="b"/>
        <c:numFmt formatCode="General" sourceLinked="1"/>
        <c:majorTickMark val="none"/>
        <c:minorTickMark val="none"/>
        <c:tickLblPos val="nextTo"/>
        <c:crossAx val="413369496"/>
        <c:crosses val="autoZero"/>
        <c:auto val="1"/>
        <c:lblAlgn val="ctr"/>
        <c:lblOffset val="100"/>
        <c:noMultiLvlLbl val="0"/>
      </c:catAx>
      <c:valAx>
        <c:axId val="413369496"/>
        <c:scaling>
          <c:orientation val="minMax"/>
        </c:scaling>
        <c:delete val="0"/>
        <c:axPos val="l"/>
        <c:majorGridlines/>
        <c:title>
          <c:overlay val="0"/>
        </c:title>
        <c:numFmt formatCode="0.000" sourceLinked="1"/>
        <c:majorTickMark val="none"/>
        <c:minorTickMark val="none"/>
        <c:tickLblPos val="nextTo"/>
        <c:crossAx val="413369104"/>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'LUXOMETRO (INCLINACION)'!$C$40</c:f>
              <c:strCache>
                <c:ptCount val="1"/>
                <c:pt idx="0">
                  <c:v>ERROR + U EXPANDIDA CAL 2 [mm]</c:v>
                </c:pt>
              </c:strCache>
            </c:strRef>
          </c:tx>
          <c:val>
            <c:numRef>
              <c:f>'LUXOMETRO (INCLINACION)'!$C$41:$C$52</c:f>
              <c:numCache>
                <c:formatCode>0.000</c:formatCode>
                <c:ptCount val="12"/>
                <c:pt idx="0">
                  <c:v>5.8000000000000003E-2</c:v>
                </c:pt>
                <c:pt idx="1">
                  <c:v>-0.14160079840319378</c:v>
                </c:pt>
                <c:pt idx="2">
                  <c:v>-0.29077927254609454</c:v>
                </c:pt>
                <c:pt idx="3">
                  <c:v>-0.2411026919242239</c:v>
                </c:pt>
                <c:pt idx="4">
                  <c:v>-0.26494717169199855</c:v>
                </c:pt>
                <c:pt idx="5">
                  <c:v>-0.38498407167745369</c:v>
                </c:pt>
                <c:pt idx="6">
                  <c:v>5.8000000000000003E-2</c:v>
                </c:pt>
                <c:pt idx="7">
                  <c:v>-0.14160079840319378</c:v>
                </c:pt>
                <c:pt idx="8">
                  <c:v>-0.29077927254609454</c:v>
                </c:pt>
                <c:pt idx="9">
                  <c:v>-0.2411026919242239</c:v>
                </c:pt>
                <c:pt idx="10">
                  <c:v>-0.26494717169199855</c:v>
                </c:pt>
                <c:pt idx="11">
                  <c:v>-0.38498407167745369</c:v>
                </c:pt>
              </c:numCache>
            </c:numRef>
          </c:val>
          <c:smooth val="0"/>
          <c:extLst>
            <c:ext xmlns:c16="http://schemas.microsoft.com/office/drawing/2014/chart" uri="{C3380CC4-5D6E-409C-BE32-E72D297353CC}">
              <c16:uniqueId val="{00000000-C635-4DC3-8A03-474597DECD0B}"/>
            </c:ext>
          </c:extLst>
        </c:ser>
        <c:ser>
          <c:idx val="1"/>
          <c:order val="1"/>
          <c:tx>
            <c:strRef>
              <c:f>'LUXOMETRO (INCLINACION)'!$D$40</c:f>
              <c:strCache>
                <c:ptCount val="1"/>
                <c:pt idx="0">
                  <c:v>ERROR - U EXPANDIDA CAL 2 [mm]</c:v>
                </c:pt>
              </c:strCache>
            </c:strRef>
          </c:tx>
          <c:val>
            <c:numRef>
              <c:f>'LUXOMETRO (INCLINACION)'!$D$41:$D$52</c:f>
              <c:numCache>
                <c:formatCode>0.000</c:formatCode>
                <c:ptCount val="12"/>
                <c:pt idx="0">
                  <c:v>-5.8000000000000003E-2</c:v>
                </c:pt>
                <c:pt idx="1">
                  <c:v>-0.25760079840319378</c:v>
                </c:pt>
                <c:pt idx="2">
                  <c:v>-0.40677927254609453</c:v>
                </c:pt>
                <c:pt idx="3">
                  <c:v>-0.35710269192422389</c:v>
                </c:pt>
                <c:pt idx="4">
                  <c:v>-0.38294717169199854</c:v>
                </c:pt>
                <c:pt idx="5">
                  <c:v>-0.51098407167745363</c:v>
                </c:pt>
                <c:pt idx="6">
                  <c:v>-5.8000000000000003E-2</c:v>
                </c:pt>
                <c:pt idx="7">
                  <c:v>-0.25760079840319378</c:v>
                </c:pt>
                <c:pt idx="8">
                  <c:v>-0.40677927254609453</c:v>
                </c:pt>
                <c:pt idx="9">
                  <c:v>-0.35710269192422389</c:v>
                </c:pt>
                <c:pt idx="10">
                  <c:v>-0.38294717169199854</c:v>
                </c:pt>
                <c:pt idx="11">
                  <c:v>-0.51098407167745363</c:v>
                </c:pt>
              </c:numCache>
            </c:numRef>
          </c:val>
          <c:smooth val="0"/>
          <c:extLst>
            <c:ext xmlns:c16="http://schemas.microsoft.com/office/drawing/2014/chart" uri="{C3380CC4-5D6E-409C-BE32-E72D297353CC}">
              <c16:uniqueId val="{00000001-C635-4DC3-8A03-474597DECD0B}"/>
            </c:ext>
          </c:extLst>
        </c:ser>
        <c:ser>
          <c:idx val="2"/>
          <c:order val="2"/>
          <c:tx>
            <c:strRef>
              <c:f>'LUXOMETRO (INCLINACION)'!$E$40</c:f>
              <c:strCache>
                <c:ptCount val="1"/>
                <c:pt idx="0">
                  <c:v>EXACTITUD DE ACUERDO A NTC: 5385:2011 (+) [mm]</c:v>
                </c:pt>
              </c:strCache>
            </c:strRef>
          </c:tx>
          <c:val>
            <c:numRef>
              <c:f>'LUXOMETRO (INCLINACION)'!$E$41:$E$52</c:f>
              <c:numCache>
                <c:formatCode>0.00</c:formatCode>
                <c:ptCount val="12"/>
                <c:pt idx="0">
                  <c:v>10</c:v>
                </c:pt>
                <c:pt idx="1">
                  <c:v>10</c:v>
                </c:pt>
                <c:pt idx="2">
                  <c:v>10</c:v>
                </c:pt>
                <c:pt idx="3">
                  <c:v>10</c:v>
                </c:pt>
                <c:pt idx="4">
                  <c:v>10</c:v>
                </c:pt>
                <c:pt idx="5">
                  <c:v>10</c:v>
                </c:pt>
                <c:pt idx="6">
                  <c:v>10</c:v>
                </c:pt>
                <c:pt idx="7">
                  <c:v>10</c:v>
                </c:pt>
                <c:pt idx="8">
                  <c:v>10</c:v>
                </c:pt>
                <c:pt idx="9">
                  <c:v>10</c:v>
                </c:pt>
                <c:pt idx="10">
                  <c:v>10</c:v>
                </c:pt>
                <c:pt idx="11">
                  <c:v>10</c:v>
                </c:pt>
              </c:numCache>
            </c:numRef>
          </c:val>
          <c:smooth val="0"/>
          <c:extLst>
            <c:ext xmlns:c16="http://schemas.microsoft.com/office/drawing/2014/chart" uri="{C3380CC4-5D6E-409C-BE32-E72D297353CC}">
              <c16:uniqueId val="{00000002-C635-4DC3-8A03-474597DECD0B}"/>
            </c:ext>
          </c:extLst>
        </c:ser>
        <c:ser>
          <c:idx val="3"/>
          <c:order val="3"/>
          <c:tx>
            <c:strRef>
              <c:f>'LUXOMETRO (INCLINACION)'!$F$40</c:f>
              <c:strCache>
                <c:ptCount val="1"/>
                <c:pt idx="0">
                  <c:v>EXACTITUD DE ACUERDO A NTC: 5385:2011 (-) [mm]</c:v>
                </c:pt>
              </c:strCache>
            </c:strRef>
          </c:tx>
          <c:val>
            <c:numRef>
              <c:f>'LUXOMETRO (INCLINACION)'!$F$41:$F$52</c:f>
              <c:numCache>
                <c:formatCode>0.00</c:formatCode>
                <c:ptCount val="12"/>
                <c:pt idx="0">
                  <c:v>-10</c:v>
                </c:pt>
                <c:pt idx="1">
                  <c:v>-10</c:v>
                </c:pt>
                <c:pt idx="2">
                  <c:v>-10</c:v>
                </c:pt>
                <c:pt idx="3">
                  <c:v>-10</c:v>
                </c:pt>
                <c:pt idx="4">
                  <c:v>-10</c:v>
                </c:pt>
                <c:pt idx="5">
                  <c:v>-10</c:v>
                </c:pt>
                <c:pt idx="6">
                  <c:v>-10</c:v>
                </c:pt>
                <c:pt idx="7">
                  <c:v>-10</c:v>
                </c:pt>
                <c:pt idx="8">
                  <c:v>-10</c:v>
                </c:pt>
                <c:pt idx="9">
                  <c:v>-10</c:v>
                </c:pt>
                <c:pt idx="10">
                  <c:v>-10</c:v>
                </c:pt>
                <c:pt idx="11">
                  <c:v>-10</c:v>
                </c:pt>
              </c:numCache>
            </c:numRef>
          </c:val>
          <c:smooth val="0"/>
          <c:extLst>
            <c:ext xmlns:c16="http://schemas.microsoft.com/office/drawing/2014/chart" uri="{C3380CC4-5D6E-409C-BE32-E72D297353CC}">
              <c16:uniqueId val="{00000003-C635-4DC3-8A03-474597DECD0B}"/>
            </c:ext>
          </c:extLst>
        </c:ser>
        <c:dLbls>
          <c:showLegendKey val="0"/>
          <c:showVal val="0"/>
          <c:showCatName val="0"/>
          <c:showSerName val="0"/>
          <c:showPercent val="0"/>
          <c:showBubbleSize val="0"/>
        </c:dLbls>
        <c:marker val="1"/>
        <c:smooth val="0"/>
        <c:axId val="413370280"/>
        <c:axId val="413370672"/>
      </c:lineChart>
      <c:catAx>
        <c:axId val="413370280"/>
        <c:scaling>
          <c:orientation val="minMax"/>
        </c:scaling>
        <c:delete val="0"/>
        <c:axPos val="b"/>
        <c:numFmt formatCode="General" sourceLinked="1"/>
        <c:majorTickMark val="none"/>
        <c:minorTickMark val="none"/>
        <c:tickLblPos val="nextTo"/>
        <c:crossAx val="413370672"/>
        <c:crosses val="autoZero"/>
        <c:auto val="1"/>
        <c:lblAlgn val="ctr"/>
        <c:lblOffset val="100"/>
        <c:noMultiLvlLbl val="0"/>
      </c:catAx>
      <c:valAx>
        <c:axId val="413370672"/>
        <c:scaling>
          <c:orientation val="minMax"/>
        </c:scaling>
        <c:delete val="0"/>
        <c:axPos val="l"/>
        <c:majorGridlines/>
        <c:title>
          <c:overlay val="0"/>
        </c:title>
        <c:numFmt formatCode="0.000" sourceLinked="1"/>
        <c:majorTickMark val="none"/>
        <c:minorTickMark val="none"/>
        <c:tickLblPos val="nextTo"/>
        <c:crossAx val="413370280"/>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'DIOXIDO (CO2)  '!$C$40</c:f>
              <c:strCache>
                <c:ptCount val="1"/>
                <c:pt idx="0">
                  <c:v>ERROR + U EXPANDIDA CAL 2 [%]</c:v>
                </c:pt>
              </c:strCache>
            </c:strRef>
          </c:tx>
          <c:val>
            <c:numRef>
              <c:f>'DIOXIDO (CO2)  '!$C$41:$C$48</c:f>
              <c:numCache>
                <c:formatCode>0.000</c:formatCode>
                <c:ptCount val="8"/>
                <c:pt idx="0">
                  <c:v>0.12</c:v>
                </c:pt>
                <c:pt idx="1">
                  <c:v>0.29999999999999966</c:v>
                </c:pt>
                <c:pt idx="2">
                  <c:v>0.15</c:v>
                </c:pt>
                <c:pt idx="3">
                  <c:v>5.8000000000000003E-2</c:v>
                </c:pt>
                <c:pt idx="4">
                  <c:v>0.12</c:v>
                </c:pt>
                <c:pt idx="5">
                  <c:v>0.2</c:v>
                </c:pt>
                <c:pt idx="6">
                  <c:v>0.15</c:v>
                </c:pt>
                <c:pt idx="7">
                  <c:v>5.8000000000000003E-2</c:v>
                </c:pt>
              </c:numCache>
            </c:numRef>
          </c:val>
          <c:smooth val="0"/>
          <c:extLst>
            <c:ext xmlns:c16="http://schemas.microsoft.com/office/drawing/2014/chart" uri="{C3380CC4-5D6E-409C-BE32-E72D297353CC}">
              <c16:uniqueId val="{00000000-1185-4D07-9B7E-ABA8FE648CBF}"/>
            </c:ext>
          </c:extLst>
        </c:ser>
        <c:ser>
          <c:idx val="1"/>
          <c:order val="1"/>
          <c:tx>
            <c:strRef>
              <c:f>'DIOXIDO (CO2)  '!$D$40</c:f>
              <c:strCache>
                <c:ptCount val="1"/>
                <c:pt idx="0">
                  <c:v>ERROR - U EXPANDIDA CAL 2 [%]</c:v>
                </c:pt>
              </c:strCache>
            </c:strRef>
          </c:tx>
          <c:val>
            <c:numRef>
              <c:f>'DIOXIDO (CO2)  '!$D$41:$D$48</c:f>
              <c:numCache>
                <c:formatCode>0.000</c:formatCode>
                <c:ptCount val="8"/>
                <c:pt idx="0">
                  <c:v>0.12</c:v>
                </c:pt>
                <c:pt idx="1">
                  <c:v>0.29999999999999966</c:v>
                </c:pt>
                <c:pt idx="2">
                  <c:v>0.15</c:v>
                </c:pt>
                <c:pt idx="3">
                  <c:v>5.8000000000000003E-2</c:v>
                </c:pt>
                <c:pt idx="4">
                  <c:v>0.12</c:v>
                </c:pt>
                <c:pt idx="5">
                  <c:v>0.2</c:v>
                </c:pt>
                <c:pt idx="6">
                  <c:v>0.15</c:v>
                </c:pt>
                <c:pt idx="7">
                  <c:v>5.8000000000000003E-2</c:v>
                </c:pt>
              </c:numCache>
            </c:numRef>
          </c:val>
          <c:smooth val="0"/>
          <c:extLst>
            <c:ext xmlns:c16="http://schemas.microsoft.com/office/drawing/2014/chart" uri="{C3380CC4-5D6E-409C-BE32-E72D297353CC}">
              <c16:uniqueId val="{00000001-1185-4D07-9B7E-ABA8FE648CBF}"/>
            </c:ext>
          </c:extLst>
        </c:ser>
        <c:ser>
          <c:idx val="2"/>
          <c:order val="2"/>
          <c:tx>
            <c:strRef>
              <c:f>'DIOXIDO (CO2)  '!$E$40</c:f>
              <c:strCache>
                <c:ptCount val="1"/>
                <c:pt idx="0">
                  <c:v>Exactitud NTC 5365 Numeral 5.2.7.1 (+) [%]</c:v>
                </c:pt>
              </c:strCache>
            </c:strRef>
          </c:tx>
          <c:val>
            <c:numRef>
              <c:f>'DIOXIDO (CO2)  '!$E$41:$E$48</c:f>
              <c:numCache>
                <c:formatCode>0.00</c:formatCode>
                <c:ptCount val="8"/>
                <c:pt idx="0">
                  <c:v>0.6</c:v>
                </c:pt>
                <c:pt idx="1">
                  <c:v>0.6</c:v>
                </c:pt>
                <c:pt idx="2">
                  <c:v>0.6</c:v>
                </c:pt>
                <c:pt idx="3">
                  <c:v>0.6</c:v>
                </c:pt>
                <c:pt idx="4">
                  <c:v>0.6</c:v>
                </c:pt>
                <c:pt idx="5">
                  <c:v>0.6</c:v>
                </c:pt>
                <c:pt idx="6">
                  <c:v>0.6</c:v>
                </c:pt>
                <c:pt idx="7">
                  <c:v>0.6</c:v>
                </c:pt>
              </c:numCache>
            </c:numRef>
          </c:val>
          <c:smooth val="0"/>
          <c:extLst>
            <c:ext xmlns:c16="http://schemas.microsoft.com/office/drawing/2014/chart" uri="{C3380CC4-5D6E-409C-BE32-E72D297353CC}">
              <c16:uniqueId val="{00000002-1185-4D07-9B7E-ABA8FE648CBF}"/>
            </c:ext>
          </c:extLst>
        </c:ser>
        <c:ser>
          <c:idx val="3"/>
          <c:order val="3"/>
          <c:tx>
            <c:strRef>
              <c:f>'DIOXIDO (CO2)  '!$F$40</c:f>
              <c:strCache>
                <c:ptCount val="1"/>
                <c:pt idx="0">
                  <c:v>Exactitud NTC 5365 Numeral 5.2.7.1 (-) [%]</c:v>
                </c:pt>
              </c:strCache>
            </c:strRef>
          </c:tx>
          <c:val>
            <c:numRef>
              <c:f>'DIOXIDO (CO2)  '!$F$41:$F$48</c:f>
              <c:numCache>
                <c:formatCode>0.00</c:formatCode>
                <c:ptCount val="8"/>
                <c:pt idx="0">
                  <c:v>-0.6</c:v>
                </c:pt>
                <c:pt idx="1">
                  <c:v>-0.6</c:v>
                </c:pt>
                <c:pt idx="2">
                  <c:v>-0.6</c:v>
                </c:pt>
                <c:pt idx="3">
                  <c:v>-0.6</c:v>
                </c:pt>
                <c:pt idx="4">
                  <c:v>-0.6</c:v>
                </c:pt>
                <c:pt idx="5">
                  <c:v>-0.6</c:v>
                </c:pt>
                <c:pt idx="6">
                  <c:v>-0.6</c:v>
                </c:pt>
                <c:pt idx="7">
                  <c:v>-0.6</c:v>
                </c:pt>
              </c:numCache>
            </c:numRef>
          </c:val>
          <c:smooth val="0"/>
          <c:extLst>
            <c:ext xmlns:c16="http://schemas.microsoft.com/office/drawing/2014/chart" uri="{C3380CC4-5D6E-409C-BE32-E72D297353CC}">
              <c16:uniqueId val="{00000003-1185-4D07-9B7E-ABA8FE648CBF}"/>
            </c:ext>
          </c:extLst>
        </c:ser>
        <c:dLbls>
          <c:showLegendKey val="0"/>
          <c:showVal val="0"/>
          <c:showCatName val="0"/>
          <c:showSerName val="0"/>
          <c:showPercent val="0"/>
          <c:showBubbleSize val="0"/>
        </c:dLbls>
        <c:marker val="1"/>
        <c:smooth val="0"/>
        <c:axId val="413401352"/>
        <c:axId val="413401744"/>
      </c:lineChart>
      <c:catAx>
        <c:axId val="413401352"/>
        <c:scaling>
          <c:orientation val="minMax"/>
        </c:scaling>
        <c:delete val="0"/>
        <c:axPos val="b"/>
        <c:numFmt formatCode="General" sourceLinked="1"/>
        <c:majorTickMark val="none"/>
        <c:minorTickMark val="none"/>
        <c:tickLblPos val="nextTo"/>
        <c:crossAx val="413401744"/>
        <c:crosses val="autoZero"/>
        <c:auto val="1"/>
        <c:lblAlgn val="ctr"/>
        <c:lblOffset val="100"/>
        <c:noMultiLvlLbl val="0"/>
      </c:catAx>
      <c:valAx>
        <c:axId val="413401744"/>
        <c:scaling>
          <c:orientation val="minMax"/>
        </c:scaling>
        <c:delete val="0"/>
        <c:axPos val="l"/>
        <c:majorGridlines/>
        <c:title>
          <c:overlay val="0"/>
        </c:title>
        <c:numFmt formatCode="0.000" sourceLinked="1"/>
        <c:majorTickMark val="none"/>
        <c:minorTickMark val="none"/>
        <c:tickLblPos val="nextTo"/>
        <c:crossAx val="413401352"/>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PROFUNDIMETRO!$C$30</c:f>
              <c:strCache>
                <c:ptCount val="1"/>
                <c:pt idx="0">
                  <c:v>ERROR + U EXPANDIDA CAL 2 [%]</c:v>
                </c:pt>
              </c:strCache>
            </c:strRef>
          </c:tx>
          <c:val>
            <c:numRef>
              <c:f>PROFUNDIMETRO!$C$31:$C$41</c:f>
              <c:numCache>
                <c:formatCode>0.000</c:formatCode>
                <c:ptCount val="11"/>
                <c:pt idx="0">
                  <c:v>6.0000000000000001E-3</c:v>
                </c:pt>
                <c:pt idx="1">
                  <c:v>1.6E-2</c:v>
                </c:pt>
                <c:pt idx="2">
                  <c:v>1.5900000000000001E-2</c:v>
                </c:pt>
                <c:pt idx="3">
                  <c:v>1.5900000000000001E-2</c:v>
                </c:pt>
                <c:pt idx="4">
                  <c:v>1.6E-2</c:v>
                </c:pt>
                <c:pt idx="5">
                  <c:v>1.2199999999999999E-2</c:v>
                </c:pt>
                <c:pt idx="6">
                  <c:v>6.0000000000000001E-3</c:v>
                </c:pt>
                <c:pt idx="7">
                  <c:v>2E-3</c:v>
                </c:pt>
                <c:pt idx="8">
                  <c:v>3.5299999999999998E-2</c:v>
                </c:pt>
                <c:pt idx="9">
                  <c:v>4.0000000000000001E-3</c:v>
                </c:pt>
                <c:pt idx="10">
                  <c:v>1.1899999999999999E-2</c:v>
                </c:pt>
              </c:numCache>
            </c:numRef>
          </c:val>
          <c:smooth val="0"/>
          <c:extLst>
            <c:ext xmlns:c16="http://schemas.microsoft.com/office/drawing/2014/chart" uri="{C3380CC4-5D6E-409C-BE32-E72D297353CC}">
              <c16:uniqueId val="{00000000-8C78-44EA-B071-32CC77B9B08A}"/>
            </c:ext>
          </c:extLst>
        </c:ser>
        <c:ser>
          <c:idx val="1"/>
          <c:order val="1"/>
          <c:tx>
            <c:strRef>
              <c:f>PROFUNDIMETRO!$D$30</c:f>
              <c:strCache>
                <c:ptCount val="1"/>
                <c:pt idx="0">
                  <c:v>ERROR - U EXPANDIDA CAL 2 [%]</c:v>
                </c:pt>
              </c:strCache>
            </c:strRef>
          </c:tx>
          <c:val>
            <c:numRef>
              <c:f>PROFUNDIMETRO!$D$31:$D$41</c:f>
              <c:numCache>
                <c:formatCode>0.000</c:formatCode>
                <c:ptCount val="11"/>
                <c:pt idx="0">
                  <c:v>6.0000000000000001E-3</c:v>
                </c:pt>
                <c:pt idx="1">
                  <c:v>-4.0000000000000001E-3</c:v>
                </c:pt>
                <c:pt idx="2">
                  <c:v>-3.9000000000000007E-3</c:v>
                </c:pt>
                <c:pt idx="3">
                  <c:v>-3.9000000000000007E-3</c:v>
                </c:pt>
                <c:pt idx="4">
                  <c:v>-4.0000000000000001E-3</c:v>
                </c:pt>
                <c:pt idx="5">
                  <c:v>4.0000000000000001E-3</c:v>
                </c:pt>
                <c:pt idx="6">
                  <c:v>6.0000000000000001E-3</c:v>
                </c:pt>
                <c:pt idx="7">
                  <c:v>1.4199999999999999E-2</c:v>
                </c:pt>
                <c:pt idx="8">
                  <c:v>-2.0499999999999997E-2</c:v>
                </c:pt>
                <c:pt idx="9">
                  <c:v>1.2199999999999999E-2</c:v>
                </c:pt>
                <c:pt idx="10">
                  <c:v>4.3E-3</c:v>
                </c:pt>
              </c:numCache>
            </c:numRef>
          </c:val>
          <c:smooth val="0"/>
          <c:extLst>
            <c:ext xmlns:c16="http://schemas.microsoft.com/office/drawing/2014/chart" uri="{C3380CC4-5D6E-409C-BE32-E72D297353CC}">
              <c16:uniqueId val="{00000001-8C78-44EA-B071-32CC77B9B08A}"/>
            </c:ext>
          </c:extLst>
        </c:ser>
        <c:ser>
          <c:idx val="2"/>
          <c:order val="2"/>
          <c:tx>
            <c:strRef>
              <c:f>PROFUNDIMETRO!$E$30</c:f>
              <c:strCache>
                <c:ptCount val="1"/>
                <c:pt idx="0">
                  <c:v>Exactitud NTC 5365 Numeral 5.2.7.1 (+) [%]</c:v>
                </c:pt>
              </c:strCache>
            </c:strRef>
          </c:tx>
          <c:val>
            <c:numRef>
              <c:f>PROFUNDIMETRO!$E$31:$E$41</c:f>
              <c:numCache>
                <c:formatCode>0.00</c:formatCode>
                <c:ptCount val="11"/>
                <c:pt idx="0">
                  <c:v>0.1</c:v>
                </c:pt>
                <c:pt idx="1">
                  <c:v>0.1</c:v>
                </c:pt>
                <c:pt idx="2">
                  <c:v>0.1</c:v>
                </c:pt>
                <c:pt idx="3">
                  <c:v>0.1</c:v>
                </c:pt>
                <c:pt idx="4">
                  <c:v>0.1</c:v>
                </c:pt>
                <c:pt idx="5">
                  <c:v>0.1</c:v>
                </c:pt>
                <c:pt idx="6">
                  <c:v>0.1</c:v>
                </c:pt>
                <c:pt idx="7">
                  <c:v>0.1</c:v>
                </c:pt>
                <c:pt idx="8">
                  <c:v>0.1</c:v>
                </c:pt>
                <c:pt idx="9">
                  <c:v>0.1</c:v>
                </c:pt>
                <c:pt idx="10">
                  <c:v>0.1</c:v>
                </c:pt>
              </c:numCache>
            </c:numRef>
          </c:val>
          <c:smooth val="0"/>
          <c:extLst>
            <c:ext xmlns:c16="http://schemas.microsoft.com/office/drawing/2014/chart" uri="{C3380CC4-5D6E-409C-BE32-E72D297353CC}">
              <c16:uniqueId val="{00000002-8C78-44EA-B071-32CC77B9B08A}"/>
            </c:ext>
          </c:extLst>
        </c:ser>
        <c:ser>
          <c:idx val="3"/>
          <c:order val="3"/>
          <c:tx>
            <c:strRef>
              <c:f>PROFUNDIMETRO!$F$30</c:f>
              <c:strCache>
                <c:ptCount val="1"/>
                <c:pt idx="0">
                  <c:v>Exactitud NTC 5365 Numeral 5.2.7.1 (-) [%]</c:v>
                </c:pt>
              </c:strCache>
            </c:strRef>
          </c:tx>
          <c:val>
            <c:numRef>
              <c:f>PROFUNDIMETRO!$F$31:$F$41</c:f>
              <c:numCache>
                <c:formatCode>0.00</c:formatCode>
                <c:ptCount val="11"/>
                <c:pt idx="0">
                  <c:v>-0.1</c:v>
                </c:pt>
                <c:pt idx="1">
                  <c:v>-0.1</c:v>
                </c:pt>
                <c:pt idx="2">
                  <c:v>-0.1</c:v>
                </c:pt>
                <c:pt idx="3">
                  <c:v>-0.1</c:v>
                </c:pt>
                <c:pt idx="4">
                  <c:v>-0.1</c:v>
                </c:pt>
                <c:pt idx="5">
                  <c:v>-0.1</c:v>
                </c:pt>
                <c:pt idx="6">
                  <c:v>-0.1</c:v>
                </c:pt>
                <c:pt idx="7">
                  <c:v>-0.1</c:v>
                </c:pt>
                <c:pt idx="8">
                  <c:v>-0.1</c:v>
                </c:pt>
                <c:pt idx="9">
                  <c:v>-0.1</c:v>
                </c:pt>
                <c:pt idx="10">
                  <c:v>-0.1</c:v>
                </c:pt>
              </c:numCache>
            </c:numRef>
          </c:val>
          <c:smooth val="0"/>
          <c:extLst>
            <c:ext xmlns:c16="http://schemas.microsoft.com/office/drawing/2014/chart" uri="{C3380CC4-5D6E-409C-BE32-E72D297353CC}">
              <c16:uniqueId val="{00000003-8C78-44EA-B071-32CC77B9B08A}"/>
            </c:ext>
          </c:extLst>
        </c:ser>
        <c:dLbls>
          <c:showLegendKey val="0"/>
          <c:showVal val="0"/>
          <c:showCatName val="0"/>
          <c:showSerName val="0"/>
          <c:showPercent val="0"/>
          <c:showBubbleSize val="0"/>
        </c:dLbls>
        <c:marker val="1"/>
        <c:smooth val="0"/>
        <c:axId val="410182416"/>
        <c:axId val="410182808"/>
      </c:lineChart>
      <c:catAx>
        <c:axId val="410182416"/>
        <c:scaling>
          <c:orientation val="minMax"/>
        </c:scaling>
        <c:delete val="0"/>
        <c:axPos val="b"/>
        <c:numFmt formatCode="General" sourceLinked="1"/>
        <c:majorTickMark val="none"/>
        <c:minorTickMark val="none"/>
        <c:tickLblPos val="nextTo"/>
        <c:crossAx val="410182808"/>
        <c:crosses val="autoZero"/>
        <c:auto val="1"/>
        <c:lblAlgn val="ctr"/>
        <c:lblOffset val="100"/>
        <c:noMultiLvlLbl val="0"/>
      </c:catAx>
      <c:valAx>
        <c:axId val="410182808"/>
        <c:scaling>
          <c:orientation val="minMax"/>
        </c:scaling>
        <c:delete val="0"/>
        <c:axPos val="l"/>
        <c:majorGridlines/>
        <c:title>
          <c:overlay val="0"/>
        </c:title>
        <c:numFmt formatCode="0.000" sourceLinked="1"/>
        <c:majorTickMark val="none"/>
        <c:minorTickMark val="none"/>
        <c:tickLblPos val="nextTo"/>
        <c:crossAx val="410182416"/>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SONOMETRO!$C$39</c:f>
              <c:strCache>
                <c:ptCount val="1"/>
                <c:pt idx="0">
                  <c:v>ERROR + U EXPANDIDA CAL 2 [%]</c:v>
                </c:pt>
              </c:strCache>
            </c:strRef>
          </c:tx>
          <c:val>
            <c:numRef>
              <c:f>SONOMETRO!$C$40:$C$41</c:f>
              <c:numCache>
                <c:formatCode>0.000</c:formatCode>
                <c:ptCount val="2"/>
                <c:pt idx="0">
                  <c:v>0.3299999999999943</c:v>
                </c:pt>
                <c:pt idx="1">
                  <c:v>0.23</c:v>
                </c:pt>
              </c:numCache>
            </c:numRef>
          </c:val>
          <c:smooth val="0"/>
          <c:extLst>
            <c:ext xmlns:c16="http://schemas.microsoft.com/office/drawing/2014/chart" uri="{C3380CC4-5D6E-409C-BE32-E72D297353CC}">
              <c16:uniqueId val="{00000000-A5A9-4587-9E1B-5267A4D215A7}"/>
            </c:ext>
          </c:extLst>
        </c:ser>
        <c:ser>
          <c:idx val="1"/>
          <c:order val="1"/>
          <c:tx>
            <c:strRef>
              <c:f>SONOMETRO!$D$39</c:f>
              <c:strCache>
                <c:ptCount val="1"/>
                <c:pt idx="0">
                  <c:v>ERROR - U EXPANDIDA CAL 2 [%]</c:v>
                </c:pt>
              </c:strCache>
            </c:strRef>
          </c:tx>
          <c:val>
            <c:numRef>
              <c:f>SONOMETRO!$D$40:$D$41</c:f>
              <c:numCache>
                <c:formatCode>0.000</c:formatCode>
                <c:ptCount val="2"/>
                <c:pt idx="0">
                  <c:v>-0.13000000000000569</c:v>
                </c:pt>
                <c:pt idx="1">
                  <c:v>-0.23</c:v>
                </c:pt>
              </c:numCache>
            </c:numRef>
          </c:val>
          <c:smooth val="0"/>
          <c:extLst>
            <c:ext xmlns:c16="http://schemas.microsoft.com/office/drawing/2014/chart" uri="{C3380CC4-5D6E-409C-BE32-E72D297353CC}">
              <c16:uniqueId val="{00000001-A5A9-4587-9E1B-5267A4D215A7}"/>
            </c:ext>
          </c:extLst>
        </c:ser>
        <c:ser>
          <c:idx val="2"/>
          <c:order val="2"/>
          <c:tx>
            <c:strRef>
              <c:f>SONOMETRO!$E$39</c:f>
              <c:strCache>
                <c:ptCount val="1"/>
                <c:pt idx="0">
                  <c:v>Exactitud NTC 5365 Numeral 5.2.7.1 (+) [%]</c:v>
                </c:pt>
              </c:strCache>
            </c:strRef>
          </c:tx>
          <c:val>
            <c:numRef>
              <c:f>SONOMETRO!$E$40:$E$41</c:f>
              <c:numCache>
                <c:formatCode>0.00</c:formatCode>
                <c:ptCount val="2"/>
                <c:pt idx="0">
                  <c:v>1.5</c:v>
                </c:pt>
                <c:pt idx="1">
                  <c:v>1.5</c:v>
                </c:pt>
              </c:numCache>
            </c:numRef>
          </c:val>
          <c:smooth val="0"/>
          <c:extLst>
            <c:ext xmlns:c16="http://schemas.microsoft.com/office/drawing/2014/chart" uri="{C3380CC4-5D6E-409C-BE32-E72D297353CC}">
              <c16:uniqueId val="{00000002-A5A9-4587-9E1B-5267A4D215A7}"/>
            </c:ext>
          </c:extLst>
        </c:ser>
        <c:ser>
          <c:idx val="3"/>
          <c:order val="3"/>
          <c:tx>
            <c:strRef>
              <c:f>SONOMETRO!$F$39</c:f>
              <c:strCache>
                <c:ptCount val="1"/>
                <c:pt idx="0">
                  <c:v>Exactitud NTC 5365 Numeral 5.2.7.1 (-) [%]</c:v>
                </c:pt>
              </c:strCache>
            </c:strRef>
          </c:tx>
          <c:val>
            <c:numRef>
              <c:f>SONOMETRO!$F$40:$F$41</c:f>
              <c:numCache>
                <c:formatCode>0.00</c:formatCode>
                <c:ptCount val="2"/>
                <c:pt idx="0">
                  <c:v>-1.5</c:v>
                </c:pt>
                <c:pt idx="1">
                  <c:v>-1.5</c:v>
                </c:pt>
              </c:numCache>
            </c:numRef>
          </c:val>
          <c:smooth val="0"/>
          <c:extLst>
            <c:ext xmlns:c16="http://schemas.microsoft.com/office/drawing/2014/chart" uri="{C3380CC4-5D6E-409C-BE32-E72D297353CC}">
              <c16:uniqueId val="{00000003-A5A9-4587-9E1B-5267A4D215A7}"/>
            </c:ext>
          </c:extLst>
        </c:ser>
        <c:dLbls>
          <c:showLegendKey val="0"/>
          <c:showVal val="0"/>
          <c:showCatName val="0"/>
          <c:showSerName val="0"/>
          <c:showPercent val="0"/>
          <c:showBubbleSize val="0"/>
        </c:dLbls>
        <c:marker val="1"/>
        <c:smooth val="0"/>
        <c:axId val="410182416"/>
        <c:axId val="410182808"/>
      </c:lineChart>
      <c:catAx>
        <c:axId val="410182416"/>
        <c:scaling>
          <c:orientation val="minMax"/>
        </c:scaling>
        <c:delete val="0"/>
        <c:axPos val="b"/>
        <c:numFmt formatCode="General" sourceLinked="1"/>
        <c:majorTickMark val="none"/>
        <c:minorTickMark val="none"/>
        <c:tickLblPos val="nextTo"/>
        <c:crossAx val="410182808"/>
        <c:crosses val="autoZero"/>
        <c:auto val="1"/>
        <c:lblAlgn val="ctr"/>
        <c:lblOffset val="100"/>
        <c:noMultiLvlLbl val="0"/>
      </c:catAx>
      <c:valAx>
        <c:axId val="410182808"/>
        <c:scaling>
          <c:orientation val="minMax"/>
        </c:scaling>
        <c:delete val="0"/>
        <c:axPos val="l"/>
        <c:majorGridlines/>
        <c:title>
          <c:overlay val="0"/>
        </c:title>
        <c:numFmt formatCode="0.000" sourceLinked="1"/>
        <c:majorTickMark val="none"/>
        <c:minorTickMark val="none"/>
        <c:tickLblPos val="nextTo"/>
        <c:crossAx val="410182416"/>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'REVOLUCIONES POR MINUTO 2T'!$C$40</c:f>
              <c:strCache>
                <c:ptCount val="1"/>
                <c:pt idx="0">
                  <c:v>ERROR + U EXPANDIDA CAL 2 [%]</c:v>
                </c:pt>
              </c:strCache>
            </c:strRef>
          </c:tx>
          <c:val>
            <c:numRef>
              <c:f>'REVOLUCIONES POR MINUTO 2T'!$C$41:$C$48</c:f>
              <c:numCache>
                <c:formatCode>0.000</c:formatCode>
                <c:ptCount val="8"/>
                <c:pt idx="0">
                  <c:v>-0.37666666666664395</c:v>
                </c:pt>
                <c:pt idx="1">
                  <c:v>0.41999999999997728</c:v>
                </c:pt>
                <c:pt idx="2">
                  <c:v>-0.38222222222219948</c:v>
                </c:pt>
                <c:pt idx="3">
                  <c:v>-0.79388888888884346</c:v>
                </c:pt>
                <c:pt idx="4">
                  <c:v>-0.1939999999998181</c:v>
                </c:pt>
                <c:pt idx="5">
                  <c:v>4.0000000000000001E-3</c:v>
                </c:pt>
                <c:pt idx="6">
                  <c:v>-0.39625000000009097</c:v>
                </c:pt>
                <c:pt idx="7">
                  <c:v>-0.39822222222185844</c:v>
                </c:pt>
              </c:numCache>
            </c:numRef>
          </c:val>
          <c:smooth val="0"/>
          <c:extLst>
            <c:ext xmlns:c16="http://schemas.microsoft.com/office/drawing/2014/chart" uri="{C3380CC4-5D6E-409C-BE32-E72D297353CC}">
              <c16:uniqueId val="{00000000-5F48-436B-A63F-82993D2782FB}"/>
            </c:ext>
          </c:extLst>
        </c:ser>
        <c:ser>
          <c:idx val="1"/>
          <c:order val="1"/>
          <c:tx>
            <c:strRef>
              <c:f>'REVOLUCIONES POR MINUTO 2T'!$D$40</c:f>
              <c:strCache>
                <c:ptCount val="1"/>
                <c:pt idx="0">
                  <c:v>ERROR - U EXPANDIDA CAL 2 [%]</c:v>
                </c:pt>
              </c:strCache>
            </c:strRef>
          </c:tx>
          <c:val>
            <c:numRef>
              <c:f>'REVOLUCIONES POR MINUTO 2T'!$D$41:$D$48</c:f>
              <c:numCache>
                <c:formatCode>0.000</c:formatCode>
                <c:ptCount val="8"/>
                <c:pt idx="0">
                  <c:v>-8.9999999999996222E-2</c:v>
                </c:pt>
                <c:pt idx="1">
                  <c:v>2.9999999999997157E-2</c:v>
                </c:pt>
                <c:pt idx="2">
                  <c:v>-6.2222222222219695E-2</c:v>
                </c:pt>
                <c:pt idx="3">
                  <c:v>-5.0555555555553029E-2</c:v>
                </c:pt>
                <c:pt idx="4">
                  <c:v>-1.3999999999992725E-2</c:v>
                </c:pt>
                <c:pt idx="5">
                  <c:v>-4.0000000000000001E-3</c:v>
                </c:pt>
                <c:pt idx="6">
                  <c:v>-1.3750000000002274E-2</c:v>
                </c:pt>
                <c:pt idx="7">
                  <c:v>-6.2222222222181808E-3</c:v>
                </c:pt>
              </c:numCache>
            </c:numRef>
          </c:val>
          <c:smooth val="0"/>
          <c:extLst>
            <c:ext xmlns:c16="http://schemas.microsoft.com/office/drawing/2014/chart" uri="{C3380CC4-5D6E-409C-BE32-E72D297353CC}">
              <c16:uniqueId val="{00000001-5F48-436B-A63F-82993D2782FB}"/>
            </c:ext>
          </c:extLst>
        </c:ser>
        <c:ser>
          <c:idx val="2"/>
          <c:order val="2"/>
          <c:tx>
            <c:strRef>
              <c:f>'REVOLUCIONES POR MINUTO 2T'!$E$40</c:f>
              <c:strCache>
                <c:ptCount val="1"/>
                <c:pt idx="0">
                  <c:v>Exactitud NTC 5365 Numeral 5.2.7.1 (+) [%]</c:v>
                </c:pt>
              </c:strCache>
            </c:strRef>
          </c:tx>
          <c:val>
            <c:numRef>
              <c:f>'REVOLUCIONES POR MINUTO 2T'!$E$41:$E$48</c:f>
              <c:numCache>
                <c:formatCode>0.00</c:formatCode>
                <c:ptCount val="8"/>
                <c:pt idx="0">
                  <c:v>2</c:v>
                </c:pt>
                <c:pt idx="1">
                  <c:v>2</c:v>
                </c:pt>
                <c:pt idx="2">
                  <c:v>2</c:v>
                </c:pt>
                <c:pt idx="3">
                  <c:v>2</c:v>
                </c:pt>
                <c:pt idx="4">
                  <c:v>2</c:v>
                </c:pt>
                <c:pt idx="5">
                  <c:v>2</c:v>
                </c:pt>
                <c:pt idx="6">
                  <c:v>2</c:v>
                </c:pt>
                <c:pt idx="7">
                  <c:v>2</c:v>
                </c:pt>
              </c:numCache>
            </c:numRef>
          </c:val>
          <c:smooth val="0"/>
          <c:extLst>
            <c:ext xmlns:c16="http://schemas.microsoft.com/office/drawing/2014/chart" uri="{C3380CC4-5D6E-409C-BE32-E72D297353CC}">
              <c16:uniqueId val="{00000002-5F48-436B-A63F-82993D2782FB}"/>
            </c:ext>
          </c:extLst>
        </c:ser>
        <c:ser>
          <c:idx val="3"/>
          <c:order val="3"/>
          <c:tx>
            <c:strRef>
              <c:f>'REVOLUCIONES POR MINUTO 2T'!$F$40</c:f>
              <c:strCache>
                <c:ptCount val="1"/>
                <c:pt idx="0">
                  <c:v>Exactitud NTC 5365 Numeral 5.2.7.1 (-) [%]</c:v>
                </c:pt>
              </c:strCache>
            </c:strRef>
          </c:tx>
          <c:val>
            <c:numRef>
              <c:f>'REVOLUCIONES POR MINUTO 2T'!$F$41:$F$48</c:f>
              <c:numCache>
                <c:formatCode>0.00</c:formatCode>
                <c:ptCount val="8"/>
                <c:pt idx="0">
                  <c:v>-2</c:v>
                </c:pt>
                <c:pt idx="1">
                  <c:v>-2</c:v>
                </c:pt>
                <c:pt idx="2">
                  <c:v>-2</c:v>
                </c:pt>
                <c:pt idx="3">
                  <c:v>-2</c:v>
                </c:pt>
                <c:pt idx="4">
                  <c:v>-2</c:v>
                </c:pt>
                <c:pt idx="5">
                  <c:v>-2</c:v>
                </c:pt>
                <c:pt idx="6">
                  <c:v>-2</c:v>
                </c:pt>
                <c:pt idx="7">
                  <c:v>-2</c:v>
                </c:pt>
              </c:numCache>
            </c:numRef>
          </c:val>
          <c:smooth val="0"/>
          <c:extLst>
            <c:ext xmlns:c16="http://schemas.microsoft.com/office/drawing/2014/chart" uri="{C3380CC4-5D6E-409C-BE32-E72D297353CC}">
              <c16:uniqueId val="{00000003-5F48-436B-A63F-82993D2782FB}"/>
            </c:ext>
          </c:extLst>
        </c:ser>
        <c:dLbls>
          <c:showLegendKey val="0"/>
          <c:showVal val="0"/>
          <c:showCatName val="0"/>
          <c:showSerName val="0"/>
          <c:showPercent val="0"/>
          <c:showBubbleSize val="0"/>
        </c:dLbls>
        <c:marker val="1"/>
        <c:smooth val="0"/>
        <c:axId val="413404880"/>
        <c:axId val="410181632"/>
      </c:lineChart>
      <c:catAx>
        <c:axId val="413404880"/>
        <c:scaling>
          <c:orientation val="minMax"/>
        </c:scaling>
        <c:delete val="0"/>
        <c:axPos val="b"/>
        <c:numFmt formatCode="General" sourceLinked="1"/>
        <c:majorTickMark val="none"/>
        <c:minorTickMark val="none"/>
        <c:tickLblPos val="nextTo"/>
        <c:crossAx val="410181632"/>
        <c:crosses val="autoZero"/>
        <c:auto val="1"/>
        <c:lblAlgn val="ctr"/>
        <c:lblOffset val="100"/>
        <c:noMultiLvlLbl val="0"/>
      </c:catAx>
      <c:valAx>
        <c:axId val="410181632"/>
        <c:scaling>
          <c:orientation val="minMax"/>
        </c:scaling>
        <c:delete val="0"/>
        <c:axPos val="l"/>
        <c:majorGridlines/>
        <c:title>
          <c:overlay val="0"/>
        </c:title>
        <c:numFmt formatCode="0.000" sourceLinked="1"/>
        <c:majorTickMark val="none"/>
        <c:minorTickMark val="none"/>
        <c:tickLblPos val="nextTo"/>
        <c:crossAx val="413404880"/>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'TEMPERATURA (TEM) 2T'!$C$31</c:f>
              <c:strCache>
                <c:ptCount val="1"/>
                <c:pt idx="0">
                  <c:v>ERROR + U EXPANDIDA CAL 2 [%]</c:v>
                </c:pt>
              </c:strCache>
            </c:strRef>
          </c:tx>
          <c:val>
            <c:numRef>
              <c:f>'TEMPERATURA (TEM) 2T'!$C$32:$C$34</c:f>
              <c:numCache>
                <c:formatCode>0.000</c:formatCode>
                <c:ptCount val="3"/>
                <c:pt idx="0">
                  <c:v>3.900000000000003</c:v>
                </c:pt>
                <c:pt idx="1">
                  <c:v>3.900000000000003</c:v>
                </c:pt>
                <c:pt idx="2">
                  <c:v>0.28000000000000003</c:v>
                </c:pt>
              </c:numCache>
            </c:numRef>
          </c:val>
          <c:smooth val="0"/>
          <c:extLst>
            <c:ext xmlns:c16="http://schemas.microsoft.com/office/drawing/2014/chart" uri="{C3380CC4-5D6E-409C-BE32-E72D297353CC}">
              <c16:uniqueId val="{00000000-7468-480A-9AFE-B1FD6F49098B}"/>
            </c:ext>
          </c:extLst>
        </c:ser>
        <c:ser>
          <c:idx val="1"/>
          <c:order val="1"/>
          <c:tx>
            <c:strRef>
              <c:f>'TEMPERATURA (TEM) 2T'!$D$31</c:f>
              <c:strCache>
                <c:ptCount val="1"/>
                <c:pt idx="0">
                  <c:v>ERROR - U EXPANDIDA CAL 2 [%]</c:v>
                </c:pt>
              </c:strCache>
            </c:strRef>
          </c:tx>
          <c:val>
            <c:numRef>
              <c:f>'TEMPERATURA (TEM) 2T'!$D$32:$D$34</c:f>
              <c:numCache>
                <c:formatCode>0.000</c:formatCode>
                <c:ptCount val="3"/>
                <c:pt idx="0">
                  <c:v>-3.4999999999999973</c:v>
                </c:pt>
                <c:pt idx="1">
                  <c:v>-2.2666666666666639</c:v>
                </c:pt>
                <c:pt idx="2">
                  <c:v>-2.2800000000000002</c:v>
                </c:pt>
              </c:numCache>
            </c:numRef>
          </c:val>
          <c:smooth val="0"/>
          <c:extLst>
            <c:ext xmlns:c16="http://schemas.microsoft.com/office/drawing/2014/chart" uri="{C3380CC4-5D6E-409C-BE32-E72D297353CC}">
              <c16:uniqueId val="{00000001-7468-480A-9AFE-B1FD6F49098B}"/>
            </c:ext>
          </c:extLst>
        </c:ser>
        <c:ser>
          <c:idx val="2"/>
          <c:order val="2"/>
          <c:tx>
            <c:strRef>
              <c:f>'TEMPERATURA (TEM) 2T'!$E$31</c:f>
              <c:strCache>
                <c:ptCount val="1"/>
                <c:pt idx="0">
                  <c:v>Exactitud NTC 5365 Numeral 5.2.7.1 (+) [%]</c:v>
                </c:pt>
              </c:strCache>
            </c:strRef>
          </c:tx>
          <c:val>
            <c:numRef>
              <c:f>'TEMPERATURA (TEM) 2T'!$E$32:$E$34</c:f>
              <c:numCache>
                <c:formatCode>0.00</c:formatCode>
                <c:ptCount val="3"/>
                <c:pt idx="0">
                  <c:v>5</c:v>
                </c:pt>
                <c:pt idx="1">
                  <c:v>5</c:v>
                </c:pt>
                <c:pt idx="2">
                  <c:v>5</c:v>
                </c:pt>
              </c:numCache>
            </c:numRef>
          </c:val>
          <c:smooth val="0"/>
          <c:extLst>
            <c:ext xmlns:c16="http://schemas.microsoft.com/office/drawing/2014/chart" uri="{C3380CC4-5D6E-409C-BE32-E72D297353CC}">
              <c16:uniqueId val="{00000002-7468-480A-9AFE-B1FD6F49098B}"/>
            </c:ext>
          </c:extLst>
        </c:ser>
        <c:ser>
          <c:idx val="3"/>
          <c:order val="3"/>
          <c:tx>
            <c:strRef>
              <c:f>'TEMPERATURA (TEM) 2T'!$F$31</c:f>
              <c:strCache>
                <c:ptCount val="1"/>
                <c:pt idx="0">
                  <c:v>Exactitud NTC 5365 Numeral 5.2.7.1 (-) [%]</c:v>
                </c:pt>
              </c:strCache>
            </c:strRef>
          </c:tx>
          <c:val>
            <c:numRef>
              <c:f>'TEMPERATURA (TEM) 2T'!$F$32:$F$34</c:f>
              <c:numCache>
                <c:formatCode>0.00</c:formatCode>
                <c:ptCount val="3"/>
                <c:pt idx="0">
                  <c:v>-5</c:v>
                </c:pt>
                <c:pt idx="1">
                  <c:v>-5</c:v>
                </c:pt>
                <c:pt idx="2">
                  <c:v>-5</c:v>
                </c:pt>
              </c:numCache>
            </c:numRef>
          </c:val>
          <c:smooth val="0"/>
          <c:extLst>
            <c:ext xmlns:c16="http://schemas.microsoft.com/office/drawing/2014/chart" uri="{C3380CC4-5D6E-409C-BE32-E72D297353CC}">
              <c16:uniqueId val="{00000003-7468-480A-9AFE-B1FD6F49098B}"/>
            </c:ext>
          </c:extLst>
        </c:ser>
        <c:dLbls>
          <c:showLegendKey val="0"/>
          <c:showVal val="0"/>
          <c:showCatName val="0"/>
          <c:showSerName val="0"/>
          <c:showPercent val="0"/>
          <c:showBubbleSize val="0"/>
        </c:dLbls>
        <c:marker val="1"/>
        <c:smooth val="0"/>
        <c:axId val="410182416"/>
        <c:axId val="410182808"/>
      </c:lineChart>
      <c:catAx>
        <c:axId val="410182416"/>
        <c:scaling>
          <c:orientation val="minMax"/>
        </c:scaling>
        <c:delete val="0"/>
        <c:axPos val="b"/>
        <c:numFmt formatCode="General" sourceLinked="1"/>
        <c:majorTickMark val="none"/>
        <c:minorTickMark val="none"/>
        <c:tickLblPos val="nextTo"/>
        <c:crossAx val="410182808"/>
        <c:crosses val="autoZero"/>
        <c:auto val="1"/>
        <c:lblAlgn val="ctr"/>
        <c:lblOffset val="100"/>
        <c:noMultiLvlLbl val="0"/>
      </c:catAx>
      <c:valAx>
        <c:axId val="410182808"/>
        <c:scaling>
          <c:orientation val="minMax"/>
        </c:scaling>
        <c:delete val="0"/>
        <c:axPos val="l"/>
        <c:majorGridlines/>
        <c:title>
          <c:overlay val="0"/>
        </c:title>
        <c:numFmt formatCode="0.000" sourceLinked="1"/>
        <c:majorTickMark val="none"/>
        <c:minorTickMark val="none"/>
        <c:tickLblPos val="nextTo"/>
        <c:crossAx val="410182416"/>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'MONOXIDO (CO) 2T'!$C$40</c:f>
              <c:strCache>
                <c:ptCount val="1"/>
                <c:pt idx="0">
                  <c:v>ERROR + U EXPANDIDA CAL 2 [%]</c:v>
                </c:pt>
              </c:strCache>
            </c:strRef>
          </c:tx>
          <c:val>
            <c:numRef>
              <c:f>'MONOXIDO (CO) 2T'!$C$41:$C$44</c:f>
              <c:numCache>
                <c:formatCode>0.000</c:formatCode>
                <c:ptCount val="4"/>
                <c:pt idx="0">
                  <c:v>0</c:v>
                </c:pt>
                <c:pt idx="1">
                  <c:v>0</c:v>
                </c:pt>
                <c:pt idx="2">
                  <c:v>0</c:v>
                </c:pt>
                <c:pt idx="3">
                  <c:v>0</c:v>
                </c:pt>
              </c:numCache>
            </c:numRef>
          </c:val>
          <c:smooth val="0"/>
          <c:extLst>
            <c:ext xmlns:c16="http://schemas.microsoft.com/office/drawing/2014/chart" uri="{C3380CC4-5D6E-409C-BE32-E72D297353CC}">
              <c16:uniqueId val="{00000000-A82B-4D1C-8D63-FF307A7D993C}"/>
            </c:ext>
          </c:extLst>
        </c:ser>
        <c:ser>
          <c:idx val="1"/>
          <c:order val="1"/>
          <c:tx>
            <c:strRef>
              <c:f>'MONOXIDO (CO) 2T'!$D$40</c:f>
              <c:strCache>
                <c:ptCount val="1"/>
                <c:pt idx="0">
                  <c:v>ERROR - U EXPANDIDA CAL 2 [%]</c:v>
                </c:pt>
              </c:strCache>
            </c:strRef>
          </c:tx>
          <c:val>
            <c:numRef>
              <c:f>'MONOXIDO (CO) 2T'!$D$41:$D$44</c:f>
              <c:numCache>
                <c:formatCode>0.000</c:formatCode>
                <c:ptCount val="4"/>
                <c:pt idx="0">
                  <c:v>0</c:v>
                </c:pt>
                <c:pt idx="1">
                  <c:v>0</c:v>
                </c:pt>
                <c:pt idx="2">
                  <c:v>0</c:v>
                </c:pt>
                <c:pt idx="3">
                  <c:v>0</c:v>
                </c:pt>
              </c:numCache>
            </c:numRef>
          </c:val>
          <c:smooth val="0"/>
          <c:extLst>
            <c:ext xmlns:c16="http://schemas.microsoft.com/office/drawing/2014/chart" uri="{C3380CC4-5D6E-409C-BE32-E72D297353CC}">
              <c16:uniqueId val="{00000001-A82B-4D1C-8D63-FF307A7D993C}"/>
            </c:ext>
          </c:extLst>
        </c:ser>
        <c:ser>
          <c:idx val="3"/>
          <c:order val="2"/>
          <c:tx>
            <c:strRef>
              <c:f>'MONOXIDO (CO) 2T'!$E$40</c:f>
              <c:strCache>
                <c:ptCount val="1"/>
                <c:pt idx="0">
                  <c:v>Exactitud NTC 5365 Numeral 5.2.7.1 (+) [%]</c:v>
                </c:pt>
              </c:strCache>
            </c:strRef>
          </c:tx>
          <c:val>
            <c:numRef>
              <c:f>'MONOXIDO (CO) 2T'!$E$41:$E$44</c:f>
              <c:numCache>
                <c:formatCode>0.00</c:formatCode>
                <c:ptCount val="4"/>
                <c:pt idx="0">
                  <c:v>0</c:v>
                </c:pt>
                <c:pt idx="1">
                  <c:v>0</c:v>
                </c:pt>
                <c:pt idx="2">
                  <c:v>0</c:v>
                </c:pt>
                <c:pt idx="3">
                  <c:v>0</c:v>
                </c:pt>
              </c:numCache>
            </c:numRef>
          </c:val>
          <c:smooth val="0"/>
          <c:extLst>
            <c:ext xmlns:c16="http://schemas.microsoft.com/office/drawing/2014/chart" uri="{C3380CC4-5D6E-409C-BE32-E72D297353CC}">
              <c16:uniqueId val="{00000003-A82B-4D1C-8D63-FF307A7D993C}"/>
            </c:ext>
          </c:extLst>
        </c:ser>
        <c:ser>
          <c:idx val="4"/>
          <c:order val="3"/>
          <c:tx>
            <c:strRef>
              <c:f>'MONOXIDO (CO) 2T'!$F$40</c:f>
              <c:strCache>
                <c:ptCount val="1"/>
                <c:pt idx="0">
                  <c:v>Exactitud NTC 5365 Numeral 5.2.7.1 (-) [%]</c:v>
                </c:pt>
              </c:strCache>
            </c:strRef>
          </c:tx>
          <c:val>
            <c:numRef>
              <c:f>'MONOXIDO (CO) 2T'!$F$41:$F$44</c:f>
              <c:numCache>
                <c:formatCode>0.00</c:formatCode>
                <c:ptCount val="4"/>
                <c:pt idx="0">
                  <c:v>0</c:v>
                </c:pt>
                <c:pt idx="1">
                  <c:v>0</c:v>
                </c:pt>
                <c:pt idx="2">
                  <c:v>0</c:v>
                </c:pt>
                <c:pt idx="3">
                  <c:v>0</c:v>
                </c:pt>
              </c:numCache>
            </c:numRef>
          </c:val>
          <c:smooth val="0"/>
          <c:extLst>
            <c:ext xmlns:c16="http://schemas.microsoft.com/office/drawing/2014/chart" uri="{C3380CC4-5D6E-409C-BE32-E72D297353CC}">
              <c16:uniqueId val="{00000004-A82B-4D1C-8D63-FF307A7D993C}"/>
            </c:ext>
          </c:extLst>
        </c:ser>
        <c:dLbls>
          <c:showLegendKey val="0"/>
          <c:showVal val="0"/>
          <c:showCatName val="0"/>
          <c:showSerName val="0"/>
          <c:showPercent val="0"/>
          <c:showBubbleSize val="0"/>
        </c:dLbls>
        <c:marker val="1"/>
        <c:smooth val="0"/>
        <c:axId val="407780200"/>
        <c:axId val="407780984"/>
      </c:lineChart>
      <c:catAx>
        <c:axId val="407780200"/>
        <c:scaling>
          <c:orientation val="minMax"/>
        </c:scaling>
        <c:delete val="0"/>
        <c:axPos val="b"/>
        <c:numFmt formatCode="General" sourceLinked="1"/>
        <c:majorTickMark val="none"/>
        <c:minorTickMark val="none"/>
        <c:tickLblPos val="nextTo"/>
        <c:crossAx val="407780984"/>
        <c:crosses val="autoZero"/>
        <c:auto val="1"/>
        <c:lblAlgn val="ctr"/>
        <c:lblOffset val="100"/>
        <c:noMultiLvlLbl val="0"/>
      </c:catAx>
      <c:valAx>
        <c:axId val="407780984"/>
        <c:scaling>
          <c:orientation val="minMax"/>
        </c:scaling>
        <c:delete val="0"/>
        <c:axPos val="l"/>
        <c:majorGridlines/>
        <c:title>
          <c:overlay val="0"/>
        </c:title>
        <c:numFmt formatCode="0.000" sourceLinked="1"/>
        <c:majorTickMark val="none"/>
        <c:minorTickMark val="none"/>
        <c:tickLblPos val="nextTo"/>
        <c:crossAx val="407780200"/>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'MONOXIDO (CO) 2T'!$C$83</c:f>
              <c:strCache>
                <c:ptCount val="1"/>
                <c:pt idx="0">
                  <c:v>REPETIBILIDAD  CAL 2</c:v>
                </c:pt>
              </c:strCache>
            </c:strRef>
          </c:tx>
          <c:val>
            <c:numRef>
              <c:f>'MONOXIDO (CO) 2T'!$C$84:$C$87</c:f>
              <c:numCache>
                <c:formatCode>0.000</c:formatCode>
                <c:ptCount val="4"/>
                <c:pt idx="0">
                  <c:v>0</c:v>
                </c:pt>
                <c:pt idx="1">
                  <c:v>0</c:v>
                </c:pt>
                <c:pt idx="2">
                  <c:v>0</c:v>
                </c:pt>
                <c:pt idx="3">
                  <c:v>0</c:v>
                </c:pt>
              </c:numCache>
            </c:numRef>
          </c:val>
          <c:smooth val="0"/>
          <c:extLst>
            <c:ext xmlns:c16="http://schemas.microsoft.com/office/drawing/2014/chart" uri="{C3380CC4-5D6E-409C-BE32-E72D297353CC}">
              <c16:uniqueId val="{00000000-C772-4A3F-B82F-90440CD02379}"/>
            </c:ext>
          </c:extLst>
        </c:ser>
        <c:ser>
          <c:idx val="1"/>
          <c:order val="1"/>
          <c:tx>
            <c:strRef>
              <c:f>'MONOXIDO (CO) 2T'!$D$83</c:f>
              <c:strCache>
                <c:ptCount val="1"/>
                <c:pt idx="0">
                  <c:v>Repetibilidad NTC 4983 Numeral 5.2.7.1 (+) [%]</c:v>
                </c:pt>
              </c:strCache>
            </c:strRef>
          </c:tx>
          <c:val>
            <c:numRef>
              <c:f>'MONOXIDO (CO) 2T'!$D$84:$D$87</c:f>
              <c:numCache>
                <c:formatCode>0.00</c:formatCode>
                <c:ptCount val="4"/>
                <c:pt idx="0">
                  <c:v>0</c:v>
                </c:pt>
                <c:pt idx="1">
                  <c:v>0</c:v>
                </c:pt>
                <c:pt idx="2">
                  <c:v>0</c:v>
                </c:pt>
                <c:pt idx="3">
                  <c:v>0</c:v>
                </c:pt>
              </c:numCache>
            </c:numRef>
          </c:val>
          <c:smooth val="0"/>
          <c:extLst>
            <c:ext xmlns:c16="http://schemas.microsoft.com/office/drawing/2014/chart" uri="{C3380CC4-5D6E-409C-BE32-E72D297353CC}">
              <c16:uniqueId val="{00000001-C772-4A3F-B82F-90440CD02379}"/>
            </c:ext>
          </c:extLst>
        </c:ser>
        <c:dLbls>
          <c:showLegendKey val="0"/>
          <c:showVal val="0"/>
          <c:showCatName val="0"/>
          <c:showSerName val="0"/>
          <c:showPercent val="0"/>
          <c:showBubbleSize val="0"/>
        </c:dLbls>
        <c:marker val="1"/>
        <c:smooth val="0"/>
        <c:axId val="244763632"/>
        <c:axId val="14232720"/>
      </c:lineChart>
      <c:catAx>
        <c:axId val="244763632"/>
        <c:scaling>
          <c:orientation val="minMax"/>
        </c:scaling>
        <c:delete val="0"/>
        <c:axPos val="b"/>
        <c:numFmt formatCode="General" sourceLinked="1"/>
        <c:majorTickMark val="none"/>
        <c:minorTickMark val="none"/>
        <c:tickLblPos val="nextTo"/>
        <c:crossAx val="14232720"/>
        <c:crosses val="autoZero"/>
        <c:auto val="1"/>
        <c:lblAlgn val="ctr"/>
        <c:lblOffset val="100"/>
        <c:noMultiLvlLbl val="0"/>
      </c:catAx>
      <c:valAx>
        <c:axId val="14232720"/>
        <c:scaling>
          <c:orientation val="minMax"/>
        </c:scaling>
        <c:delete val="0"/>
        <c:axPos val="l"/>
        <c:majorGridlines/>
        <c:title>
          <c:overlay val="0"/>
        </c:title>
        <c:numFmt formatCode="0.000" sourceLinked="1"/>
        <c:majorTickMark val="none"/>
        <c:minorTickMark val="none"/>
        <c:tickLblPos val="nextTo"/>
        <c:crossAx val="244763632"/>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'MONOXIDO (CO) 2T'!$C$64</c:f>
              <c:strCache>
                <c:ptCount val="1"/>
                <c:pt idx="0">
                  <c:v>RUIDO CAL 2</c:v>
                </c:pt>
              </c:strCache>
            </c:strRef>
          </c:tx>
          <c:val>
            <c:numRef>
              <c:f>'MONOXIDO (CO) 2T'!$C$65:$C$68</c:f>
              <c:numCache>
                <c:formatCode>0.000</c:formatCode>
                <c:ptCount val="4"/>
                <c:pt idx="0">
                  <c:v>0</c:v>
                </c:pt>
                <c:pt idx="1">
                  <c:v>0</c:v>
                </c:pt>
                <c:pt idx="2">
                  <c:v>0</c:v>
                </c:pt>
                <c:pt idx="3">
                  <c:v>0</c:v>
                </c:pt>
              </c:numCache>
            </c:numRef>
          </c:val>
          <c:smooth val="0"/>
          <c:extLst>
            <c:ext xmlns:c16="http://schemas.microsoft.com/office/drawing/2014/chart" uri="{C3380CC4-5D6E-409C-BE32-E72D297353CC}">
              <c16:uniqueId val="{00000000-50CB-4B64-ADF5-471150FE04FB}"/>
            </c:ext>
          </c:extLst>
        </c:ser>
        <c:ser>
          <c:idx val="1"/>
          <c:order val="1"/>
          <c:tx>
            <c:strRef>
              <c:f>'MONOXIDO (CO) 2T'!$D$64</c:f>
              <c:strCache>
                <c:ptCount val="1"/>
                <c:pt idx="0">
                  <c:v>Ruido NTC 4983 Numeral 5.2.7.1 (+) [%]</c:v>
                </c:pt>
              </c:strCache>
            </c:strRef>
          </c:tx>
          <c:val>
            <c:numRef>
              <c:f>'MONOXIDO (CO) 2T'!$D$65:$D$68</c:f>
              <c:numCache>
                <c:formatCode>0.00</c:formatCode>
                <c:ptCount val="4"/>
                <c:pt idx="0">
                  <c:v>0</c:v>
                </c:pt>
                <c:pt idx="1">
                  <c:v>0</c:v>
                </c:pt>
                <c:pt idx="2">
                  <c:v>0</c:v>
                </c:pt>
                <c:pt idx="3">
                  <c:v>0</c:v>
                </c:pt>
              </c:numCache>
            </c:numRef>
          </c:val>
          <c:smooth val="0"/>
          <c:extLst>
            <c:ext xmlns:c16="http://schemas.microsoft.com/office/drawing/2014/chart" uri="{C3380CC4-5D6E-409C-BE32-E72D297353CC}">
              <c16:uniqueId val="{00000001-50CB-4B64-ADF5-471150FE04FB}"/>
            </c:ext>
          </c:extLst>
        </c:ser>
        <c:dLbls>
          <c:showLegendKey val="0"/>
          <c:showVal val="0"/>
          <c:showCatName val="0"/>
          <c:showSerName val="0"/>
          <c:showPercent val="0"/>
          <c:showBubbleSize val="0"/>
        </c:dLbls>
        <c:marker val="1"/>
        <c:smooth val="0"/>
        <c:axId val="244763632"/>
        <c:axId val="14232720"/>
      </c:lineChart>
      <c:catAx>
        <c:axId val="244763632"/>
        <c:scaling>
          <c:orientation val="minMax"/>
        </c:scaling>
        <c:delete val="0"/>
        <c:axPos val="b"/>
        <c:numFmt formatCode="General" sourceLinked="1"/>
        <c:majorTickMark val="none"/>
        <c:minorTickMark val="none"/>
        <c:tickLblPos val="nextTo"/>
        <c:crossAx val="14232720"/>
        <c:crosses val="autoZero"/>
        <c:auto val="1"/>
        <c:lblAlgn val="ctr"/>
        <c:lblOffset val="100"/>
        <c:noMultiLvlLbl val="0"/>
      </c:catAx>
      <c:valAx>
        <c:axId val="14232720"/>
        <c:scaling>
          <c:orientation val="minMax"/>
        </c:scaling>
        <c:delete val="0"/>
        <c:axPos val="l"/>
        <c:majorGridlines/>
        <c:title>
          <c:overlay val="0"/>
        </c:title>
        <c:numFmt formatCode="0.000" sourceLinked="1"/>
        <c:majorTickMark val="none"/>
        <c:minorTickMark val="none"/>
        <c:tickLblPos val="nextTo"/>
        <c:crossAx val="244763632"/>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'DIOXIDO (CO2) 2T'!$C$40</c:f>
              <c:strCache>
                <c:ptCount val="1"/>
                <c:pt idx="0">
                  <c:v>ERROR + U EXPANDIDA CAL 2 [%]</c:v>
                </c:pt>
              </c:strCache>
            </c:strRef>
          </c:tx>
          <c:val>
            <c:numRef>
              <c:f>'DIOXIDO (CO2) 2T'!$C$41:$C$44</c:f>
              <c:numCache>
                <c:formatCode>0.000</c:formatCode>
                <c:ptCount val="4"/>
                <c:pt idx="0">
                  <c:v>0</c:v>
                </c:pt>
                <c:pt idx="1">
                  <c:v>0</c:v>
                </c:pt>
                <c:pt idx="2">
                  <c:v>0</c:v>
                </c:pt>
                <c:pt idx="3">
                  <c:v>0</c:v>
                </c:pt>
              </c:numCache>
            </c:numRef>
          </c:val>
          <c:smooth val="0"/>
          <c:extLst>
            <c:ext xmlns:c16="http://schemas.microsoft.com/office/drawing/2014/chart" uri="{C3380CC4-5D6E-409C-BE32-E72D297353CC}">
              <c16:uniqueId val="{00000000-53BE-43B0-A18E-12C26FC2E969}"/>
            </c:ext>
          </c:extLst>
        </c:ser>
        <c:ser>
          <c:idx val="1"/>
          <c:order val="1"/>
          <c:tx>
            <c:strRef>
              <c:f>'DIOXIDO (CO2) 2T'!$D$40</c:f>
              <c:strCache>
                <c:ptCount val="1"/>
                <c:pt idx="0">
                  <c:v>ERROR - U EXPANDIDA CAL 2 [%]</c:v>
                </c:pt>
              </c:strCache>
            </c:strRef>
          </c:tx>
          <c:val>
            <c:numRef>
              <c:f>'DIOXIDO (CO2) 2T'!$D$41:$D$44</c:f>
              <c:numCache>
                <c:formatCode>0.000</c:formatCode>
                <c:ptCount val="4"/>
                <c:pt idx="0">
                  <c:v>0</c:v>
                </c:pt>
                <c:pt idx="1">
                  <c:v>0</c:v>
                </c:pt>
                <c:pt idx="2">
                  <c:v>0</c:v>
                </c:pt>
                <c:pt idx="3">
                  <c:v>0</c:v>
                </c:pt>
              </c:numCache>
            </c:numRef>
          </c:val>
          <c:smooth val="0"/>
          <c:extLst>
            <c:ext xmlns:c16="http://schemas.microsoft.com/office/drawing/2014/chart" uri="{C3380CC4-5D6E-409C-BE32-E72D297353CC}">
              <c16:uniqueId val="{00000001-53BE-43B0-A18E-12C26FC2E969}"/>
            </c:ext>
          </c:extLst>
        </c:ser>
        <c:ser>
          <c:idx val="2"/>
          <c:order val="2"/>
          <c:tx>
            <c:strRef>
              <c:f>'DIOXIDO (CO2) 2T'!$E$40</c:f>
              <c:strCache>
                <c:ptCount val="1"/>
                <c:pt idx="0">
                  <c:v>Exactitud NTC 5365 Numeral 5.2.7.1 (+) [%]</c:v>
                </c:pt>
              </c:strCache>
            </c:strRef>
          </c:tx>
          <c:val>
            <c:numRef>
              <c:f>'DIOXIDO (CO2) 2T'!$E$41:$E$44</c:f>
              <c:numCache>
                <c:formatCode>0.00</c:formatCode>
                <c:ptCount val="4"/>
                <c:pt idx="0">
                  <c:v>0</c:v>
                </c:pt>
                <c:pt idx="1">
                  <c:v>0</c:v>
                </c:pt>
                <c:pt idx="2">
                  <c:v>0</c:v>
                </c:pt>
                <c:pt idx="3">
                  <c:v>0</c:v>
                </c:pt>
              </c:numCache>
            </c:numRef>
          </c:val>
          <c:smooth val="0"/>
          <c:extLst>
            <c:ext xmlns:c16="http://schemas.microsoft.com/office/drawing/2014/chart" uri="{C3380CC4-5D6E-409C-BE32-E72D297353CC}">
              <c16:uniqueId val="{00000002-53BE-43B0-A18E-12C26FC2E969}"/>
            </c:ext>
          </c:extLst>
        </c:ser>
        <c:ser>
          <c:idx val="3"/>
          <c:order val="3"/>
          <c:tx>
            <c:strRef>
              <c:f>'DIOXIDO (CO2) 2T'!$F$40</c:f>
              <c:strCache>
                <c:ptCount val="1"/>
                <c:pt idx="0">
                  <c:v>Exactitud NTC 5365 Numeral 5.2.7.1 (-) [%]</c:v>
                </c:pt>
              </c:strCache>
            </c:strRef>
          </c:tx>
          <c:val>
            <c:numRef>
              <c:f>'DIOXIDO (CO2) 2T'!$F$41:$F$44</c:f>
              <c:numCache>
                <c:formatCode>0.00</c:formatCode>
                <c:ptCount val="4"/>
                <c:pt idx="0">
                  <c:v>0</c:v>
                </c:pt>
                <c:pt idx="1">
                  <c:v>0</c:v>
                </c:pt>
                <c:pt idx="2">
                  <c:v>0</c:v>
                </c:pt>
                <c:pt idx="3">
                  <c:v>0</c:v>
                </c:pt>
              </c:numCache>
            </c:numRef>
          </c:val>
          <c:smooth val="0"/>
          <c:extLst>
            <c:ext xmlns:c16="http://schemas.microsoft.com/office/drawing/2014/chart" uri="{C3380CC4-5D6E-409C-BE32-E72D297353CC}">
              <c16:uniqueId val="{00000003-53BE-43B0-A18E-12C26FC2E969}"/>
            </c:ext>
          </c:extLst>
        </c:ser>
        <c:dLbls>
          <c:showLegendKey val="0"/>
          <c:showVal val="0"/>
          <c:showCatName val="0"/>
          <c:showSerName val="0"/>
          <c:showPercent val="0"/>
          <c:showBubbleSize val="0"/>
        </c:dLbls>
        <c:marker val="1"/>
        <c:smooth val="0"/>
        <c:axId val="407781768"/>
        <c:axId val="405118520"/>
      </c:lineChart>
      <c:catAx>
        <c:axId val="407781768"/>
        <c:scaling>
          <c:orientation val="minMax"/>
        </c:scaling>
        <c:delete val="0"/>
        <c:axPos val="b"/>
        <c:numFmt formatCode="General" sourceLinked="1"/>
        <c:majorTickMark val="none"/>
        <c:minorTickMark val="none"/>
        <c:tickLblPos val="nextTo"/>
        <c:crossAx val="405118520"/>
        <c:crosses val="autoZero"/>
        <c:auto val="1"/>
        <c:lblAlgn val="ctr"/>
        <c:lblOffset val="100"/>
        <c:noMultiLvlLbl val="0"/>
      </c:catAx>
      <c:valAx>
        <c:axId val="405118520"/>
        <c:scaling>
          <c:orientation val="minMax"/>
        </c:scaling>
        <c:delete val="0"/>
        <c:axPos val="l"/>
        <c:majorGridlines/>
        <c:title>
          <c:overlay val="0"/>
        </c:title>
        <c:numFmt formatCode="0.000" sourceLinked="1"/>
        <c:majorTickMark val="none"/>
        <c:minorTickMark val="none"/>
        <c:tickLblPos val="nextTo"/>
        <c:crossAx val="407781768"/>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3"/>
          <c:order val="0"/>
          <c:tx>
            <c:strRef>
              <c:f>'DIOXIDO (CO2) 2T'!$D$82</c:f>
              <c:strCache>
                <c:ptCount val="1"/>
                <c:pt idx="0">
                  <c:v>REPETIBILIDAD  CAL 2</c:v>
                </c:pt>
              </c:strCache>
            </c:strRef>
          </c:tx>
          <c:val>
            <c:numRef>
              <c:f>'DIOXIDO (CO2) 2T'!$D$83:$D$86</c:f>
              <c:numCache>
                <c:formatCode>0.000</c:formatCode>
                <c:ptCount val="4"/>
                <c:pt idx="0">
                  <c:v>0</c:v>
                </c:pt>
                <c:pt idx="1">
                  <c:v>0</c:v>
                </c:pt>
                <c:pt idx="2">
                  <c:v>0</c:v>
                </c:pt>
                <c:pt idx="3">
                  <c:v>0</c:v>
                </c:pt>
              </c:numCache>
            </c:numRef>
          </c:val>
          <c:smooth val="0"/>
          <c:extLst>
            <c:ext xmlns:c16="http://schemas.microsoft.com/office/drawing/2014/chart" uri="{C3380CC4-5D6E-409C-BE32-E72D297353CC}">
              <c16:uniqueId val="{00000000-9B25-451D-8F8F-64613E5900EE}"/>
            </c:ext>
          </c:extLst>
        </c:ser>
        <c:ser>
          <c:idx val="4"/>
          <c:order val="1"/>
          <c:tx>
            <c:strRef>
              <c:f>'DIOXIDO (CO2) 2T'!$E$82</c:f>
              <c:strCache>
                <c:ptCount val="1"/>
                <c:pt idx="0">
                  <c:v>Ruido NTC 4983 Numeral 5.2.7.1 (+) [%]</c:v>
                </c:pt>
              </c:strCache>
            </c:strRef>
          </c:tx>
          <c:val>
            <c:numRef>
              <c:f>'DIOXIDO (CO2) 2T'!$E$83:$E$86</c:f>
              <c:numCache>
                <c:formatCode>0.00</c:formatCode>
                <c:ptCount val="4"/>
                <c:pt idx="0">
                  <c:v>0</c:v>
                </c:pt>
                <c:pt idx="1">
                  <c:v>0</c:v>
                </c:pt>
                <c:pt idx="2">
                  <c:v>0</c:v>
                </c:pt>
                <c:pt idx="3">
                  <c:v>0</c:v>
                </c:pt>
              </c:numCache>
            </c:numRef>
          </c:val>
          <c:smooth val="0"/>
          <c:extLst>
            <c:ext xmlns:c16="http://schemas.microsoft.com/office/drawing/2014/chart" uri="{C3380CC4-5D6E-409C-BE32-E72D297353CC}">
              <c16:uniqueId val="{00000001-9B25-451D-8F8F-64613E5900EE}"/>
            </c:ext>
          </c:extLst>
        </c:ser>
        <c:dLbls>
          <c:showLegendKey val="0"/>
          <c:showVal val="0"/>
          <c:showCatName val="0"/>
          <c:showSerName val="0"/>
          <c:showPercent val="0"/>
          <c:showBubbleSize val="0"/>
        </c:dLbls>
        <c:marker val="1"/>
        <c:smooth val="0"/>
        <c:axId val="244763632"/>
        <c:axId val="14232720"/>
      </c:lineChart>
      <c:catAx>
        <c:axId val="244763632"/>
        <c:scaling>
          <c:orientation val="minMax"/>
        </c:scaling>
        <c:delete val="0"/>
        <c:axPos val="b"/>
        <c:numFmt formatCode="General" sourceLinked="1"/>
        <c:majorTickMark val="none"/>
        <c:minorTickMark val="none"/>
        <c:tickLblPos val="nextTo"/>
        <c:crossAx val="14232720"/>
        <c:crosses val="autoZero"/>
        <c:auto val="1"/>
        <c:lblAlgn val="ctr"/>
        <c:lblOffset val="100"/>
        <c:noMultiLvlLbl val="0"/>
      </c:catAx>
      <c:valAx>
        <c:axId val="14232720"/>
        <c:scaling>
          <c:orientation val="minMax"/>
        </c:scaling>
        <c:delete val="0"/>
        <c:axPos val="l"/>
        <c:majorGridlines/>
        <c:title>
          <c:overlay val="0"/>
        </c:title>
        <c:numFmt formatCode="0.000" sourceLinked="1"/>
        <c:majorTickMark val="none"/>
        <c:minorTickMark val="none"/>
        <c:tickLblPos val="nextTo"/>
        <c:crossAx val="244763632"/>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3"/>
          <c:order val="0"/>
          <c:tx>
            <c:strRef>
              <c:f>'DIOXIDO (CO2) 2T'!$D$64</c:f>
              <c:strCache>
                <c:ptCount val="1"/>
                <c:pt idx="0">
                  <c:v>RUIDO CAL 2</c:v>
                </c:pt>
              </c:strCache>
            </c:strRef>
          </c:tx>
          <c:val>
            <c:numRef>
              <c:f>'DIOXIDO (CO2) 2T'!$D$65:$D$68</c:f>
              <c:numCache>
                <c:formatCode>0.000</c:formatCode>
                <c:ptCount val="4"/>
                <c:pt idx="0">
                  <c:v>0</c:v>
                </c:pt>
                <c:pt idx="1">
                  <c:v>0</c:v>
                </c:pt>
                <c:pt idx="2">
                  <c:v>0</c:v>
                </c:pt>
                <c:pt idx="3">
                  <c:v>0</c:v>
                </c:pt>
              </c:numCache>
            </c:numRef>
          </c:val>
          <c:smooth val="0"/>
          <c:extLst>
            <c:ext xmlns:c16="http://schemas.microsoft.com/office/drawing/2014/chart" uri="{C3380CC4-5D6E-409C-BE32-E72D297353CC}">
              <c16:uniqueId val="{00000000-BAC5-4BEA-B7AF-BE7D0D31CC49}"/>
            </c:ext>
          </c:extLst>
        </c:ser>
        <c:ser>
          <c:idx val="4"/>
          <c:order val="1"/>
          <c:tx>
            <c:strRef>
              <c:f>'DIOXIDO (CO2) 2T'!$E$64</c:f>
              <c:strCache>
                <c:ptCount val="1"/>
                <c:pt idx="0">
                  <c:v>Ruido NTC 4983 Numeral 5.2.7.1 (+) [%]</c:v>
                </c:pt>
              </c:strCache>
            </c:strRef>
          </c:tx>
          <c:val>
            <c:numRef>
              <c:f>'DIOXIDO (CO2) 2T'!$E$65:$E$68</c:f>
              <c:numCache>
                <c:formatCode>0.00</c:formatCode>
                <c:ptCount val="4"/>
                <c:pt idx="0">
                  <c:v>0</c:v>
                </c:pt>
                <c:pt idx="1">
                  <c:v>0</c:v>
                </c:pt>
                <c:pt idx="2">
                  <c:v>0</c:v>
                </c:pt>
                <c:pt idx="3">
                  <c:v>0</c:v>
                </c:pt>
              </c:numCache>
            </c:numRef>
          </c:val>
          <c:smooth val="0"/>
          <c:extLst>
            <c:ext xmlns:c16="http://schemas.microsoft.com/office/drawing/2014/chart" uri="{C3380CC4-5D6E-409C-BE32-E72D297353CC}">
              <c16:uniqueId val="{00000001-BAC5-4BEA-B7AF-BE7D0D31CC49}"/>
            </c:ext>
          </c:extLst>
        </c:ser>
        <c:dLbls>
          <c:showLegendKey val="0"/>
          <c:showVal val="0"/>
          <c:showCatName val="0"/>
          <c:showSerName val="0"/>
          <c:showPercent val="0"/>
          <c:showBubbleSize val="0"/>
        </c:dLbls>
        <c:marker val="1"/>
        <c:smooth val="0"/>
        <c:axId val="244763632"/>
        <c:axId val="14232720"/>
      </c:lineChart>
      <c:catAx>
        <c:axId val="244763632"/>
        <c:scaling>
          <c:orientation val="minMax"/>
        </c:scaling>
        <c:delete val="0"/>
        <c:axPos val="b"/>
        <c:numFmt formatCode="General" sourceLinked="1"/>
        <c:majorTickMark val="none"/>
        <c:minorTickMark val="none"/>
        <c:tickLblPos val="nextTo"/>
        <c:crossAx val="14232720"/>
        <c:crosses val="autoZero"/>
        <c:auto val="1"/>
        <c:lblAlgn val="ctr"/>
        <c:lblOffset val="100"/>
        <c:noMultiLvlLbl val="0"/>
      </c:catAx>
      <c:valAx>
        <c:axId val="14232720"/>
        <c:scaling>
          <c:orientation val="minMax"/>
        </c:scaling>
        <c:delete val="0"/>
        <c:axPos val="l"/>
        <c:majorGridlines/>
        <c:title>
          <c:overlay val="0"/>
        </c:title>
        <c:numFmt formatCode="0.000" sourceLinked="1"/>
        <c:majorTickMark val="none"/>
        <c:minorTickMark val="none"/>
        <c:tickLblPos val="nextTo"/>
        <c:crossAx val="244763632"/>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'DIOXIDO (CO2)  '!$C$69</c:f>
              <c:strCache>
                <c:ptCount val="1"/>
                <c:pt idx="0">
                  <c:v>RUIDO CAL 2</c:v>
                </c:pt>
              </c:strCache>
            </c:strRef>
          </c:tx>
          <c:val>
            <c:numRef>
              <c:f>'DIOXIDO (CO2)  '!$C$70:$C$73</c:f>
              <c:numCache>
                <c:formatCode>0.000</c:formatCode>
                <c:ptCount val="4"/>
                <c:pt idx="0">
                  <c:v>0</c:v>
                </c:pt>
                <c:pt idx="1">
                  <c:v>0</c:v>
                </c:pt>
                <c:pt idx="2">
                  <c:v>0</c:v>
                </c:pt>
                <c:pt idx="3">
                  <c:v>0</c:v>
                </c:pt>
              </c:numCache>
            </c:numRef>
          </c:val>
          <c:smooth val="0"/>
          <c:extLst>
            <c:ext xmlns:c16="http://schemas.microsoft.com/office/drawing/2014/chart" uri="{C3380CC4-5D6E-409C-BE32-E72D297353CC}">
              <c16:uniqueId val="{00000009-E586-438F-A4DE-C83EB2D020A5}"/>
            </c:ext>
          </c:extLst>
        </c:ser>
        <c:ser>
          <c:idx val="1"/>
          <c:order val="1"/>
          <c:tx>
            <c:strRef>
              <c:f>'DIOXIDO (CO2)  '!$D$69</c:f>
              <c:strCache>
                <c:ptCount val="1"/>
                <c:pt idx="0">
                  <c:v>Ruido NTC 4983 Numeral 5.2.7.1 (+) [%]</c:v>
                </c:pt>
              </c:strCache>
            </c:strRef>
          </c:tx>
          <c:val>
            <c:numRef>
              <c:f>'DIOXIDO (CO2)  '!$D$70:$D$73</c:f>
              <c:numCache>
                <c:formatCode>0.00</c:formatCode>
                <c:ptCount val="4"/>
                <c:pt idx="0">
                  <c:v>0.2</c:v>
                </c:pt>
                <c:pt idx="1">
                  <c:v>0.2</c:v>
                </c:pt>
                <c:pt idx="2">
                  <c:v>0.2</c:v>
                </c:pt>
                <c:pt idx="3">
                  <c:v>0.2</c:v>
                </c:pt>
              </c:numCache>
            </c:numRef>
          </c:val>
          <c:smooth val="0"/>
          <c:extLst>
            <c:ext xmlns:c16="http://schemas.microsoft.com/office/drawing/2014/chart" uri="{C3380CC4-5D6E-409C-BE32-E72D297353CC}">
              <c16:uniqueId val="{0000000A-E586-438F-A4DE-C83EB2D020A5}"/>
            </c:ext>
          </c:extLst>
        </c:ser>
        <c:dLbls>
          <c:showLegendKey val="0"/>
          <c:showVal val="0"/>
          <c:showCatName val="0"/>
          <c:showSerName val="0"/>
          <c:showPercent val="0"/>
          <c:showBubbleSize val="0"/>
        </c:dLbls>
        <c:marker val="1"/>
        <c:smooth val="0"/>
        <c:axId val="244763632"/>
        <c:axId val="14232720"/>
      </c:lineChart>
      <c:catAx>
        <c:axId val="244763632"/>
        <c:scaling>
          <c:orientation val="minMax"/>
        </c:scaling>
        <c:delete val="0"/>
        <c:axPos val="b"/>
        <c:numFmt formatCode="General" sourceLinked="1"/>
        <c:majorTickMark val="none"/>
        <c:minorTickMark val="none"/>
        <c:tickLblPos val="nextTo"/>
        <c:crossAx val="14232720"/>
        <c:crosses val="autoZero"/>
        <c:auto val="1"/>
        <c:lblAlgn val="ctr"/>
        <c:lblOffset val="100"/>
        <c:noMultiLvlLbl val="0"/>
      </c:catAx>
      <c:valAx>
        <c:axId val="14232720"/>
        <c:scaling>
          <c:orientation val="minMax"/>
        </c:scaling>
        <c:delete val="0"/>
        <c:axPos val="l"/>
        <c:majorGridlines/>
        <c:title>
          <c:overlay val="0"/>
        </c:title>
        <c:numFmt formatCode="0.000" sourceLinked="1"/>
        <c:majorTickMark val="none"/>
        <c:minorTickMark val="none"/>
        <c:tickLblPos val="nextTo"/>
        <c:crossAx val="244763632"/>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'HIDROCARBUROS (HC) 2T '!$C$39</c:f>
              <c:strCache>
                <c:ptCount val="1"/>
                <c:pt idx="0">
                  <c:v>ERROR + U EXPANDIDA CAL 2 [%]</c:v>
                </c:pt>
              </c:strCache>
            </c:strRef>
          </c:tx>
          <c:val>
            <c:numRef>
              <c:f>'HIDROCARBUROS (HC) 2T '!$C$40:$C$43</c:f>
              <c:numCache>
                <c:formatCode>0.000</c:formatCode>
                <c:ptCount val="4"/>
                <c:pt idx="0">
                  <c:v>0</c:v>
                </c:pt>
                <c:pt idx="1">
                  <c:v>0</c:v>
                </c:pt>
                <c:pt idx="2">
                  <c:v>0</c:v>
                </c:pt>
                <c:pt idx="3">
                  <c:v>0</c:v>
                </c:pt>
              </c:numCache>
            </c:numRef>
          </c:val>
          <c:smooth val="0"/>
          <c:extLst>
            <c:ext xmlns:c16="http://schemas.microsoft.com/office/drawing/2014/chart" uri="{C3380CC4-5D6E-409C-BE32-E72D297353CC}">
              <c16:uniqueId val="{00000000-B5CF-45D2-B966-AB056BD16954}"/>
            </c:ext>
          </c:extLst>
        </c:ser>
        <c:ser>
          <c:idx val="1"/>
          <c:order val="1"/>
          <c:tx>
            <c:strRef>
              <c:f>'HIDROCARBUROS (HC) 2T '!$D$39</c:f>
              <c:strCache>
                <c:ptCount val="1"/>
                <c:pt idx="0">
                  <c:v>ERROR - U EXPANDIDA CAL 2 [%]</c:v>
                </c:pt>
              </c:strCache>
            </c:strRef>
          </c:tx>
          <c:val>
            <c:numRef>
              <c:f>'HIDROCARBUROS (HC) 2T '!$D$40:$D$43</c:f>
              <c:numCache>
                <c:formatCode>0.000</c:formatCode>
                <c:ptCount val="4"/>
                <c:pt idx="0">
                  <c:v>0</c:v>
                </c:pt>
                <c:pt idx="1">
                  <c:v>0</c:v>
                </c:pt>
                <c:pt idx="2">
                  <c:v>0</c:v>
                </c:pt>
                <c:pt idx="3">
                  <c:v>0</c:v>
                </c:pt>
              </c:numCache>
            </c:numRef>
          </c:val>
          <c:smooth val="0"/>
          <c:extLst>
            <c:ext xmlns:c16="http://schemas.microsoft.com/office/drawing/2014/chart" uri="{C3380CC4-5D6E-409C-BE32-E72D297353CC}">
              <c16:uniqueId val="{00000001-B5CF-45D2-B966-AB056BD16954}"/>
            </c:ext>
          </c:extLst>
        </c:ser>
        <c:ser>
          <c:idx val="2"/>
          <c:order val="2"/>
          <c:tx>
            <c:strRef>
              <c:f>'HIDROCARBUROS (HC) 2T '!$E$39</c:f>
              <c:strCache>
                <c:ptCount val="1"/>
                <c:pt idx="0">
                  <c:v>Exactitud NTC 5365 Numeral 5.2.7.1 (+) [%]</c:v>
                </c:pt>
              </c:strCache>
            </c:strRef>
          </c:tx>
          <c:val>
            <c:numRef>
              <c:f>'HIDROCARBUROS (HC) 2T '!$E$40:$E$43</c:f>
              <c:numCache>
                <c:formatCode>0.00</c:formatCode>
                <c:ptCount val="4"/>
                <c:pt idx="0">
                  <c:v>0</c:v>
                </c:pt>
                <c:pt idx="1">
                  <c:v>0</c:v>
                </c:pt>
                <c:pt idx="2">
                  <c:v>0</c:v>
                </c:pt>
                <c:pt idx="3">
                  <c:v>0</c:v>
                </c:pt>
              </c:numCache>
            </c:numRef>
          </c:val>
          <c:smooth val="0"/>
          <c:extLst>
            <c:ext xmlns:c16="http://schemas.microsoft.com/office/drawing/2014/chart" uri="{C3380CC4-5D6E-409C-BE32-E72D297353CC}">
              <c16:uniqueId val="{00000002-B5CF-45D2-B966-AB056BD16954}"/>
            </c:ext>
          </c:extLst>
        </c:ser>
        <c:ser>
          <c:idx val="3"/>
          <c:order val="3"/>
          <c:tx>
            <c:strRef>
              <c:f>'HIDROCARBUROS (HC) 2T '!$F$39</c:f>
              <c:strCache>
                <c:ptCount val="1"/>
                <c:pt idx="0">
                  <c:v>Exactitud NTC 5365 Numeral 5.2.7.1 (-) [%]</c:v>
                </c:pt>
              </c:strCache>
            </c:strRef>
          </c:tx>
          <c:val>
            <c:numRef>
              <c:f>'HIDROCARBUROS (HC) 2T '!$F$40:$F$43</c:f>
              <c:numCache>
                <c:formatCode>0.00</c:formatCode>
                <c:ptCount val="4"/>
                <c:pt idx="0">
                  <c:v>0</c:v>
                </c:pt>
                <c:pt idx="1">
                  <c:v>0</c:v>
                </c:pt>
                <c:pt idx="2">
                  <c:v>0</c:v>
                </c:pt>
                <c:pt idx="3">
                  <c:v>0</c:v>
                </c:pt>
              </c:numCache>
            </c:numRef>
          </c:val>
          <c:smooth val="0"/>
          <c:extLst>
            <c:ext xmlns:c16="http://schemas.microsoft.com/office/drawing/2014/chart" uri="{C3380CC4-5D6E-409C-BE32-E72D297353CC}">
              <c16:uniqueId val="{00000003-B5CF-45D2-B966-AB056BD16954}"/>
            </c:ext>
          </c:extLst>
        </c:ser>
        <c:dLbls>
          <c:showLegendKey val="0"/>
          <c:showVal val="0"/>
          <c:showCatName val="0"/>
          <c:showSerName val="0"/>
          <c:showPercent val="0"/>
          <c:showBubbleSize val="0"/>
        </c:dLbls>
        <c:marker val="1"/>
        <c:smooth val="0"/>
        <c:axId val="414184712"/>
        <c:axId val="414185104"/>
      </c:lineChart>
      <c:catAx>
        <c:axId val="414184712"/>
        <c:scaling>
          <c:orientation val="minMax"/>
        </c:scaling>
        <c:delete val="0"/>
        <c:axPos val="b"/>
        <c:numFmt formatCode="General" sourceLinked="1"/>
        <c:majorTickMark val="none"/>
        <c:minorTickMark val="none"/>
        <c:tickLblPos val="nextTo"/>
        <c:crossAx val="414185104"/>
        <c:crosses val="autoZero"/>
        <c:auto val="1"/>
        <c:lblAlgn val="ctr"/>
        <c:lblOffset val="100"/>
        <c:noMultiLvlLbl val="0"/>
      </c:catAx>
      <c:valAx>
        <c:axId val="414185104"/>
        <c:scaling>
          <c:orientation val="minMax"/>
        </c:scaling>
        <c:delete val="0"/>
        <c:axPos val="l"/>
        <c:majorGridlines/>
        <c:title>
          <c:overlay val="0"/>
        </c:title>
        <c:numFmt formatCode="0.000" sourceLinked="1"/>
        <c:majorTickMark val="none"/>
        <c:minorTickMark val="none"/>
        <c:tickLblPos val="nextTo"/>
        <c:crossAx val="414184712"/>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'HIDROCARBUROS (HC) 2T '!$D$64</c:f>
              <c:strCache>
                <c:ptCount val="1"/>
                <c:pt idx="0">
                  <c:v>RUIDO CAL 2</c:v>
                </c:pt>
              </c:strCache>
            </c:strRef>
          </c:tx>
          <c:val>
            <c:numRef>
              <c:f>'HIDROCARBUROS (HC) 2T '!$D$65:$D$68</c:f>
              <c:numCache>
                <c:formatCode>0.000</c:formatCode>
                <c:ptCount val="4"/>
                <c:pt idx="0">
                  <c:v>0</c:v>
                </c:pt>
                <c:pt idx="1">
                  <c:v>0</c:v>
                </c:pt>
                <c:pt idx="2">
                  <c:v>0</c:v>
                </c:pt>
                <c:pt idx="3">
                  <c:v>0</c:v>
                </c:pt>
              </c:numCache>
            </c:numRef>
          </c:val>
          <c:smooth val="0"/>
          <c:extLst>
            <c:ext xmlns:c16="http://schemas.microsoft.com/office/drawing/2014/chart" uri="{C3380CC4-5D6E-409C-BE32-E72D297353CC}">
              <c16:uniqueId val="{0000000C-2DC0-46E5-BBA2-8D7C08C03F8E}"/>
            </c:ext>
          </c:extLst>
        </c:ser>
        <c:ser>
          <c:idx val="1"/>
          <c:order val="1"/>
          <c:tx>
            <c:strRef>
              <c:f>'HIDROCARBUROS (HC) 2T '!$E$64</c:f>
              <c:strCache>
                <c:ptCount val="1"/>
                <c:pt idx="0">
                  <c:v>Ruido NTC 4983 Numeral 5.2.7.1 (+) [%]</c:v>
                </c:pt>
              </c:strCache>
            </c:strRef>
          </c:tx>
          <c:val>
            <c:numRef>
              <c:f>'HIDROCARBUROS (HC) 2T '!$E$65:$E$68</c:f>
              <c:numCache>
                <c:formatCode>0.00</c:formatCode>
                <c:ptCount val="4"/>
                <c:pt idx="0">
                  <c:v>0</c:v>
                </c:pt>
                <c:pt idx="1">
                  <c:v>0</c:v>
                </c:pt>
                <c:pt idx="2">
                  <c:v>0</c:v>
                </c:pt>
                <c:pt idx="3">
                  <c:v>0</c:v>
                </c:pt>
              </c:numCache>
            </c:numRef>
          </c:val>
          <c:smooth val="0"/>
          <c:extLst>
            <c:ext xmlns:c16="http://schemas.microsoft.com/office/drawing/2014/chart" uri="{C3380CC4-5D6E-409C-BE32-E72D297353CC}">
              <c16:uniqueId val="{0000000D-2DC0-46E5-BBA2-8D7C08C03F8E}"/>
            </c:ext>
          </c:extLst>
        </c:ser>
        <c:dLbls>
          <c:showLegendKey val="0"/>
          <c:showVal val="0"/>
          <c:showCatName val="0"/>
          <c:showSerName val="0"/>
          <c:showPercent val="0"/>
          <c:showBubbleSize val="0"/>
        </c:dLbls>
        <c:marker val="1"/>
        <c:smooth val="0"/>
        <c:axId val="244763632"/>
        <c:axId val="14232720"/>
      </c:lineChart>
      <c:catAx>
        <c:axId val="244763632"/>
        <c:scaling>
          <c:orientation val="minMax"/>
        </c:scaling>
        <c:delete val="0"/>
        <c:axPos val="b"/>
        <c:numFmt formatCode="General" sourceLinked="1"/>
        <c:majorTickMark val="none"/>
        <c:minorTickMark val="none"/>
        <c:tickLblPos val="nextTo"/>
        <c:crossAx val="14232720"/>
        <c:crosses val="autoZero"/>
        <c:auto val="1"/>
        <c:lblAlgn val="ctr"/>
        <c:lblOffset val="100"/>
        <c:noMultiLvlLbl val="0"/>
      </c:catAx>
      <c:valAx>
        <c:axId val="14232720"/>
        <c:scaling>
          <c:orientation val="minMax"/>
        </c:scaling>
        <c:delete val="0"/>
        <c:axPos val="l"/>
        <c:majorGridlines/>
        <c:title>
          <c:overlay val="0"/>
        </c:title>
        <c:numFmt formatCode="0.000" sourceLinked="1"/>
        <c:majorTickMark val="none"/>
        <c:minorTickMark val="none"/>
        <c:tickLblPos val="nextTo"/>
        <c:crossAx val="244763632"/>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3"/>
          <c:order val="0"/>
          <c:tx>
            <c:strRef>
              <c:f>'HIDROCARBUROS (HC) 2T '!$D$81</c:f>
              <c:strCache>
                <c:ptCount val="1"/>
                <c:pt idx="0">
                  <c:v>REPETIBILIDAD  CAL 2</c:v>
                </c:pt>
              </c:strCache>
            </c:strRef>
          </c:tx>
          <c:val>
            <c:numRef>
              <c:f>'HIDROCARBUROS (HC) 2T '!$D$82:$D$85</c:f>
              <c:numCache>
                <c:formatCode>0.000</c:formatCode>
                <c:ptCount val="4"/>
                <c:pt idx="0">
                  <c:v>0</c:v>
                </c:pt>
                <c:pt idx="1">
                  <c:v>0</c:v>
                </c:pt>
                <c:pt idx="2">
                  <c:v>0</c:v>
                </c:pt>
                <c:pt idx="3">
                  <c:v>0</c:v>
                </c:pt>
              </c:numCache>
            </c:numRef>
          </c:val>
          <c:smooth val="0"/>
          <c:extLst>
            <c:ext xmlns:c16="http://schemas.microsoft.com/office/drawing/2014/chart" uri="{C3380CC4-5D6E-409C-BE32-E72D297353CC}">
              <c16:uniqueId val="{00000000-B8D3-4336-AC7B-76FC4A4E440F}"/>
            </c:ext>
          </c:extLst>
        </c:ser>
        <c:ser>
          <c:idx val="4"/>
          <c:order val="1"/>
          <c:tx>
            <c:strRef>
              <c:f>'HIDROCARBUROS (HC) 2T '!$E$81</c:f>
              <c:strCache>
                <c:ptCount val="1"/>
                <c:pt idx="0">
                  <c:v>Ruido NTC 4983 Numeral 5.2.7.1 (+) [%]</c:v>
                </c:pt>
              </c:strCache>
            </c:strRef>
          </c:tx>
          <c:val>
            <c:numRef>
              <c:f>'HIDROCARBUROS (HC) 2T '!$E$82:$E$85</c:f>
              <c:numCache>
                <c:formatCode>0.00</c:formatCode>
                <c:ptCount val="4"/>
                <c:pt idx="0">
                  <c:v>0</c:v>
                </c:pt>
                <c:pt idx="1">
                  <c:v>0</c:v>
                </c:pt>
                <c:pt idx="2">
                  <c:v>0</c:v>
                </c:pt>
                <c:pt idx="3">
                  <c:v>0</c:v>
                </c:pt>
              </c:numCache>
            </c:numRef>
          </c:val>
          <c:smooth val="0"/>
          <c:extLst>
            <c:ext xmlns:c16="http://schemas.microsoft.com/office/drawing/2014/chart" uri="{C3380CC4-5D6E-409C-BE32-E72D297353CC}">
              <c16:uniqueId val="{00000001-B8D3-4336-AC7B-76FC4A4E440F}"/>
            </c:ext>
          </c:extLst>
        </c:ser>
        <c:dLbls>
          <c:showLegendKey val="0"/>
          <c:showVal val="0"/>
          <c:showCatName val="0"/>
          <c:showSerName val="0"/>
          <c:showPercent val="0"/>
          <c:showBubbleSize val="0"/>
        </c:dLbls>
        <c:marker val="1"/>
        <c:smooth val="0"/>
        <c:axId val="244763632"/>
        <c:axId val="14232720"/>
      </c:lineChart>
      <c:catAx>
        <c:axId val="244763632"/>
        <c:scaling>
          <c:orientation val="minMax"/>
        </c:scaling>
        <c:delete val="0"/>
        <c:axPos val="b"/>
        <c:numFmt formatCode="General" sourceLinked="1"/>
        <c:majorTickMark val="none"/>
        <c:minorTickMark val="none"/>
        <c:tickLblPos val="nextTo"/>
        <c:crossAx val="14232720"/>
        <c:crosses val="autoZero"/>
        <c:auto val="1"/>
        <c:lblAlgn val="ctr"/>
        <c:lblOffset val="100"/>
        <c:noMultiLvlLbl val="0"/>
      </c:catAx>
      <c:valAx>
        <c:axId val="14232720"/>
        <c:scaling>
          <c:orientation val="minMax"/>
        </c:scaling>
        <c:delete val="0"/>
        <c:axPos val="l"/>
        <c:majorGridlines/>
        <c:title>
          <c:overlay val="0"/>
        </c:title>
        <c:numFmt formatCode="0.000" sourceLinked="1"/>
        <c:majorTickMark val="none"/>
        <c:minorTickMark val="none"/>
        <c:tickLblPos val="nextTo"/>
        <c:crossAx val="244763632"/>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'OXIGENO (O2) 2T'!$C$39</c:f>
              <c:strCache>
                <c:ptCount val="1"/>
                <c:pt idx="0">
                  <c:v>ERROR + U EXPANDIDA CAL 2 [%]</c:v>
                </c:pt>
              </c:strCache>
            </c:strRef>
          </c:tx>
          <c:val>
            <c:numRef>
              <c:f>'OXIGENO (O2) 2T'!$C$40:$C$43</c:f>
              <c:numCache>
                <c:formatCode>0.000</c:formatCode>
                <c:ptCount val="4"/>
                <c:pt idx="0">
                  <c:v>0</c:v>
                </c:pt>
                <c:pt idx="1">
                  <c:v>0</c:v>
                </c:pt>
                <c:pt idx="2">
                  <c:v>0</c:v>
                </c:pt>
                <c:pt idx="3">
                  <c:v>0</c:v>
                </c:pt>
              </c:numCache>
            </c:numRef>
          </c:val>
          <c:smooth val="0"/>
          <c:extLst>
            <c:ext xmlns:c16="http://schemas.microsoft.com/office/drawing/2014/chart" uri="{C3380CC4-5D6E-409C-BE32-E72D297353CC}">
              <c16:uniqueId val="{00000000-064F-4CE2-ACFD-4A870A2C04E2}"/>
            </c:ext>
          </c:extLst>
        </c:ser>
        <c:ser>
          <c:idx val="1"/>
          <c:order val="1"/>
          <c:tx>
            <c:strRef>
              <c:f>'OXIGENO (O2) 2T'!$D$39</c:f>
              <c:strCache>
                <c:ptCount val="1"/>
                <c:pt idx="0">
                  <c:v>ERROR - U EXPANDIDA CAL 2 [%]</c:v>
                </c:pt>
              </c:strCache>
            </c:strRef>
          </c:tx>
          <c:val>
            <c:numRef>
              <c:f>'OXIGENO (O2) 2T'!$D$40:$D$43</c:f>
              <c:numCache>
                <c:formatCode>0.000</c:formatCode>
                <c:ptCount val="4"/>
                <c:pt idx="0">
                  <c:v>0</c:v>
                </c:pt>
                <c:pt idx="1">
                  <c:v>0</c:v>
                </c:pt>
                <c:pt idx="2">
                  <c:v>0</c:v>
                </c:pt>
                <c:pt idx="3">
                  <c:v>0</c:v>
                </c:pt>
              </c:numCache>
            </c:numRef>
          </c:val>
          <c:smooth val="0"/>
          <c:extLst>
            <c:ext xmlns:c16="http://schemas.microsoft.com/office/drawing/2014/chart" uri="{C3380CC4-5D6E-409C-BE32-E72D297353CC}">
              <c16:uniqueId val="{00000001-064F-4CE2-ACFD-4A870A2C04E2}"/>
            </c:ext>
          </c:extLst>
        </c:ser>
        <c:ser>
          <c:idx val="2"/>
          <c:order val="2"/>
          <c:tx>
            <c:strRef>
              <c:f>'OXIGENO (O2) 2T'!$E$39</c:f>
              <c:strCache>
                <c:ptCount val="1"/>
                <c:pt idx="0">
                  <c:v>Exactitud NTC 5365 Numeral 5.2.7.1 (+) [%]</c:v>
                </c:pt>
              </c:strCache>
            </c:strRef>
          </c:tx>
          <c:val>
            <c:numRef>
              <c:f>'OXIGENO (O2) 2T'!$E$40:$E$43</c:f>
              <c:numCache>
                <c:formatCode>0.00</c:formatCode>
                <c:ptCount val="4"/>
                <c:pt idx="0">
                  <c:v>0</c:v>
                </c:pt>
                <c:pt idx="1">
                  <c:v>0</c:v>
                </c:pt>
                <c:pt idx="2">
                  <c:v>0</c:v>
                </c:pt>
                <c:pt idx="3">
                  <c:v>0</c:v>
                </c:pt>
              </c:numCache>
            </c:numRef>
          </c:val>
          <c:smooth val="0"/>
          <c:extLst>
            <c:ext xmlns:c16="http://schemas.microsoft.com/office/drawing/2014/chart" uri="{C3380CC4-5D6E-409C-BE32-E72D297353CC}">
              <c16:uniqueId val="{00000002-064F-4CE2-ACFD-4A870A2C04E2}"/>
            </c:ext>
          </c:extLst>
        </c:ser>
        <c:ser>
          <c:idx val="3"/>
          <c:order val="3"/>
          <c:tx>
            <c:strRef>
              <c:f>'OXIGENO (O2) 2T'!$F$39</c:f>
              <c:strCache>
                <c:ptCount val="1"/>
                <c:pt idx="0">
                  <c:v>Exactitud NTC 5365 Numeral 5.2.7.1 (-) [%]</c:v>
                </c:pt>
              </c:strCache>
            </c:strRef>
          </c:tx>
          <c:val>
            <c:numRef>
              <c:f>'OXIGENO (O2) 2T'!$F$40:$F$43</c:f>
              <c:numCache>
                <c:formatCode>0.00</c:formatCode>
                <c:ptCount val="4"/>
                <c:pt idx="0">
                  <c:v>0</c:v>
                </c:pt>
                <c:pt idx="1">
                  <c:v>0</c:v>
                </c:pt>
                <c:pt idx="2">
                  <c:v>0</c:v>
                </c:pt>
                <c:pt idx="3">
                  <c:v>0</c:v>
                </c:pt>
              </c:numCache>
            </c:numRef>
          </c:val>
          <c:smooth val="0"/>
          <c:extLst>
            <c:ext xmlns:c16="http://schemas.microsoft.com/office/drawing/2014/chart" uri="{C3380CC4-5D6E-409C-BE32-E72D297353CC}">
              <c16:uniqueId val="{00000003-064F-4CE2-ACFD-4A870A2C04E2}"/>
            </c:ext>
          </c:extLst>
        </c:ser>
        <c:dLbls>
          <c:showLegendKey val="0"/>
          <c:showVal val="0"/>
          <c:showCatName val="0"/>
          <c:showSerName val="0"/>
          <c:showPercent val="0"/>
          <c:showBubbleSize val="0"/>
        </c:dLbls>
        <c:marker val="1"/>
        <c:smooth val="0"/>
        <c:axId val="414185888"/>
        <c:axId val="414186280"/>
      </c:lineChart>
      <c:catAx>
        <c:axId val="414185888"/>
        <c:scaling>
          <c:orientation val="minMax"/>
        </c:scaling>
        <c:delete val="0"/>
        <c:axPos val="b"/>
        <c:numFmt formatCode="General" sourceLinked="1"/>
        <c:majorTickMark val="none"/>
        <c:minorTickMark val="none"/>
        <c:tickLblPos val="nextTo"/>
        <c:crossAx val="414186280"/>
        <c:crosses val="autoZero"/>
        <c:auto val="1"/>
        <c:lblAlgn val="ctr"/>
        <c:lblOffset val="100"/>
        <c:noMultiLvlLbl val="0"/>
      </c:catAx>
      <c:valAx>
        <c:axId val="414186280"/>
        <c:scaling>
          <c:orientation val="minMax"/>
        </c:scaling>
        <c:delete val="0"/>
        <c:axPos val="l"/>
        <c:majorGridlines/>
        <c:title>
          <c:overlay val="0"/>
        </c:title>
        <c:numFmt formatCode="0.000" sourceLinked="1"/>
        <c:majorTickMark val="none"/>
        <c:minorTickMark val="none"/>
        <c:tickLblPos val="nextTo"/>
        <c:crossAx val="414185888"/>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3"/>
          <c:order val="0"/>
          <c:tx>
            <c:strRef>
              <c:f>'OXIGENO (O2) 2T'!$D$64</c:f>
              <c:strCache>
                <c:ptCount val="1"/>
                <c:pt idx="0">
                  <c:v>RUIDO CAL 2</c:v>
                </c:pt>
              </c:strCache>
            </c:strRef>
          </c:tx>
          <c:val>
            <c:numRef>
              <c:f>'OXIGENO (O2) 2T'!$D$65:$D$68</c:f>
              <c:numCache>
                <c:formatCode>0.000</c:formatCode>
                <c:ptCount val="4"/>
                <c:pt idx="0">
                  <c:v>0</c:v>
                </c:pt>
                <c:pt idx="1">
                  <c:v>0</c:v>
                </c:pt>
                <c:pt idx="2">
                  <c:v>0</c:v>
                </c:pt>
                <c:pt idx="3">
                  <c:v>0</c:v>
                </c:pt>
              </c:numCache>
            </c:numRef>
          </c:val>
          <c:smooth val="0"/>
          <c:extLst>
            <c:ext xmlns:c16="http://schemas.microsoft.com/office/drawing/2014/chart" uri="{C3380CC4-5D6E-409C-BE32-E72D297353CC}">
              <c16:uniqueId val="{0000000C-8F8B-403B-8862-EEF26DD4CE4F}"/>
            </c:ext>
          </c:extLst>
        </c:ser>
        <c:ser>
          <c:idx val="4"/>
          <c:order val="1"/>
          <c:tx>
            <c:strRef>
              <c:f>'OXIGENO (O2) 2T'!$E$64</c:f>
              <c:strCache>
                <c:ptCount val="1"/>
                <c:pt idx="0">
                  <c:v>Ruido NTC 4983 Numeral 5.2.7.1 (+) [%]</c:v>
                </c:pt>
              </c:strCache>
            </c:strRef>
          </c:tx>
          <c:val>
            <c:numRef>
              <c:f>'OXIGENO (O2) 2T'!$E$65:$E$68</c:f>
              <c:numCache>
                <c:formatCode>0.00</c:formatCode>
                <c:ptCount val="4"/>
                <c:pt idx="0">
                  <c:v>0</c:v>
                </c:pt>
                <c:pt idx="1">
                  <c:v>0</c:v>
                </c:pt>
                <c:pt idx="2">
                  <c:v>0</c:v>
                </c:pt>
                <c:pt idx="3">
                  <c:v>0</c:v>
                </c:pt>
              </c:numCache>
            </c:numRef>
          </c:val>
          <c:smooth val="0"/>
          <c:extLst>
            <c:ext xmlns:c16="http://schemas.microsoft.com/office/drawing/2014/chart" uri="{C3380CC4-5D6E-409C-BE32-E72D297353CC}">
              <c16:uniqueId val="{0000000D-8F8B-403B-8862-EEF26DD4CE4F}"/>
            </c:ext>
          </c:extLst>
        </c:ser>
        <c:dLbls>
          <c:showLegendKey val="0"/>
          <c:showVal val="0"/>
          <c:showCatName val="0"/>
          <c:showSerName val="0"/>
          <c:showPercent val="0"/>
          <c:showBubbleSize val="0"/>
        </c:dLbls>
        <c:marker val="1"/>
        <c:smooth val="0"/>
        <c:axId val="244763632"/>
        <c:axId val="14232720"/>
      </c:lineChart>
      <c:catAx>
        <c:axId val="244763632"/>
        <c:scaling>
          <c:orientation val="minMax"/>
        </c:scaling>
        <c:delete val="0"/>
        <c:axPos val="b"/>
        <c:numFmt formatCode="General" sourceLinked="1"/>
        <c:majorTickMark val="none"/>
        <c:minorTickMark val="none"/>
        <c:tickLblPos val="nextTo"/>
        <c:crossAx val="14232720"/>
        <c:crosses val="autoZero"/>
        <c:auto val="1"/>
        <c:lblAlgn val="ctr"/>
        <c:lblOffset val="100"/>
        <c:noMultiLvlLbl val="0"/>
      </c:catAx>
      <c:valAx>
        <c:axId val="14232720"/>
        <c:scaling>
          <c:orientation val="minMax"/>
        </c:scaling>
        <c:delete val="0"/>
        <c:axPos val="l"/>
        <c:majorGridlines/>
        <c:title>
          <c:overlay val="0"/>
        </c:title>
        <c:numFmt formatCode="0.000" sourceLinked="1"/>
        <c:majorTickMark val="none"/>
        <c:minorTickMark val="none"/>
        <c:tickLblPos val="nextTo"/>
        <c:crossAx val="244763632"/>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'OXIGENO (O2) 2T'!$D$83</c:f>
              <c:strCache>
                <c:ptCount val="1"/>
                <c:pt idx="0">
                  <c:v>REPETIBILIDAD  CAL 2</c:v>
                </c:pt>
              </c:strCache>
            </c:strRef>
          </c:tx>
          <c:val>
            <c:numRef>
              <c:f>'OXIGENO (O2) 2T'!$D$84:$D$87</c:f>
              <c:numCache>
                <c:formatCode>0.000</c:formatCode>
                <c:ptCount val="4"/>
                <c:pt idx="0">
                  <c:v>0</c:v>
                </c:pt>
                <c:pt idx="1">
                  <c:v>0</c:v>
                </c:pt>
                <c:pt idx="2">
                  <c:v>0</c:v>
                </c:pt>
                <c:pt idx="3">
                  <c:v>0</c:v>
                </c:pt>
              </c:numCache>
            </c:numRef>
          </c:val>
          <c:smooth val="0"/>
          <c:extLst>
            <c:ext xmlns:c16="http://schemas.microsoft.com/office/drawing/2014/chart" uri="{C3380CC4-5D6E-409C-BE32-E72D297353CC}">
              <c16:uniqueId val="{00000000-2DC9-455A-B15C-EFE9E9980DC1}"/>
            </c:ext>
          </c:extLst>
        </c:ser>
        <c:ser>
          <c:idx val="1"/>
          <c:order val="1"/>
          <c:tx>
            <c:strRef>
              <c:f>'OXIGENO (O2) 2T'!$E$83</c:f>
              <c:strCache>
                <c:ptCount val="1"/>
                <c:pt idx="0">
                  <c:v>Repetibilidad NTC 4983 Numeral 5.2.7.1 (+) [%]</c:v>
                </c:pt>
              </c:strCache>
            </c:strRef>
          </c:tx>
          <c:val>
            <c:numRef>
              <c:f>'OXIGENO (O2) 2T'!$E$84:$E$87</c:f>
              <c:numCache>
                <c:formatCode>0.00</c:formatCode>
                <c:ptCount val="4"/>
                <c:pt idx="0">
                  <c:v>0</c:v>
                </c:pt>
                <c:pt idx="1">
                  <c:v>0</c:v>
                </c:pt>
                <c:pt idx="2">
                  <c:v>0</c:v>
                </c:pt>
                <c:pt idx="3">
                  <c:v>0</c:v>
                </c:pt>
              </c:numCache>
            </c:numRef>
          </c:val>
          <c:smooth val="0"/>
          <c:extLst>
            <c:ext xmlns:c16="http://schemas.microsoft.com/office/drawing/2014/chart" uri="{C3380CC4-5D6E-409C-BE32-E72D297353CC}">
              <c16:uniqueId val="{00000001-2DC9-455A-B15C-EFE9E9980DC1}"/>
            </c:ext>
          </c:extLst>
        </c:ser>
        <c:dLbls>
          <c:showLegendKey val="0"/>
          <c:showVal val="0"/>
          <c:showCatName val="0"/>
          <c:showSerName val="0"/>
          <c:showPercent val="0"/>
          <c:showBubbleSize val="0"/>
        </c:dLbls>
        <c:marker val="1"/>
        <c:smooth val="0"/>
        <c:axId val="244763632"/>
        <c:axId val="14232720"/>
      </c:lineChart>
      <c:catAx>
        <c:axId val="244763632"/>
        <c:scaling>
          <c:orientation val="minMax"/>
        </c:scaling>
        <c:delete val="0"/>
        <c:axPos val="b"/>
        <c:numFmt formatCode="General" sourceLinked="1"/>
        <c:majorTickMark val="none"/>
        <c:minorTickMark val="none"/>
        <c:tickLblPos val="nextTo"/>
        <c:crossAx val="14232720"/>
        <c:crosses val="autoZero"/>
        <c:auto val="1"/>
        <c:lblAlgn val="ctr"/>
        <c:lblOffset val="100"/>
        <c:noMultiLvlLbl val="0"/>
      </c:catAx>
      <c:valAx>
        <c:axId val="14232720"/>
        <c:scaling>
          <c:orientation val="minMax"/>
        </c:scaling>
        <c:delete val="0"/>
        <c:axPos val="l"/>
        <c:majorGridlines/>
        <c:title>
          <c:overlay val="0"/>
        </c:title>
        <c:numFmt formatCode="0.000" sourceLinked="1"/>
        <c:majorTickMark val="none"/>
        <c:minorTickMark val="none"/>
        <c:tickLblPos val="nextTo"/>
        <c:crossAx val="244763632"/>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3"/>
          <c:order val="0"/>
          <c:tx>
            <c:strRef>
              <c:f>'DIOXIDO (CO2)  '!$C$88</c:f>
              <c:strCache>
                <c:ptCount val="1"/>
                <c:pt idx="0">
                  <c:v>REPETIBILIDAD  CAL 2</c:v>
                </c:pt>
              </c:strCache>
            </c:strRef>
          </c:tx>
          <c:val>
            <c:numRef>
              <c:f>'DIOXIDO (CO2)  '!$C$89:$C$96</c:f>
              <c:numCache>
                <c:formatCode>0.000</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0-DDDC-4EFB-AC08-93BE747A6804}"/>
            </c:ext>
          </c:extLst>
        </c:ser>
        <c:ser>
          <c:idx val="4"/>
          <c:order val="1"/>
          <c:tx>
            <c:strRef>
              <c:f>'DIOXIDO (CO2)  '!$D$88</c:f>
              <c:strCache>
                <c:ptCount val="1"/>
                <c:pt idx="0">
                  <c:v>Repetibilidad NTC 4983 Numeral 5.2.7.1 (+) [%]</c:v>
                </c:pt>
              </c:strCache>
            </c:strRef>
          </c:tx>
          <c:val>
            <c:numRef>
              <c:f>'DIOXIDO (CO2)  '!$D$89:$D$96</c:f>
              <c:numCache>
                <c:formatCode>0.00</c:formatCode>
                <c:ptCount val="8"/>
                <c:pt idx="0">
                  <c:v>0.3</c:v>
                </c:pt>
                <c:pt idx="1">
                  <c:v>0.3</c:v>
                </c:pt>
                <c:pt idx="2">
                  <c:v>0.3</c:v>
                </c:pt>
                <c:pt idx="3">
                  <c:v>0.3</c:v>
                </c:pt>
                <c:pt idx="4">
                  <c:v>0.3</c:v>
                </c:pt>
                <c:pt idx="5">
                  <c:v>0.3</c:v>
                </c:pt>
                <c:pt idx="6">
                  <c:v>0.3</c:v>
                </c:pt>
                <c:pt idx="7">
                  <c:v>0.3</c:v>
                </c:pt>
              </c:numCache>
            </c:numRef>
          </c:val>
          <c:smooth val="0"/>
          <c:extLst>
            <c:ext xmlns:c16="http://schemas.microsoft.com/office/drawing/2014/chart" uri="{C3380CC4-5D6E-409C-BE32-E72D297353CC}">
              <c16:uniqueId val="{00000001-DDDC-4EFB-AC08-93BE747A6804}"/>
            </c:ext>
          </c:extLst>
        </c:ser>
        <c:dLbls>
          <c:showLegendKey val="0"/>
          <c:showVal val="0"/>
          <c:showCatName val="0"/>
          <c:showSerName val="0"/>
          <c:showPercent val="0"/>
          <c:showBubbleSize val="0"/>
        </c:dLbls>
        <c:marker val="1"/>
        <c:smooth val="0"/>
        <c:axId val="244763632"/>
        <c:axId val="14232720"/>
      </c:lineChart>
      <c:catAx>
        <c:axId val="244763632"/>
        <c:scaling>
          <c:orientation val="minMax"/>
        </c:scaling>
        <c:delete val="0"/>
        <c:axPos val="b"/>
        <c:numFmt formatCode="General" sourceLinked="1"/>
        <c:majorTickMark val="none"/>
        <c:minorTickMark val="none"/>
        <c:tickLblPos val="nextTo"/>
        <c:crossAx val="14232720"/>
        <c:crosses val="autoZero"/>
        <c:auto val="1"/>
        <c:lblAlgn val="ctr"/>
        <c:lblOffset val="100"/>
        <c:noMultiLvlLbl val="0"/>
      </c:catAx>
      <c:valAx>
        <c:axId val="14232720"/>
        <c:scaling>
          <c:orientation val="minMax"/>
        </c:scaling>
        <c:delete val="0"/>
        <c:axPos val="l"/>
        <c:majorGridlines/>
        <c:title>
          <c:overlay val="0"/>
        </c:title>
        <c:numFmt formatCode="0.000" sourceLinked="1"/>
        <c:majorTickMark val="none"/>
        <c:minorTickMark val="none"/>
        <c:tickLblPos val="nextTo"/>
        <c:crossAx val="244763632"/>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'HIDROCARBUROS (HC) '!$C$39</c:f>
              <c:strCache>
                <c:ptCount val="1"/>
                <c:pt idx="0">
                  <c:v>ERROR + U EXPANDIDA CAL 2 [%]</c:v>
                </c:pt>
              </c:strCache>
            </c:strRef>
          </c:tx>
          <c:val>
            <c:numRef>
              <c:f>'HIDROCARBUROS (HC) '!$C$40:$C$47</c:f>
              <c:numCache>
                <c:formatCode>0.000</c:formatCode>
                <c:ptCount val="8"/>
                <c:pt idx="0">
                  <c:v>3</c:v>
                </c:pt>
                <c:pt idx="1">
                  <c:v>13</c:v>
                </c:pt>
                <c:pt idx="2">
                  <c:v>33</c:v>
                </c:pt>
                <c:pt idx="3">
                  <c:v>0.57999999999999996</c:v>
                </c:pt>
                <c:pt idx="4">
                  <c:v>3.3</c:v>
                </c:pt>
                <c:pt idx="5">
                  <c:v>13</c:v>
                </c:pt>
                <c:pt idx="6">
                  <c:v>33</c:v>
                </c:pt>
                <c:pt idx="7">
                  <c:v>0.57999999999999996</c:v>
                </c:pt>
              </c:numCache>
            </c:numRef>
          </c:val>
          <c:smooth val="0"/>
          <c:extLst>
            <c:ext xmlns:c16="http://schemas.microsoft.com/office/drawing/2014/chart" uri="{C3380CC4-5D6E-409C-BE32-E72D297353CC}">
              <c16:uniqueId val="{00000000-7DFA-470A-A88E-46FB542D9909}"/>
            </c:ext>
          </c:extLst>
        </c:ser>
        <c:ser>
          <c:idx val="1"/>
          <c:order val="1"/>
          <c:tx>
            <c:strRef>
              <c:f>'HIDROCARBUROS (HC) '!$D$39</c:f>
              <c:strCache>
                <c:ptCount val="1"/>
                <c:pt idx="0">
                  <c:v>ERROR - U EXPANDIDA CAL 2 [%]</c:v>
                </c:pt>
              </c:strCache>
            </c:strRef>
          </c:tx>
          <c:val>
            <c:numRef>
              <c:f>'HIDROCARBUROS (HC) '!$D$40:$D$47</c:f>
              <c:numCache>
                <c:formatCode>0.000</c:formatCode>
                <c:ptCount val="8"/>
                <c:pt idx="0">
                  <c:v>-3</c:v>
                </c:pt>
                <c:pt idx="1">
                  <c:v>-13</c:v>
                </c:pt>
                <c:pt idx="2">
                  <c:v>-33</c:v>
                </c:pt>
                <c:pt idx="3">
                  <c:v>-0.57999999999999996</c:v>
                </c:pt>
                <c:pt idx="4">
                  <c:v>-3.3</c:v>
                </c:pt>
                <c:pt idx="5">
                  <c:v>-13</c:v>
                </c:pt>
                <c:pt idx="6">
                  <c:v>-33</c:v>
                </c:pt>
                <c:pt idx="7">
                  <c:v>-0.57999999999999996</c:v>
                </c:pt>
              </c:numCache>
            </c:numRef>
          </c:val>
          <c:smooth val="0"/>
          <c:extLst>
            <c:ext xmlns:c16="http://schemas.microsoft.com/office/drawing/2014/chart" uri="{C3380CC4-5D6E-409C-BE32-E72D297353CC}">
              <c16:uniqueId val="{00000001-7DFA-470A-A88E-46FB542D9909}"/>
            </c:ext>
          </c:extLst>
        </c:ser>
        <c:ser>
          <c:idx val="2"/>
          <c:order val="2"/>
          <c:tx>
            <c:strRef>
              <c:f>'HIDROCARBUROS (HC) '!$E$39</c:f>
              <c:strCache>
                <c:ptCount val="1"/>
                <c:pt idx="0">
                  <c:v>Exactitud NTC 5365 Numeral 5.2.7.1 (+) [%]</c:v>
                </c:pt>
              </c:strCache>
            </c:strRef>
          </c:tx>
          <c:val>
            <c:numRef>
              <c:f>'HIDROCARBUROS (HC) '!$E$40:$E$47</c:f>
              <c:numCache>
                <c:formatCode>0.00</c:formatCode>
                <c:ptCount val="8"/>
                <c:pt idx="0">
                  <c:v>12</c:v>
                </c:pt>
                <c:pt idx="1">
                  <c:v>30</c:v>
                </c:pt>
                <c:pt idx="2">
                  <c:v>80</c:v>
                </c:pt>
                <c:pt idx="3">
                  <c:v>12</c:v>
                </c:pt>
                <c:pt idx="4">
                  <c:v>12</c:v>
                </c:pt>
                <c:pt idx="5">
                  <c:v>30</c:v>
                </c:pt>
                <c:pt idx="6">
                  <c:v>80</c:v>
                </c:pt>
                <c:pt idx="7">
                  <c:v>12</c:v>
                </c:pt>
              </c:numCache>
            </c:numRef>
          </c:val>
          <c:smooth val="0"/>
          <c:extLst>
            <c:ext xmlns:c16="http://schemas.microsoft.com/office/drawing/2014/chart" uri="{C3380CC4-5D6E-409C-BE32-E72D297353CC}">
              <c16:uniqueId val="{00000002-7DFA-470A-A88E-46FB542D9909}"/>
            </c:ext>
          </c:extLst>
        </c:ser>
        <c:ser>
          <c:idx val="3"/>
          <c:order val="3"/>
          <c:tx>
            <c:strRef>
              <c:f>'HIDROCARBUROS (HC) '!$F$39</c:f>
              <c:strCache>
                <c:ptCount val="1"/>
                <c:pt idx="0">
                  <c:v>Exactitud NTC 5365 Numeral 5.2.7.1 (-) [%]</c:v>
                </c:pt>
              </c:strCache>
            </c:strRef>
          </c:tx>
          <c:val>
            <c:numRef>
              <c:f>'HIDROCARBUROS (HC) '!$F$40:$F$47</c:f>
              <c:numCache>
                <c:formatCode>0.00</c:formatCode>
                <c:ptCount val="8"/>
                <c:pt idx="0">
                  <c:v>-12</c:v>
                </c:pt>
                <c:pt idx="1">
                  <c:v>-30</c:v>
                </c:pt>
                <c:pt idx="2">
                  <c:v>-80</c:v>
                </c:pt>
                <c:pt idx="3">
                  <c:v>-12</c:v>
                </c:pt>
                <c:pt idx="4">
                  <c:v>-12</c:v>
                </c:pt>
                <c:pt idx="5">
                  <c:v>-30</c:v>
                </c:pt>
                <c:pt idx="6">
                  <c:v>-80</c:v>
                </c:pt>
                <c:pt idx="7">
                  <c:v>-12</c:v>
                </c:pt>
              </c:numCache>
            </c:numRef>
          </c:val>
          <c:smooth val="0"/>
          <c:extLst>
            <c:ext xmlns:c16="http://schemas.microsoft.com/office/drawing/2014/chart" uri="{C3380CC4-5D6E-409C-BE32-E72D297353CC}">
              <c16:uniqueId val="{00000003-7DFA-470A-A88E-46FB542D9909}"/>
            </c:ext>
          </c:extLst>
        </c:ser>
        <c:dLbls>
          <c:showLegendKey val="0"/>
          <c:showVal val="0"/>
          <c:showCatName val="0"/>
          <c:showSerName val="0"/>
          <c:showPercent val="0"/>
          <c:showBubbleSize val="0"/>
        </c:dLbls>
        <c:marker val="1"/>
        <c:smooth val="0"/>
        <c:axId val="413402528"/>
        <c:axId val="413402920"/>
      </c:lineChart>
      <c:catAx>
        <c:axId val="413402528"/>
        <c:scaling>
          <c:orientation val="minMax"/>
        </c:scaling>
        <c:delete val="0"/>
        <c:axPos val="b"/>
        <c:numFmt formatCode="General" sourceLinked="1"/>
        <c:majorTickMark val="none"/>
        <c:minorTickMark val="none"/>
        <c:tickLblPos val="nextTo"/>
        <c:crossAx val="413402920"/>
        <c:crosses val="autoZero"/>
        <c:auto val="1"/>
        <c:lblAlgn val="ctr"/>
        <c:lblOffset val="100"/>
        <c:noMultiLvlLbl val="0"/>
      </c:catAx>
      <c:valAx>
        <c:axId val="413402920"/>
        <c:scaling>
          <c:orientation val="minMax"/>
        </c:scaling>
        <c:delete val="0"/>
        <c:axPos val="l"/>
        <c:majorGridlines/>
        <c:title>
          <c:overlay val="0"/>
        </c:title>
        <c:numFmt formatCode="0.000" sourceLinked="1"/>
        <c:majorTickMark val="none"/>
        <c:minorTickMark val="none"/>
        <c:tickLblPos val="nextTo"/>
        <c:crossAx val="413402528"/>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0"/>
          <c:order val="0"/>
          <c:tx>
            <c:strRef>
              <c:f>'HIDROCARBUROS (HC) '!$C$88</c:f>
              <c:strCache>
                <c:ptCount val="1"/>
                <c:pt idx="0">
                  <c:v>REPETIBILIDAD  CAL 2</c:v>
                </c:pt>
              </c:strCache>
            </c:strRef>
          </c:tx>
          <c:val>
            <c:numRef>
              <c:f>'HIDROCARBUROS (HC) '!$C$89:$C$96</c:f>
              <c:numCache>
                <c:formatCode>0.000</c:formatCode>
                <c:ptCount val="8"/>
                <c:pt idx="0">
                  <c:v>0</c:v>
                </c:pt>
                <c:pt idx="1">
                  <c:v>0</c:v>
                </c:pt>
                <c:pt idx="2">
                  <c:v>0</c:v>
                </c:pt>
                <c:pt idx="3">
                  <c:v>0</c:v>
                </c:pt>
                <c:pt idx="4">
                  <c:v>0</c:v>
                </c:pt>
                <c:pt idx="5">
                  <c:v>0</c:v>
                </c:pt>
                <c:pt idx="6">
                  <c:v>0</c:v>
                </c:pt>
                <c:pt idx="7">
                  <c:v>0</c:v>
                </c:pt>
              </c:numCache>
            </c:numRef>
          </c:val>
          <c:smooth val="0"/>
          <c:extLst>
            <c:ext xmlns:c16="http://schemas.microsoft.com/office/drawing/2014/chart" uri="{C3380CC4-5D6E-409C-BE32-E72D297353CC}">
              <c16:uniqueId val="{00000000-0E58-4098-B638-D9B7C6D2D4A4}"/>
            </c:ext>
          </c:extLst>
        </c:ser>
        <c:ser>
          <c:idx val="1"/>
          <c:order val="1"/>
          <c:tx>
            <c:strRef>
              <c:f>'HIDROCARBUROS (HC) '!$D$88</c:f>
              <c:strCache>
                <c:ptCount val="1"/>
                <c:pt idx="0">
                  <c:v>Ruido NTC 4983 Numeral 5.2.7.1 (+) [%]</c:v>
                </c:pt>
              </c:strCache>
            </c:strRef>
          </c:tx>
          <c:val>
            <c:numRef>
              <c:f>'HIDROCARBUROS (HC) '!$D$89:$D$96</c:f>
              <c:numCache>
                <c:formatCode>0.00</c:formatCode>
                <c:ptCount val="8"/>
                <c:pt idx="0">
                  <c:v>8</c:v>
                </c:pt>
                <c:pt idx="1">
                  <c:v>15</c:v>
                </c:pt>
                <c:pt idx="2">
                  <c:v>30</c:v>
                </c:pt>
                <c:pt idx="3">
                  <c:v>8</c:v>
                </c:pt>
                <c:pt idx="4">
                  <c:v>8</c:v>
                </c:pt>
                <c:pt idx="5">
                  <c:v>15</c:v>
                </c:pt>
                <c:pt idx="6">
                  <c:v>30</c:v>
                </c:pt>
                <c:pt idx="7">
                  <c:v>8</c:v>
                </c:pt>
              </c:numCache>
            </c:numRef>
          </c:val>
          <c:smooth val="0"/>
          <c:extLst>
            <c:ext xmlns:c16="http://schemas.microsoft.com/office/drawing/2014/chart" uri="{C3380CC4-5D6E-409C-BE32-E72D297353CC}">
              <c16:uniqueId val="{00000001-0E58-4098-B638-D9B7C6D2D4A4}"/>
            </c:ext>
          </c:extLst>
        </c:ser>
        <c:dLbls>
          <c:showLegendKey val="0"/>
          <c:showVal val="0"/>
          <c:showCatName val="0"/>
          <c:showSerName val="0"/>
          <c:showPercent val="0"/>
          <c:showBubbleSize val="0"/>
        </c:dLbls>
        <c:marker val="1"/>
        <c:smooth val="0"/>
        <c:axId val="244763632"/>
        <c:axId val="14232720"/>
      </c:lineChart>
      <c:catAx>
        <c:axId val="244763632"/>
        <c:scaling>
          <c:orientation val="minMax"/>
        </c:scaling>
        <c:delete val="0"/>
        <c:axPos val="b"/>
        <c:numFmt formatCode="General" sourceLinked="1"/>
        <c:majorTickMark val="none"/>
        <c:minorTickMark val="none"/>
        <c:tickLblPos val="nextTo"/>
        <c:crossAx val="14232720"/>
        <c:crosses val="autoZero"/>
        <c:auto val="1"/>
        <c:lblAlgn val="ctr"/>
        <c:lblOffset val="100"/>
        <c:noMultiLvlLbl val="0"/>
      </c:catAx>
      <c:valAx>
        <c:axId val="14232720"/>
        <c:scaling>
          <c:orientation val="minMax"/>
        </c:scaling>
        <c:delete val="0"/>
        <c:axPos val="l"/>
        <c:majorGridlines/>
        <c:title>
          <c:overlay val="0"/>
        </c:title>
        <c:numFmt formatCode="0.000" sourceLinked="1"/>
        <c:majorTickMark val="none"/>
        <c:minorTickMark val="none"/>
        <c:tickLblPos val="nextTo"/>
        <c:crossAx val="244763632"/>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Comportamiento Lecturas</a:t>
            </a:r>
          </a:p>
        </c:rich>
      </c:tx>
      <c:overlay val="0"/>
    </c:title>
    <c:autoTitleDeleted val="0"/>
    <c:plotArea>
      <c:layout/>
      <c:lineChart>
        <c:grouping val="standard"/>
        <c:varyColors val="0"/>
        <c:ser>
          <c:idx val="3"/>
          <c:order val="0"/>
          <c:tx>
            <c:strRef>
              <c:f>'HIDROCARBUROS (HC) '!$C$68</c:f>
              <c:strCache>
                <c:ptCount val="1"/>
                <c:pt idx="0">
                  <c:v>RUIDO CAL 2</c:v>
                </c:pt>
              </c:strCache>
            </c:strRef>
          </c:tx>
          <c:val>
            <c:numRef>
              <c:f>'HIDROCARBUROS (HC) '!$C$69:$C$72</c:f>
              <c:numCache>
                <c:formatCode>0.000</c:formatCode>
                <c:ptCount val="4"/>
                <c:pt idx="0">
                  <c:v>0</c:v>
                </c:pt>
                <c:pt idx="1">
                  <c:v>0</c:v>
                </c:pt>
                <c:pt idx="2">
                  <c:v>0</c:v>
                </c:pt>
                <c:pt idx="3">
                  <c:v>0</c:v>
                </c:pt>
              </c:numCache>
            </c:numRef>
          </c:val>
          <c:smooth val="0"/>
          <c:extLst>
            <c:ext xmlns:c16="http://schemas.microsoft.com/office/drawing/2014/chart" uri="{C3380CC4-5D6E-409C-BE32-E72D297353CC}">
              <c16:uniqueId val="{00000000-3AD6-4C35-A47E-2BE5915C32D0}"/>
            </c:ext>
          </c:extLst>
        </c:ser>
        <c:ser>
          <c:idx val="4"/>
          <c:order val="1"/>
          <c:tx>
            <c:strRef>
              <c:f>'HIDROCARBUROS (HC) '!$D$68</c:f>
              <c:strCache>
                <c:ptCount val="1"/>
                <c:pt idx="0">
                  <c:v>Ruido NTC 4983 Numeral 5.2.7.1 (+) [%]</c:v>
                </c:pt>
              </c:strCache>
            </c:strRef>
          </c:tx>
          <c:val>
            <c:numRef>
              <c:f>'HIDROCARBUROS (HC) '!$D$69:$D$72</c:f>
              <c:numCache>
                <c:formatCode>0.00</c:formatCode>
                <c:ptCount val="4"/>
                <c:pt idx="0">
                  <c:v>6</c:v>
                </c:pt>
                <c:pt idx="1">
                  <c:v>10</c:v>
                </c:pt>
                <c:pt idx="2">
                  <c:v>20</c:v>
                </c:pt>
                <c:pt idx="3">
                  <c:v>6</c:v>
                </c:pt>
              </c:numCache>
            </c:numRef>
          </c:val>
          <c:smooth val="0"/>
          <c:extLst>
            <c:ext xmlns:c16="http://schemas.microsoft.com/office/drawing/2014/chart" uri="{C3380CC4-5D6E-409C-BE32-E72D297353CC}">
              <c16:uniqueId val="{00000001-3AD6-4C35-A47E-2BE5915C32D0}"/>
            </c:ext>
          </c:extLst>
        </c:ser>
        <c:ser>
          <c:idx val="5"/>
          <c:order val="2"/>
          <c:tx>
            <c:strRef>
              <c:f>'HIDROCARBUROS (HC) '!$E$68</c:f>
              <c:strCache>
                <c:ptCount val="1"/>
                <c:pt idx="0">
                  <c:v>CONFORMIDAD DE ACUERDO A NTC 4983 Numeral 5.2.7.
</c:v>
                </c:pt>
              </c:strCache>
            </c:strRef>
          </c:tx>
          <c:val>
            <c:numRef>
              <c:f>'HIDROCARBUROS (HC) '!$E$69:$E$72</c:f>
              <c:numCache>
                <c:formatCode>General</c:formatCode>
                <c:ptCount val="4"/>
                <c:pt idx="0">
                  <c:v>0</c:v>
                </c:pt>
                <c:pt idx="1">
                  <c:v>0</c:v>
                </c:pt>
                <c:pt idx="2">
                  <c:v>0</c:v>
                </c:pt>
                <c:pt idx="3">
                  <c:v>0</c:v>
                </c:pt>
              </c:numCache>
            </c:numRef>
          </c:val>
          <c:smooth val="0"/>
          <c:extLst>
            <c:ext xmlns:c16="http://schemas.microsoft.com/office/drawing/2014/chart" uri="{C3380CC4-5D6E-409C-BE32-E72D297353CC}">
              <c16:uniqueId val="{00000002-3AD6-4C35-A47E-2BE5915C32D0}"/>
            </c:ext>
          </c:extLst>
        </c:ser>
        <c:dLbls>
          <c:showLegendKey val="0"/>
          <c:showVal val="0"/>
          <c:showCatName val="0"/>
          <c:showSerName val="0"/>
          <c:showPercent val="0"/>
          <c:showBubbleSize val="0"/>
        </c:dLbls>
        <c:marker val="1"/>
        <c:smooth val="0"/>
        <c:axId val="244763632"/>
        <c:axId val="14232720"/>
      </c:lineChart>
      <c:catAx>
        <c:axId val="244763632"/>
        <c:scaling>
          <c:orientation val="minMax"/>
        </c:scaling>
        <c:delete val="0"/>
        <c:axPos val="b"/>
        <c:numFmt formatCode="General" sourceLinked="1"/>
        <c:majorTickMark val="none"/>
        <c:minorTickMark val="none"/>
        <c:tickLblPos val="nextTo"/>
        <c:crossAx val="14232720"/>
        <c:crosses val="autoZero"/>
        <c:auto val="1"/>
        <c:lblAlgn val="ctr"/>
        <c:lblOffset val="100"/>
        <c:noMultiLvlLbl val="0"/>
      </c:catAx>
      <c:valAx>
        <c:axId val="14232720"/>
        <c:scaling>
          <c:orientation val="minMax"/>
        </c:scaling>
        <c:delete val="0"/>
        <c:axPos val="l"/>
        <c:majorGridlines/>
        <c:title>
          <c:overlay val="0"/>
        </c:title>
        <c:numFmt formatCode="0.000" sourceLinked="1"/>
        <c:majorTickMark val="none"/>
        <c:minorTickMark val="none"/>
        <c:tickLblPos val="nextTo"/>
        <c:crossAx val="244763632"/>
        <c:crosses val="autoZero"/>
        <c:crossBetween val="between"/>
      </c:valAx>
    </c:plotArea>
    <c:legend>
      <c:legendPos val="r"/>
      <c:overlay val="0"/>
    </c:legend>
    <c:plotVisOnly val="1"/>
    <c:dispBlanksAs val="gap"/>
    <c:showDLblsOverMax val="0"/>
  </c:chart>
  <c:printSettings>
    <c:headerFooter/>
    <c:pageMargins b="0.75000000000000111" l="0.70000000000000062" r="0.70000000000000062" t="0.75000000000000111"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8" Type="http://schemas.openxmlformats.org/officeDocument/2006/relationships/chart" Target="../charts/chart23.xml"/><Relationship Id="rId3" Type="http://schemas.openxmlformats.org/officeDocument/2006/relationships/image" Target="../media/image1.jpeg"/><Relationship Id="rId7" Type="http://schemas.openxmlformats.org/officeDocument/2006/relationships/chart" Target="../charts/chart22.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1.xml"/><Relationship Id="rId5" Type="http://schemas.openxmlformats.org/officeDocument/2006/relationships/chart" Target="../charts/chart20.xml"/><Relationship Id="rId4" Type="http://schemas.openxmlformats.org/officeDocument/2006/relationships/chart" Target="../charts/chart19.xml"/><Relationship Id="rId9" Type="http://schemas.openxmlformats.org/officeDocument/2006/relationships/chart" Target="../charts/chart24.xml"/></Relationships>
</file>

<file path=xl/drawings/_rels/drawing1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6.xml"/><Relationship Id="rId1" Type="http://schemas.openxmlformats.org/officeDocument/2006/relationships/chart" Target="../charts/chart25.xml"/><Relationship Id="rId5" Type="http://schemas.openxmlformats.org/officeDocument/2006/relationships/chart" Target="../charts/chart28.xml"/><Relationship Id="rId4" Type="http://schemas.openxmlformats.org/officeDocument/2006/relationships/chart" Target="../charts/chart27.xml"/></Relationships>
</file>

<file path=xl/drawings/_rels/drawing12.xml.rels><?xml version="1.0" encoding="UTF-8" standalone="yes"?>
<Relationships xmlns="http://schemas.openxmlformats.org/package/2006/relationships"><Relationship Id="rId8" Type="http://schemas.openxmlformats.org/officeDocument/2006/relationships/chart" Target="../charts/chart35.xml"/><Relationship Id="rId3" Type="http://schemas.openxmlformats.org/officeDocument/2006/relationships/image" Target="../media/image1.jpeg"/><Relationship Id="rId7" Type="http://schemas.openxmlformats.org/officeDocument/2006/relationships/chart" Target="../charts/chart34.xml"/><Relationship Id="rId2" Type="http://schemas.openxmlformats.org/officeDocument/2006/relationships/chart" Target="../charts/chart30.xml"/><Relationship Id="rId1" Type="http://schemas.openxmlformats.org/officeDocument/2006/relationships/chart" Target="../charts/chart29.xml"/><Relationship Id="rId6" Type="http://schemas.openxmlformats.org/officeDocument/2006/relationships/chart" Target="../charts/chart33.xml"/><Relationship Id="rId5" Type="http://schemas.openxmlformats.org/officeDocument/2006/relationships/chart" Target="../charts/chart32.xml"/><Relationship Id="rId4" Type="http://schemas.openxmlformats.org/officeDocument/2006/relationships/chart" Target="../charts/chart31.xml"/><Relationship Id="rId9" Type="http://schemas.openxmlformats.org/officeDocument/2006/relationships/chart" Target="../charts/chart36.xml"/></Relationships>
</file>

<file path=xl/drawings/_rels/drawing13.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37.xml"/></Relationships>
</file>

<file path=xl/drawings/_rels/drawing14.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38.xml"/></Relationships>
</file>

<file path=xl/drawings/_rels/drawing15.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39.xml"/></Relationships>
</file>

<file path=xl/drawings/_rels/drawing16.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40.xml"/></Relationships>
</file>

<file path=xl/drawings/_rels/drawing17.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41.xml"/></Relationships>
</file>

<file path=xl/drawings/_rels/drawing18.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42.xml"/></Relationships>
</file>

<file path=xl/drawings/_rels/drawing19.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4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jpeg"/></Relationships>
</file>

<file path=xl/drawings/_rels/drawing20.xml.rels><?xml version="1.0" encoding="UTF-8" standalone="yes"?>
<Relationships xmlns="http://schemas.openxmlformats.org/package/2006/relationships"><Relationship Id="rId3" Type="http://schemas.openxmlformats.org/officeDocument/2006/relationships/chart" Target="../charts/chart46.xml"/><Relationship Id="rId2" Type="http://schemas.openxmlformats.org/officeDocument/2006/relationships/chart" Target="../charts/chart45.xml"/><Relationship Id="rId1" Type="http://schemas.openxmlformats.org/officeDocument/2006/relationships/chart" Target="../charts/chart44.xml"/><Relationship Id="rId4" Type="http://schemas.openxmlformats.org/officeDocument/2006/relationships/image" Target="../media/image1.jpeg"/></Relationships>
</file>

<file path=xl/drawings/_rels/drawing21.xml.rels><?xml version="1.0" encoding="UTF-8" standalone="yes"?>
<Relationships xmlns="http://schemas.openxmlformats.org/package/2006/relationships"><Relationship Id="rId3" Type="http://schemas.openxmlformats.org/officeDocument/2006/relationships/chart" Target="../charts/chart49.xml"/><Relationship Id="rId2" Type="http://schemas.openxmlformats.org/officeDocument/2006/relationships/chart" Target="../charts/chart48.xml"/><Relationship Id="rId1" Type="http://schemas.openxmlformats.org/officeDocument/2006/relationships/chart" Target="../charts/chart47.xml"/><Relationship Id="rId4" Type="http://schemas.openxmlformats.org/officeDocument/2006/relationships/image" Target="../media/image1.jpeg"/></Relationships>
</file>

<file path=xl/drawings/_rels/drawing22.xml.rels><?xml version="1.0" encoding="UTF-8" standalone="yes"?>
<Relationships xmlns="http://schemas.openxmlformats.org/package/2006/relationships"><Relationship Id="rId3" Type="http://schemas.openxmlformats.org/officeDocument/2006/relationships/chart" Target="../charts/chart52.xml"/><Relationship Id="rId2" Type="http://schemas.openxmlformats.org/officeDocument/2006/relationships/chart" Target="../charts/chart51.xml"/><Relationship Id="rId1" Type="http://schemas.openxmlformats.org/officeDocument/2006/relationships/chart" Target="../charts/chart50.xml"/><Relationship Id="rId4" Type="http://schemas.openxmlformats.org/officeDocument/2006/relationships/image" Target="../media/image1.jpeg"/></Relationships>
</file>

<file path=xl/drawings/_rels/drawing23.xml.rels><?xml version="1.0" encoding="UTF-8" standalone="yes"?>
<Relationships xmlns="http://schemas.openxmlformats.org/package/2006/relationships"><Relationship Id="rId3" Type="http://schemas.openxmlformats.org/officeDocument/2006/relationships/chart" Target="../charts/chart55.xml"/><Relationship Id="rId2" Type="http://schemas.openxmlformats.org/officeDocument/2006/relationships/chart" Target="../charts/chart54.xml"/><Relationship Id="rId1" Type="http://schemas.openxmlformats.org/officeDocument/2006/relationships/chart" Target="../charts/chart53.xml"/><Relationship Id="rId4"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image" Target="../media/image1.jpeg"/></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image" Target="../media/image1.jpeg"/></Relationships>
</file>

<file path=xl/drawings/_rels/drawing5.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4" Type="http://schemas.openxmlformats.org/officeDocument/2006/relationships/image" Target="../media/image1.jpeg"/></Relationships>
</file>

<file path=xl/drawings/_rels/drawing6.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3.xml"/></Relationships>
</file>

<file path=xl/drawings/_rels/drawing7.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1</xdr:col>
      <xdr:colOff>54428</xdr:colOff>
      <xdr:row>0</xdr:row>
      <xdr:rowOff>0</xdr:rowOff>
    </xdr:from>
    <xdr:to>
      <xdr:col>45</xdr:col>
      <xdr:colOff>602116</xdr:colOff>
      <xdr:row>5</xdr:row>
      <xdr:rowOff>130968</xdr:rowOff>
    </xdr:to>
    <xdr:grpSp>
      <xdr:nvGrpSpPr>
        <xdr:cNvPr id="2" name="Grupo 1"/>
        <xdr:cNvGrpSpPr>
          <a:grpSpLocks/>
        </xdr:cNvGrpSpPr>
      </xdr:nvGrpSpPr>
      <xdr:grpSpPr bwMode="auto">
        <a:xfrm>
          <a:off x="425903" y="0"/>
          <a:ext cx="53154263" cy="1083468"/>
          <a:chOff x="0" y="0"/>
          <a:chExt cx="6142161" cy="665216"/>
        </a:xfrm>
      </xdr:grpSpPr>
      <xdr:sp macro="" textlink="">
        <xdr:nvSpPr>
          <xdr:cNvPr id="3" name="Rectángulo 2"/>
          <xdr:cNvSpPr/>
        </xdr:nvSpPr>
        <xdr:spPr>
          <a:xfrm>
            <a:off x="0" y="0"/>
            <a:ext cx="3618338"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1600">
                <a:solidFill>
                  <a:srgbClr val="000000"/>
                </a:solidFill>
                <a:effectLst/>
                <a:latin typeface="Arial" panose="020B0604020202020204" pitchFamily="34" charset="0"/>
                <a:ea typeface="Times New Roman" panose="02020603050405020304" pitchFamily="18" charset="0"/>
                <a:cs typeface="Arial" panose="020B0604020202020204" pitchFamily="34" charset="0"/>
              </a:rPr>
              <a:t>ESTIMACIÓN DE FRECUENCIA</a:t>
            </a:r>
            <a:r>
              <a:rPr lang="es-CO" sz="1600" baseline="0">
                <a:solidFill>
                  <a:srgbClr val="000000"/>
                </a:solidFill>
                <a:effectLst/>
                <a:latin typeface="Arial" panose="020B0604020202020204" pitchFamily="34" charset="0"/>
                <a:ea typeface="Times New Roman" panose="02020603050405020304" pitchFamily="18" charset="0"/>
                <a:cs typeface="Arial" panose="020B0604020202020204" pitchFamily="34" charset="0"/>
              </a:rPr>
              <a:t>S DE CALIBRACIÓN</a:t>
            </a:r>
            <a:endParaRPr lang="es-ES" sz="1600">
              <a:effectLst/>
              <a:latin typeface="Arial" panose="020B0604020202020204" pitchFamily="34" charset="0"/>
              <a:ea typeface="Times New Roman" panose="02020603050405020304" pitchFamily="18" charset="0"/>
              <a:cs typeface="Arial" panose="020B0604020202020204" pitchFamily="34" charset="0"/>
            </a:endParaRPr>
          </a:p>
        </xdr:txBody>
      </xdr:sp>
      <xdr:grpSp>
        <xdr:nvGrpSpPr>
          <xdr:cNvPr id="4" name="Grupo 3"/>
          <xdr:cNvGrpSpPr>
            <a:grpSpLocks/>
          </xdr:cNvGrpSpPr>
        </xdr:nvGrpSpPr>
        <xdr:grpSpPr bwMode="auto">
          <a:xfrm>
            <a:off x="3614046" y="0"/>
            <a:ext cx="2528115" cy="665216"/>
            <a:chOff x="-422" y="0"/>
            <a:chExt cx="2528115" cy="665216"/>
          </a:xfrm>
        </xdr:grpSpPr>
        <xdr:sp macro="" textlink="">
          <xdr:nvSpPr>
            <xdr:cNvPr id="5" name="Rectángulo 4"/>
            <xdr:cNvSpPr/>
          </xdr:nvSpPr>
          <xdr:spPr>
            <a:xfrm>
              <a:off x="-422" y="0"/>
              <a:ext cx="1802731" cy="234337"/>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600">
                  <a:solidFill>
                    <a:srgbClr val="000000"/>
                  </a:solidFill>
                  <a:effectLst/>
                  <a:latin typeface="Arial" panose="020B0604020202020204" pitchFamily="34" charset="0"/>
                  <a:ea typeface="Times New Roman" panose="02020603050405020304" pitchFamily="18" charset="0"/>
                  <a:cs typeface="Arial" panose="020B0604020202020204" pitchFamily="34" charset="0"/>
                </a:rPr>
                <a:t>Fecha de </a:t>
              </a:r>
              <a:r>
                <a:rPr lang="es-ES" sz="1600" b="0">
                  <a:solidFill>
                    <a:srgbClr val="000000"/>
                  </a:solidFill>
                  <a:effectLst/>
                  <a:latin typeface="Arial" panose="020B0604020202020204" pitchFamily="34" charset="0"/>
                  <a:ea typeface="Times New Roman" panose="02020603050405020304" pitchFamily="18" charset="0"/>
                  <a:cs typeface="Arial" panose="020B0604020202020204" pitchFamily="34" charset="0"/>
                </a:rPr>
                <a:t>emisión</a:t>
              </a:r>
              <a:r>
                <a:rPr lang="es-ES" sz="1600">
                  <a:solidFill>
                    <a:srgbClr val="000000"/>
                  </a:solidFill>
                  <a:effectLst/>
                  <a:latin typeface="Arial" panose="020B0604020202020204" pitchFamily="34" charset="0"/>
                  <a:ea typeface="Times New Roman" panose="02020603050405020304" pitchFamily="18" charset="0"/>
                  <a:cs typeface="Arial" panose="020B0604020202020204" pitchFamily="34" charset="0"/>
                </a:rPr>
                <a:t>: 2021-02-15</a:t>
              </a:r>
              <a:endParaRPr lang="es-ES" sz="16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6" name="Rectángulo 5"/>
            <xdr:cNvSpPr/>
          </xdr:nvSpPr>
          <xdr:spPr>
            <a:xfrm>
              <a:off x="1802309" y="0"/>
              <a:ext cx="725384"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endParaRPr lang="es-ES" sz="1600">
                <a:latin typeface="Arial" panose="020B0604020202020204" pitchFamily="34" charset="0"/>
                <a:cs typeface="Arial" panose="020B0604020202020204" pitchFamily="34" charset="0"/>
              </a:endParaRPr>
            </a:p>
          </xdr:txBody>
        </xdr:sp>
        <xdr:pic>
          <xdr:nvPicPr>
            <xdr:cNvPr id="7" name="Imagen 6" descr="D:\CENTRO DE INSPECCIÓN TOTAL BOYACÁ\logo\CITB Entregas final_Mesa de trabajo 1 sol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69411" y="0"/>
              <a:ext cx="148793" cy="634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8" name="Rectángulo 7"/>
            <xdr:cNvSpPr/>
          </xdr:nvSpPr>
          <xdr:spPr>
            <a:xfrm>
              <a:off x="-422" y="226778"/>
              <a:ext cx="1802731" cy="219219"/>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600">
                  <a:solidFill>
                    <a:srgbClr val="000000"/>
                  </a:solidFill>
                  <a:effectLst/>
                  <a:latin typeface="Arial" panose="020B0604020202020204" pitchFamily="34" charset="0"/>
                  <a:ea typeface="Times New Roman" panose="02020603050405020304" pitchFamily="18" charset="0"/>
                  <a:cs typeface="Arial" panose="020B0604020202020204" pitchFamily="34" charset="0"/>
                </a:rPr>
                <a:t>Código:</a:t>
              </a:r>
              <a:r>
                <a:rPr lang="es-ES" sz="1600" baseline="0">
                  <a:solidFill>
                    <a:srgbClr val="000000"/>
                  </a:solidFill>
                  <a:effectLst/>
                  <a:latin typeface="Arial" panose="020B0604020202020204" pitchFamily="34" charset="0"/>
                  <a:ea typeface="Times New Roman" panose="02020603050405020304" pitchFamily="18" charset="0"/>
                  <a:cs typeface="Arial" panose="020B0604020202020204" pitchFamily="34" charset="0"/>
                </a:rPr>
                <a:t> CITB.CL.RG</a:t>
              </a:r>
              <a:r>
                <a:rPr lang="es-ES" sz="1600">
                  <a:solidFill>
                    <a:srgbClr val="000000"/>
                  </a:solidFill>
                  <a:effectLst/>
                  <a:latin typeface="Arial" panose="020B0604020202020204" pitchFamily="34" charset="0"/>
                  <a:ea typeface="Times New Roman" panose="02020603050405020304" pitchFamily="18" charset="0"/>
                  <a:cs typeface="Arial" panose="020B0604020202020204" pitchFamily="34" charset="0"/>
                </a:rPr>
                <a:t>.02</a:t>
              </a:r>
              <a:endParaRPr lang="es-ES" sz="16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9" name="Rectángulo 8"/>
            <xdr:cNvSpPr/>
          </xdr:nvSpPr>
          <xdr:spPr>
            <a:xfrm>
              <a:off x="-422" y="438438"/>
              <a:ext cx="1802731" cy="226778"/>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600">
                  <a:solidFill>
                    <a:srgbClr val="000000"/>
                  </a:solidFill>
                  <a:effectLst/>
                  <a:latin typeface="Arial" panose="020B0604020202020204" pitchFamily="34" charset="0"/>
                  <a:ea typeface="Times New Roman" panose="02020603050405020304" pitchFamily="18" charset="0"/>
                  <a:cs typeface="Arial" panose="020B0604020202020204" pitchFamily="34" charset="0"/>
                </a:rPr>
                <a:t>Versión: 03</a:t>
              </a:r>
              <a:endParaRPr lang="es-ES" sz="1600">
                <a:effectLst/>
                <a:latin typeface="Arial" panose="020B0604020202020204" pitchFamily="34" charset="0"/>
                <a:ea typeface="Times New Roman" panose="02020603050405020304" pitchFamily="18" charset="0"/>
                <a:cs typeface="Arial" panose="020B0604020202020204" pitchFamily="34" charset="0"/>
              </a:endParaRPr>
            </a:p>
          </xdr:txBody>
        </xdr:sp>
      </xdr:grpSp>
    </xdr:grp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1</xdr:colOff>
      <xdr:row>46</xdr:row>
      <xdr:rowOff>38100</xdr:rowOff>
    </xdr:from>
    <xdr:to>
      <xdr:col>6</xdr:col>
      <xdr:colOff>742951</xdr:colOff>
      <xdr:row>63</xdr:row>
      <xdr:rowOff>85725</xdr:rowOff>
    </xdr:to>
    <xdr:graphicFrame macro="">
      <xdr:nvGraphicFramePr>
        <xdr:cNvPr id="2"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161925</xdr:colOff>
      <xdr:row>73</xdr:row>
      <xdr:rowOff>0</xdr:rowOff>
    </xdr:from>
    <xdr:to>
      <xdr:col>4</xdr:col>
      <xdr:colOff>1419225</xdr:colOff>
      <xdr:row>84</xdr:row>
      <xdr:rowOff>47626</xdr:rowOff>
    </xdr:to>
    <xdr:graphicFrame macro="">
      <xdr:nvGraphicFramePr>
        <xdr:cNvPr id="3"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50939</xdr:rowOff>
    </xdr:from>
    <xdr:to>
      <xdr:col>7</xdr:col>
      <xdr:colOff>230187</xdr:colOff>
      <xdr:row>5</xdr:row>
      <xdr:rowOff>12839</xdr:rowOff>
    </xdr:to>
    <xdr:grpSp>
      <xdr:nvGrpSpPr>
        <xdr:cNvPr id="4" name="Grupo 3"/>
        <xdr:cNvGrpSpPr>
          <a:grpSpLocks/>
        </xdr:cNvGrpSpPr>
      </xdr:nvGrpSpPr>
      <xdr:grpSpPr bwMode="auto">
        <a:xfrm>
          <a:off x="0" y="50939"/>
          <a:ext cx="7983537" cy="914400"/>
          <a:chOff x="0" y="0"/>
          <a:chExt cx="6142161" cy="665216"/>
        </a:xfrm>
      </xdr:grpSpPr>
      <xdr:sp macro="" textlink="">
        <xdr:nvSpPr>
          <xdr:cNvPr id="5" name="Rectángulo 4"/>
          <xdr:cNvSpPr/>
        </xdr:nvSpPr>
        <xdr:spPr>
          <a:xfrm>
            <a:off x="0" y="0"/>
            <a:ext cx="3618338"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REGISTRO DE CONFIRMACIÓN METROLOGICA</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nvGrpSpPr>
          <xdr:cNvPr id="6" name="Grupo 5"/>
          <xdr:cNvGrpSpPr>
            <a:grpSpLocks/>
          </xdr:cNvGrpSpPr>
        </xdr:nvGrpSpPr>
        <xdr:grpSpPr bwMode="auto">
          <a:xfrm>
            <a:off x="3614046" y="0"/>
            <a:ext cx="2528115" cy="665216"/>
            <a:chOff x="-422" y="0"/>
            <a:chExt cx="2528115" cy="665216"/>
          </a:xfrm>
        </xdr:grpSpPr>
        <xdr:sp macro="" textlink="">
          <xdr:nvSpPr>
            <xdr:cNvPr id="7" name="Rectángulo 6"/>
            <xdr:cNvSpPr/>
          </xdr:nvSpPr>
          <xdr:spPr>
            <a:xfrm>
              <a:off x="-422" y="0"/>
              <a:ext cx="1802731" cy="234337"/>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Fecha de </a:t>
              </a:r>
              <a:r>
                <a:rPr lang="es-ES" sz="1200" b="0">
                  <a:solidFill>
                    <a:srgbClr val="000000"/>
                  </a:solidFill>
                  <a:effectLst/>
                  <a:latin typeface="Arial" panose="020B0604020202020204" pitchFamily="34" charset="0"/>
                  <a:ea typeface="Times New Roman" panose="02020603050405020304" pitchFamily="18" charset="0"/>
                  <a:cs typeface="Arial" panose="020B0604020202020204" pitchFamily="34" charset="0"/>
                </a:rPr>
                <a:t>emisión</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 2019-02-18</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8" name="Rectángulo 7"/>
            <xdr:cNvSpPr/>
          </xdr:nvSpPr>
          <xdr:spPr>
            <a:xfrm>
              <a:off x="1802309" y="0"/>
              <a:ext cx="725384"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endParaRPr lang="es-ES" sz="1200">
                <a:latin typeface="Arial" panose="020B0604020202020204" pitchFamily="34" charset="0"/>
                <a:cs typeface="Arial" panose="020B0604020202020204" pitchFamily="34" charset="0"/>
              </a:endParaRPr>
            </a:p>
          </xdr:txBody>
        </xdr:sp>
        <xdr:pic>
          <xdr:nvPicPr>
            <xdr:cNvPr id="9" name="Imagen 8" descr="D:\CENTRO DE INSPECCIÓN TOTAL BOYACÁ\logo\CITB Entregas final_Mesa de trabajo 1 solo.jp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936978" y="0"/>
              <a:ext cx="508142" cy="634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0" name="Rectángulo 9"/>
            <xdr:cNvSpPr/>
          </xdr:nvSpPr>
          <xdr:spPr>
            <a:xfrm>
              <a:off x="-422" y="226778"/>
              <a:ext cx="1802731" cy="219219"/>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Código:</a:t>
              </a:r>
              <a:r>
                <a:rPr lang="es-ES" sz="1200" baseline="0">
                  <a:solidFill>
                    <a:srgbClr val="000000"/>
                  </a:solidFill>
                  <a:effectLst/>
                  <a:latin typeface="Arial" panose="020B0604020202020204" pitchFamily="34" charset="0"/>
                  <a:ea typeface="Times New Roman" panose="02020603050405020304" pitchFamily="18" charset="0"/>
                  <a:cs typeface="Arial" panose="020B0604020202020204" pitchFamily="34" charset="0"/>
                </a:rPr>
                <a:t> CITB.CL.RG</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.03</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1" name="Rectángulo 10"/>
            <xdr:cNvSpPr/>
          </xdr:nvSpPr>
          <xdr:spPr>
            <a:xfrm>
              <a:off x="-422" y="438438"/>
              <a:ext cx="1802731" cy="226778"/>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Versión: 01</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grpSp>
    <xdr:clientData/>
  </xdr:twoCellAnchor>
  <xdr:twoCellAnchor>
    <xdr:from>
      <xdr:col>0</xdr:col>
      <xdr:colOff>0</xdr:colOff>
      <xdr:row>0</xdr:row>
      <xdr:rowOff>50939</xdr:rowOff>
    </xdr:from>
    <xdr:to>
      <xdr:col>7</xdr:col>
      <xdr:colOff>230187</xdr:colOff>
      <xdr:row>5</xdr:row>
      <xdr:rowOff>12839</xdr:rowOff>
    </xdr:to>
    <xdr:grpSp>
      <xdr:nvGrpSpPr>
        <xdr:cNvPr id="12" name="Grupo 11"/>
        <xdr:cNvGrpSpPr>
          <a:grpSpLocks/>
        </xdr:cNvGrpSpPr>
      </xdr:nvGrpSpPr>
      <xdr:grpSpPr bwMode="auto">
        <a:xfrm>
          <a:off x="0" y="50939"/>
          <a:ext cx="7983537" cy="914400"/>
          <a:chOff x="0" y="0"/>
          <a:chExt cx="6142161" cy="665216"/>
        </a:xfrm>
      </xdr:grpSpPr>
      <xdr:sp macro="" textlink="">
        <xdr:nvSpPr>
          <xdr:cNvPr id="13" name="Rectángulo 12"/>
          <xdr:cNvSpPr/>
        </xdr:nvSpPr>
        <xdr:spPr>
          <a:xfrm>
            <a:off x="0" y="0"/>
            <a:ext cx="3618338"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REGISTRO DE CONFIRMACIÓN METROLOGICA</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nvGrpSpPr>
          <xdr:cNvPr id="14" name="Grupo 13"/>
          <xdr:cNvGrpSpPr>
            <a:grpSpLocks/>
          </xdr:cNvGrpSpPr>
        </xdr:nvGrpSpPr>
        <xdr:grpSpPr bwMode="auto">
          <a:xfrm>
            <a:off x="3614046" y="0"/>
            <a:ext cx="2528115" cy="665216"/>
            <a:chOff x="-422" y="0"/>
            <a:chExt cx="2528115" cy="665216"/>
          </a:xfrm>
        </xdr:grpSpPr>
        <xdr:sp macro="" textlink="">
          <xdr:nvSpPr>
            <xdr:cNvPr id="15" name="Rectángulo 14"/>
            <xdr:cNvSpPr/>
          </xdr:nvSpPr>
          <xdr:spPr>
            <a:xfrm>
              <a:off x="-422" y="0"/>
              <a:ext cx="1802731" cy="234337"/>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Fecha de </a:t>
              </a:r>
              <a:r>
                <a:rPr lang="es-ES" sz="1200" b="0">
                  <a:solidFill>
                    <a:srgbClr val="000000"/>
                  </a:solidFill>
                  <a:effectLst/>
                  <a:latin typeface="Arial" panose="020B0604020202020204" pitchFamily="34" charset="0"/>
                  <a:ea typeface="Times New Roman" panose="02020603050405020304" pitchFamily="18" charset="0"/>
                  <a:cs typeface="Arial" panose="020B0604020202020204" pitchFamily="34" charset="0"/>
                </a:rPr>
                <a:t>emisión</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 2021-02-16</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6" name="Rectángulo 15"/>
            <xdr:cNvSpPr/>
          </xdr:nvSpPr>
          <xdr:spPr>
            <a:xfrm>
              <a:off x="1802309" y="0"/>
              <a:ext cx="725384"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endParaRPr lang="es-ES" sz="1200">
                <a:latin typeface="Arial" panose="020B0604020202020204" pitchFamily="34" charset="0"/>
                <a:cs typeface="Arial" panose="020B0604020202020204" pitchFamily="34" charset="0"/>
              </a:endParaRPr>
            </a:p>
          </xdr:txBody>
        </xdr:sp>
        <xdr:pic>
          <xdr:nvPicPr>
            <xdr:cNvPr id="17" name="Imagen 16" descr="D:\CENTRO DE INSPECCIÓN TOTAL BOYACÁ\logo\CITB Entregas final_Mesa de trabajo 1 solo.jp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936978" y="0"/>
              <a:ext cx="508142" cy="634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8" name="Rectángulo 17"/>
            <xdr:cNvSpPr/>
          </xdr:nvSpPr>
          <xdr:spPr>
            <a:xfrm>
              <a:off x="-422" y="226778"/>
              <a:ext cx="1802731" cy="219219"/>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Código:</a:t>
              </a:r>
              <a:r>
                <a:rPr lang="es-ES" sz="1200" baseline="0">
                  <a:solidFill>
                    <a:srgbClr val="000000"/>
                  </a:solidFill>
                  <a:effectLst/>
                  <a:latin typeface="Arial" panose="020B0604020202020204" pitchFamily="34" charset="0"/>
                  <a:ea typeface="Times New Roman" panose="02020603050405020304" pitchFamily="18" charset="0"/>
                  <a:cs typeface="Arial" panose="020B0604020202020204" pitchFamily="34" charset="0"/>
                </a:rPr>
                <a:t> CITB.CL.RG</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.03</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9" name="Rectángulo 18"/>
            <xdr:cNvSpPr/>
          </xdr:nvSpPr>
          <xdr:spPr>
            <a:xfrm>
              <a:off x="-422" y="438438"/>
              <a:ext cx="1802731" cy="226778"/>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Versión: 02</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grpSp>
    <xdr:clientData/>
  </xdr:twoCellAnchor>
  <xdr:twoCellAnchor>
    <xdr:from>
      <xdr:col>1</xdr:col>
      <xdr:colOff>1</xdr:colOff>
      <xdr:row>93</xdr:row>
      <xdr:rowOff>38100</xdr:rowOff>
    </xdr:from>
    <xdr:to>
      <xdr:col>6</xdr:col>
      <xdr:colOff>742951</xdr:colOff>
      <xdr:row>110</xdr:row>
      <xdr:rowOff>85725</xdr:rowOff>
    </xdr:to>
    <xdr:graphicFrame macro="">
      <xdr:nvGraphicFramePr>
        <xdr:cNvPr id="20"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161925</xdr:colOff>
      <xdr:row>120</xdr:row>
      <xdr:rowOff>0</xdr:rowOff>
    </xdr:from>
    <xdr:to>
      <xdr:col>4</xdr:col>
      <xdr:colOff>1419225</xdr:colOff>
      <xdr:row>131</xdr:row>
      <xdr:rowOff>47626</xdr:rowOff>
    </xdr:to>
    <xdr:graphicFrame macro="">
      <xdr:nvGraphicFramePr>
        <xdr:cNvPr id="21"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304801</xdr:colOff>
      <xdr:row>141</xdr:row>
      <xdr:rowOff>28575</xdr:rowOff>
    </xdr:from>
    <xdr:to>
      <xdr:col>6</xdr:col>
      <xdr:colOff>704851</xdr:colOff>
      <xdr:row>158</xdr:row>
      <xdr:rowOff>76200</xdr:rowOff>
    </xdr:to>
    <xdr:graphicFrame macro="">
      <xdr:nvGraphicFramePr>
        <xdr:cNvPr id="22"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161925</xdr:colOff>
      <xdr:row>168</xdr:row>
      <xdr:rowOff>0</xdr:rowOff>
    </xdr:from>
    <xdr:to>
      <xdr:col>4</xdr:col>
      <xdr:colOff>1419225</xdr:colOff>
      <xdr:row>179</xdr:row>
      <xdr:rowOff>47626</xdr:rowOff>
    </xdr:to>
    <xdr:graphicFrame macro="">
      <xdr:nvGraphicFramePr>
        <xdr:cNvPr id="23"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1</xdr:colOff>
      <xdr:row>188</xdr:row>
      <xdr:rowOff>38100</xdr:rowOff>
    </xdr:from>
    <xdr:to>
      <xdr:col>6</xdr:col>
      <xdr:colOff>742951</xdr:colOff>
      <xdr:row>205</xdr:row>
      <xdr:rowOff>85725</xdr:rowOff>
    </xdr:to>
    <xdr:graphicFrame macro="">
      <xdr:nvGraphicFramePr>
        <xdr:cNvPr id="24"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161925</xdr:colOff>
      <xdr:row>215</xdr:row>
      <xdr:rowOff>0</xdr:rowOff>
    </xdr:from>
    <xdr:to>
      <xdr:col>4</xdr:col>
      <xdr:colOff>1419225</xdr:colOff>
      <xdr:row>226</xdr:row>
      <xdr:rowOff>47626</xdr:rowOff>
    </xdr:to>
    <xdr:graphicFrame macro="">
      <xdr:nvGraphicFramePr>
        <xdr:cNvPr id="25"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xdr:col>
      <xdr:colOff>1</xdr:colOff>
      <xdr:row>49</xdr:row>
      <xdr:rowOff>38100</xdr:rowOff>
    </xdr:from>
    <xdr:to>
      <xdr:col>6</xdr:col>
      <xdr:colOff>752475</xdr:colOff>
      <xdr:row>65</xdr:row>
      <xdr:rowOff>0</xdr:rowOff>
    </xdr:to>
    <xdr:graphicFrame macro="">
      <xdr:nvGraphicFramePr>
        <xdr:cNvPr id="2"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19050</xdr:colOff>
      <xdr:row>77</xdr:row>
      <xdr:rowOff>9525</xdr:rowOff>
    </xdr:from>
    <xdr:to>
      <xdr:col>6</xdr:col>
      <xdr:colOff>104775</xdr:colOff>
      <xdr:row>88</xdr:row>
      <xdr:rowOff>57151</xdr:rowOff>
    </xdr:to>
    <xdr:graphicFrame macro="">
      <xdr:nvGraphicFramePr>
        <xdr:cNvPr id="3"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41414</xdr:rowOff>
    </xdr:from>
    <xdr:to>
      <xdr:col>7</xdr:col>
      <xdr:colOff>230187</xdr:colOff>
      <xdr:row>5</xdr:row>
      <xdr:rowOff>12839</xdr:rowOff>
    </xdr:to>
    <xdr:grpSp>
      <xdr:nvGrpSpPr>
        <xdr:cNvPr id="4" name="Grupo 3"/>
        <xdr:cNvGrpSpPr>
          <a:grpSpLocks/>
        </xdr:cNvGrpSpPr>
      </xdr:nvGrpSpPr>
      <xdr:grpSpPr bwMode="auto">
        <a:xfrm>
          <a:off x="0" y="41414"/>
          <a:ext cx="8107362" cy="923925"/>
          <a:chOff x="0" y="-6929"/>
          <a:chExt cx="6142161" cy="672145"/>
        </a:xfrm>
      </xdr:grpSpPr>
      <xdr:sp macro="" textlink="">
        <xdr:nvSpPr>
          <xdr:cNvPr id="5" name="Rectángulo 4"/>
          <xdr:cNvSpPr/>
        </xdr:nvSpPr>
        <xdr:spPr>
          <a:xfrm>
            <a:off x="0" y="0"/>
            <a:ext cx="3618338"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REGISTRO DE CONFIRMACIÓN METROLOGICA</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nvGrpSpPr>
          <xdr:cNvPr id="6" name="Grupo 5"/>
          <xdr:cNvGrpSpPr>
            <a:grpSpLocks/>
          </xdr:cNvGrpSpPr>
        </xdr:nvGrpSpPr>
        <xdr:grpSpPr bwMode="auto">
          <a:xfrm>
            <a:off x="3608084" y="-6929"/>
            <a:ext cx="2534077" cy="672145"/>
            <a:chOff x="-6384" y="-6929"/>
            <a:chExt cx="2534077" cy="672145"/>
          </a:xfrm>
        </xdr:grpSpPr>
        <xdr:sp macro="" textlink="">
          <xdr:nvSpPr>
            <xdr:cNvPr id="7" name="Rectángulo 6"/>
            <xdr:cNvSpPr/>
          </xdr:nvSpPr>
          <xdr:spPr>
            <a:xfrm>
              <a:off x="-6384" y="-6929"/>
              <a:ext cx="1830342" cy="234337"/>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Fecha de </a:t>
              </a:r>
              <a:r>
                <a:rPr lang="es-ES" sz="1200" b="0">
                  <a:solidFill>
                    <a:srgbClr val="000000"/>
                  </a:solidFill>
                  <a:effectLst/>
                  <a:latin typeface="Arial" panose="020B0604020202020204" pitchFamily="34" charset="0"/>
                  <a:ea typeface="Times New Roman" panose="02020603050405020304" pitchFamily="18" charset="0"/>
                  <a:cs typeface="Arial" panose="020B0604020202020204" pitchFamily="34" charset="0"/>
                </a:rPr>
                <a:t>emisión</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 2021-02-16</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8" name="Rectángulo 7"/>
            <xdr:cNvSpPr/>
          </xdr:nvSpPr>
          <xdr:spPr>
            <a:xfrm>
              <a:off x="1802309" y="0"/>
              <a:ext cx="725384"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endParaRPr lang="es-ES" sz="1200">
                <a:latin typeface="Arial" panose="020B0604020202020204" pitchFamily="34" charset="0"/>
                <a:cs typeface="Arial" panose="020B0604020202020204" pitchFamily="34" charset="0"/>
              </a:endParaRPr>
            </a:p>
          </xdr:txBody>
        </xdr:sp>
        <xdr:pic>
          <xdr:nvPicPr>
            <xdr:cNvPr id="9" name="Imagen 8" descr="D:\CENTRO DE INSPECCIÓN TOTAL BOYACÁ\logo\CITB Entregas final_Mesa de trabajo 1 solo.jp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936978" y="0"/>
              <a:ext cx="508142" cy="634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0" name="Rectángulo 9"/>
            <xdr:cNvSpPr/>
          </xdr:nvSpPr>
          <xdr:spPr>
            <a:xfrm>
              <a:off x="-422" y="226778"/>
              <a:ext cx="1802731" cy="219219"/>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Código:</a:t>
              </a:r>
              <a:r>
                <a:rPr lang="es-ES" sz="1200" baseline="0">
                  <a:solidFill>
                    <a:srgbClr val="000000"/>
                  </a:solidFill>
                  <a:effectLst/>
                  <a:latin typeface="Arial" panose="020B0604020202020204" pitchFamily="34" charset="0"/>
                  <a:ea typeface="Times New Roman" panose="02020603050405020304" pitchFamily="18" charset="0"/>
                  <a:cs typeface="Arial" panose="020B0604020202020204" pitchFamily="34" charset="0"/>
                </a:rPr>
                <a:t> CITB.CL.RG</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.03</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1" name="Rectángulo 10"/>
            <xdr:cNvSpPr/>
          </xdr:nvSpPr>
          <xdr:spPr>
            <a:xfrm>
              <a:off x="-422" y="438438"/>
              <a:ext cx="1802731" cy="226778"/>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Versión: 02</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grpSp>
    <xdr:clientData/>
  </xdr:twoCellAnchor>
  <xdr:twoCellAnchor>
    <xdr:from>
      <xdr:col>1</xdr:col>
      <xdr:colOff>1</xdr:colOff>
      <xdr:row>100</xdr:row>
      <xdr:rowOff>38100</xdr:rowOff>
    </xdr:from>
    <xdr:to>
      <xdr:col>6</xdr:col>
      <xdr:colOff>752475</xdr:colOff>
      <xdr:row>116</xdr:row>
      <xdr:rowOff>0</xdr:rowOff>
    </xdr:to>
    <xdr:graphicFrame macro="">
      <xdr:nvGraphicFramePr>
        <xdr:cNvPr id="12"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19050</xdr:colOff>
      <xdr:row>128</xdr:row>
      <xdr:rowOff>9525</xdr:rowOff>
    </xdr:from>
    <xdr:to>
      <xdr:col>6</xdr:col>
      <xdr:colOff>104775</xdr:colOff>
      <xdr:row>139</xdr:row>
      <xdr:rowOff>57151</xdr:rowOff>
    </xdr:to>
    <xdr:graphicFrame macro="">
      <xdr:nvGraphicFramePr>
        <xdr:cNvPr id="13"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xdr:col>
      <xdr:colOff>1</xdr:colOff>
      <xdr:row>46</xdr:row>
      <xdr:rowOff>38100</xdr:rowOff>
    </xdr:from>
    <xdr:to>
      <xdr:col>6</xdr:col>
      <xdr:colOff>742951</xdr:colOff>
      <xdr:row>63</xdr:row>
      <xdr:rowOff>85725</xdr:rowOff>
    </xdr:to>
    <xdr:graphicFrame macro="">
      <xdr:nvGraphicFramePr>
        <xdr:cNvPr id="2"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161925</xdr:colOff>
      <xdr:row>73</xdr:row>
      <xdr:rowOff>0</xdr:rowOff>
    </xdr:from>
    <xdr:to>
      <xdr:col>4</xdr:col>
      <xdr:colOff>1419225</xdr:colOff>
      <xdr:row>84</xdr:row>
      <xdr:rowOff>47626</xdr:rowOff>
    </xdr:to>
    <xdr:graphicFrame macro="">
      <xdr:nvGraphicFramePr>
        <xdr:cNvPr id="3"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50939</xdr:rowOff>
    </xdr:from>
    <xdr:to>
      <xdr:col>7</xdr:col>
      <xdr:colOff>230187</xdr:colOff>
      <xdr:row>5</xdr:row>
      <xdr:rowOff>12839</xdr:rowOff>
    </xdr:to>
    <xdr:grpSp>
      <xdr:nvGrpSpPr>
        <xdr:cNvPr id="4" name="Grupo 3"/>
        <xdr:cNvGrpSpPr>
          <a:grpSpLocks/>
        </xdr:cNvGrpSpPr>
      </xdr:nvGrpSpPr>
      <xdr:grpSpPr bwMode="auto">
        <a:xfrm>
          <a:off x="0" y="50939"/>
          <a:ext cx="7983537" cy="914400"/>
          <a:chOff x="0" y="0"/>
          <a:chExt cx="6142161" cy="665216"/>
        </a:xfrm>
      </xdr:grpSpPr>
      <xdr:sp macro="" textlink="">
        <xdr:nvSpPr>
          <xdr:cNvPr id="5" name="Rectángulo 4"/>
          <xdr:cNvSpPr/>
        </xdr:nvSpPr>
        <xdr:spPr>
          <a:xfrm>
            <a:off x="0" y="0"/>
            <a:ext cx="3618338"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REGISTRO DE CONFIRMACIÓN METROLOGICA</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nvGrpSpPr>
          <xdr:cNvPr id="6" name="Grupo 5"/>
          <xdr:cNvGrpSpPr>
            <a:grpSpLocks/>
          </xdr:cNvGrpSpPr>
        </xdr:nvGrpSpPr>
        <xdr:grpSpPr bwMode="auto">
          <a:xfrm>
            <a:off x="3614046" y="0"/>
            <a:ext cx="2528115" cy="665216"/>
            <a:chOff x="-422" y="0"/>
            <a:chExt cx="2528115" cy="665216"/>
          </a:xfrm>
        </xdr:grpSpPr>
        <xdr:sp macro="" textlink="">
          <xdr:nvSpPr>
            <xdr:cNvPr id="7" name="Rectángulo 6"/>
            <xdr:cNvSpPr/>
          </xdr:nvSpPr>
          <xdr:spPr>
            <a:xfrm>
              <a:off x="-422" y="0"/>
              <a:ext cx="1802731" cy="234337"/>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Fecha de </a:t>
              </a:r>
              <a:r>
                <a:rPr lang="es-ES" sz="1200" b="0">
                  <a:solidFill>
                    <a:srgbClr val="000000"/>
                  </a:solidFill>
                  <a:effectLst/>
                  <a:latin typeface="Arial" panose="020B0604020202020204" pitchFamily="34" charset="0"/>
                  <a:ea typeface="Times New Roman" panose="02020603050405020304" pitchFamily="18" charset="0"/>
                  <a:cs typeface="Arial" panose="020B0604020202020204" pitchFamily="34" charset="0"/>
                </a:rPr>
                <a:t>emisión</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 2019-02-18</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8" name="Rectángulo 7"/>
            <xdr:cNvSpPr/>
          </xdr:nvSpPr>
          <xdr:spPr>
            <a:xfrm>
              <a:off x="1802309" y="0"/>
              <a:ext cx="725384"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endParaRPr lang="es-ES" sz="1200">
                <a:latin typeface="Arial" panose="020B0604020202020204" pitchFamily="34" charset="0"/>
                <a:cs typeface="Arial" panose="020B0604020202020204" pitchFamily="34" charset="0"/>
              </a:endParaRPr>
            </a:p>
          </xdr:txBody>
        </xdr:sp>
        <xdr:pic>
          <xdr:nvPicPr>
            <xdr:cNvPr id="9" name="Imagen 8" descr="D:\CENTRO DE INSPECCIÓN TOTAL BOYACÁ\logo\CITB Entregas final_Mesa de trabajo 1 solo.jp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936978" y="0"/>
              <a:ext cx="508142" cy="634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0" name="Rectángulo 9"/>
            <xdr:cNvSpPr/>
          </xdr:nvSpPr>
          <xdr:spPr>
            <a:xfrm>
              <a:off x="-422" y="226778"/>
              <a:ext cx="1802731" cy="219219"/>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Código:</a:t>
              </a:r>
              <a:r>
                <a:rPr lang="es-ES" sz="1200" baseline="0">
                  <a:solidFill>
                    <a:srgbClr val="000000"/>
                  </a:solidFill>
                  <a:effectLst/>
                  <a:latin typeface="Arial" panose="020B0604020202020204" pitchFamily="34" charset="0"/>
                  <a:ea typeface="Times New Roman" panose="02020603050405020304" pitchFamily="18" charset="0"/>
                  <a:cs typeface="Arial" panose="020B0604020202020204" pitchFamily="34" charset="0"/>
                </a:rPr>
                <a:t> CITB.CL.RG</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.03</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1" name="Rectángulo 10"/>
            <xdr:cNvSpPr/>
          </xdr:nvSpPr>
          <xdr:spPr>
            <a:xfrm>
              <a:off x="-422" y="438438"/>
              <a:ext cx="1802731" cy="226778"/>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Versión: 01</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grpSp>
    <xdr:clientData/>
  </xdr:twoCellAnchor>
  <xdr:twoCellAnchor>
    <xdr:from>
      <xdr:col>0</xdr:col>
      <xdr:colOff>0</xdr:colOff>
      <xdr:row>0</xdr:row>
      <xdr:rowOff>50939</xdr:rowOff>
    </xdr:from>
    <xdr:to>
      <xdr:col>7</xdr:col>
      <xdr:colOff>230187</xdr:colOff>
      <xdr:row>5</xdr:row>
      <xdr:rowOff>12839</xdr:rowOff>
    </xdr:to>
    <xdr:grpSp>
      <xdr:nvGrpSpPr>
        <xdr:cNvPr id="12" name="Grupo 11"/>
        <xdr:cNvGrpSpPr>
          <a:grpSpLocks/>
        </xdr:cNvGrpSpPr>
      </xdr:nvGrpSpPr>
      <xdr:grpSpPr bwMode="auto">
        <a:xfrm>
          <a:off x="0" y="50939"/>
          <a:ext cx="7983537" cy="914400"/>
          <a:chOff x="0" y="0"/>
          <a:chExt cx="6142161" cy="665216"/>
        </a:xfrm>
      </xdr:grpSpPr>
      <xdr:sp macro="" textlink="">
        <xdr:nvSpPr>
          <xdr:cNvPr id="13" name="Rectángulo 12"/>
          <xdr:cNvSpPr/>
        </xdr:nvSpPr>
        <xdr:spPr>
          <a:xfrm>
            <a:off x="0" y="0"/>
            <a:ext cx="3618338"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REGISTRO DE CONFIRMACIÓN METROLOGICA</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nvGrpSpPr>
          <xdr:cNvPr id="14" name="Grupo 13"/>
          <xdr:cNvGrpSpPr>
            <a:grpSpLocks/>
          </xdr:cNvGrpSpPr>
        </xdr:nvGrpSpPr>
        <xdr:grpSpPr bwMode="auto">
          <a:xfrm>
            <a:off x="3614046" y="0"/>
            <a:ext cx="2528115" cy="665216"/>
            <a:chOff x="-422" y="0"/>
            <a:chExt cx="2528115" cy="665216"/>
          </a:xfrm>
        </xdr:grpSpPr>
        <xdr:sp macro="" textlink="">
          <xdr:nvSpPr>
            <xdr:cNvPr id="15" name="Rectángulo 14"/>
            <xdr:cNvSpPr/>
          </xdr:nvSpPr>
          <xdr:spPr>
            <a:xfrm>
              <a:off x="-422" y="0"/>
              <a:ext cx="1802731" cy="234337"/>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Fecha de </a:t>
              </a:r>
              <a:r>
                <a:rPr lang="es-ES" sz="1200" b="0">
                  <a:solidFill>
                    <a:srgbClr val="000000"/>
                  </a:solidFill>
                  <a:effectLst/>
                  <a:latin typeface="Arial" panose="020B0604020202020204" pitchFamily="34" charset="0"/>
                  <a:ea typeface="Times New Roman" panose="02020603050405020304" pitchFamily="18" charset="0"/>
                  <a:cs typeface="Arial" panose="020B0604020202020204" pitchFamily="34" charset="0"/>
                </a:rPr>
                <a:t>emisión</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 2021-02-16</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6" name="Rectángulo 15"/>
            <xdr:cNvSpPr/>
          </xdr:nvSpPr>
          <xdr:spPr>
            <a:xfrm>
              <a:off x="1802309" y="0"/>
              <a:ext cx="725384"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endParaRPr lang="es-ES" sz="1200">
                <a:latin typeface="Arial" panose="020B0604020202020204" pitchFamily="34" charset="0"/>
                <a:cs typeface="Arial" panose="020B0604020202020204" pitchFamily="34" charset="0"/>
              </a:endParaRPr>
            </a:p>
          </xdr:txBody>
        </xdr:sp>
        <xdr:pic>
          <xdr:nvPicPr>
            <xdr:cNvPr id="17" name="Imagen 16" descr="D:\CENTRO DE INSPECCIÓN TOTAL BOYACÁ\logo\CITB Entregas final_Mesa de trabajo 1 solo.jp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936978" y="0"/>
              <a:ext cx="508142" cy="634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8" name="Rectángulo 17"/>
            <xdr:cNvSpPr/>
          </xdr:nvSpPr>
          <xdr:spPr>
            <a:xfrm>
              <a:off x="-422" y="226778"/>
              <a:ext cx="1802731" cy="219219"/>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Código:</a:t>
              </a:r>
              <a:r>
                <a:rPr lang="es-ES" sz="1200" baseline="0">
                  <a:solidFill>
                    <a:srgbClr val="000000"/>
                  </a:solidFill>
                  <a:effectLst/>
                  <a:latin typeface="Arial" panose="020B0604020202020204" pitchFamily="34" charset="0"/>
                  <a:ea typeface="Times New Roman" panose="02020603050405020304" pitchFamily="18" charset="0"/>
                  <a:cs typeface="Arial" panose="020B0604020202020204" pitchFamily="34" charset="0"/>
                </a:rPr>
                <a:t> CITB.CL.RG</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.03</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9" name="Rectángulo 18"/>
            <xdr:cNvSpPr/>
          </xdr:nvSpPr>
          <xdr:spPr>
            <a:xfrm>
              <a:off x="-422" y="438438"/>
              <a:ext cx="1802731" cy="226778"/>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Versión: 02</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grpSp>
    <xdr:clientData/>
  </xdr:twoCellAnchor>
  <xdr:twoCellAnchor>
    <xdr:from>
      <xdr:col>1</xdr:col>
      <xdr:colOff>1</xdr:colOff>
      <xdr:row>97</xdr:row>
      <xdr:rowOff>38100</xdr:rowOff>
    </xdr:from>
    <xdr:to>
      <xdr:col>6</xdr:col>
      <xdr:colOff>742951</xdr:colOff>
      <xdr:row>114</xdr:row>
      <xdr:rowOff>85725</xdr:rowOff>
    </xdr:to>
    <xdr:graphicFrame macro="">
      <xdr:nvGraphicFramePr>
        <xdr:cNvPr id="20"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161925</xdr:colOff>
      <xdr:row>128</xdr:row>
      <xdr:rowOff>0</xdr:rowOff>
    </xdr:from>
    <xdr:to>
      <xdr:col>4</xdr:col>
      <xdr:colOff>1419225</xdr:colOff>
      <xdr:row>139</xdr:row>
      <xdr:rowOff>47626</xdr:rowOff>
    </xdr:to>
    <xdr:graphicFrame macro="">
      <xdr:nvGraphicFramePr>
        <xdr:cNvPr id="21"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xdr:colOff>
      <xdr:row>149</xdr:row>
      <xdr:rowOff>38100</xdr:rowOff>
    </xdr:from>
    <xdr:to>
      <xdr:col>6</xdr:col>
      <xdr:colOff>742951</xdr:colOff>
      <xdr:row>166</xdr:row>
      <xdr:rowOff>85725</xdr:rowOff>
    </xdr:to>
    <xdr:graphicFrame macro="">
      <xdr:nvGraphicFramePr>
        <xdr:cNvPr id="22"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323850</xdr:colOff>
      <xdr:row>175</xdr:row>
      <xdr:rowOff>9525</xdr:rowOff>
    </xdr:from>
    <xdr:to>
      <xdr:col>5</xdr:col>
      <xdr:colOff>66675</xdr:colOff>
      <xdr:row>186</xdr:row>
      <xdr:rowOff>57151</xdr:rowOff>
    </xdr:to>
    <xdr:graphicFrame macro="">
      <xdr:nvGraphicFramePr>
        <xdr:cNvPr id="23"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1</xdr:colOff>
      <xdr:row>200</xdr:row>
      <xdr:rowOff>38100</xdr:rowOff>
    </xdr:from>
    <xdr:to>
      <xdr:col>6</xdr:col>
      <xdr:colOff>742951</xdr:colOff>
      <xdr:row>217</xdr:row>
      <xdr:rowOff>85725</xdr:rowOff>
    </xdr:to>
    <xdr:graphicFrame macro="">
      <xdr:nvGraphicFramePr>
        <xdr:cNvPr id="24"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161925</xdr:colOff>
      <xdr:row>231</xdr:row>
      <xdr:rowOff>0</xdr:rowOff>
    </xdr:from>
    <xdr:to>
      <xdr:col>4</xdr:col>
      <xdr:colOff>1419225</xdr:colOff>
      <xdr:row>242</xdr:row>
      <xdr:rowOff>47626</xdr:rowOff>
    </xdr:to>
    <xdr:graphicFrame macro="">
      <xdr:nvGraphicFramePr>
        <xdr:cNvPr id="25"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xdr:col>
      <xdr:colOff>28575</xdr:colOff>
      <xdr:row>45</xdr:row>
      <xdr:rowOff>9525</xdr:rowOff>
    </xdr:from>
    <xdr:to>
      <xdr:col>6</xdr:col>
      <xdr:colOff>733425</xdr:colOff>
      <xdr:row>61</xdr:row>
      <xdr:rowOff>0</xdr:rowOff>
    </xdr:to>
    <xdr:graphicFrame macro="">
      <xdr:nvGraphicFramePr>
        <xdr:cNvPr id="2"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50939</xdr:rowOff>
    </xdr:from>
    <xdr:to>
      <xdr:col>7</xdr:col>
      <xdr:colOff>230187</xdr:colOff>
      <xdr:row>5</xdr:row>
      <xdr:rowOff>12839</xdr:rowOff>
    </xdr:to>
    <xdr:grpSp>
      <xdr:nvGrpSpPr>
        <xdr:cNvPr id="3" name="Grupo 2"/>
        <xdr:cNvGrpSpPr>
          <a:grpSpLocks/>
        </xdr:cNvGrpSpPr>
      </xdr:nvGrpSpPr>
      <xdr:grpSpPr bwMode="auto">
        <a:xfrm>
          <a:off x="0" y="50939"/>
          <a:ext cx="7897812" cy="914400"/>
          <a:chOff x="0" y="0"/>
          <a:chExt cx="6142161" cy="665216"/>
        </a:xfrm>
      </xdr:grpSpPr>
      <xdr:sp macro="" textlink="">
        <xdr:nvSpPr>
          <xdr:cNvPr id="4" name="Rectángulo 3"/>
          <xdr:cNvSpPr/>
        </xdr:nvSpPr>
        <xdr:spPr>
          <a:xfrm>
            <a:off x="0" y="0"/>
            <a:ext cx="3618338"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REGISTRO DE CONFIRMACIÓN METROLOGICA</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nvGrpSpPr>
          <xdr:cNvPr id="5" name="Grupo 4"/>
          <xdr:cNvGrpSpPr>
            <a:grpSpLocks/>
          </xdr:cNvGrpSpPr>
        </xdr:nvGrpSpPr>
        <xdr:grpSpPr bwMode="auto">
          <a:xfrm>
            <a:off x="3614046" y="0"/>
            <a:ext cx="2528115" cy="665216"/>
            <a:chOff x="-422" y="0"/>
            <a:chExt cx="2528115" cy="665216"/>
          </a:xfrm>
        </xdr:grpSpPr>
        <xdr:sp macro="" textlink="">
          <xdr:nvSpPr>
            <xdr:cNvPr id="6" name="Rectángulo 5"/>
            <xdr:cNvSpPr/>
          </xdr:nvSpPr>
          <xdr:spPr>
            <a:xfrm>
              <a:off x="-422" y="0"/>
              <a:ext cx="1802731" cy="234337"/>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Fecha de </a:t>
              </a:r>
              <a:r>
                <a:rPr lang="es-ES" sz="1200" b="0">
                  <a:solidFill>
                    <a:srgbClr val="000000"/>
                  </a:solidFill>
                  <a:effectLst/>
                  <a:latin typeface="Arial" panose="020B0604020202020204" pitchFamily="34" charset="0"/>
                  <a:ea typeface="Times New Roman" panose="02020603050405020304" pitchFamily="18" charset="0"/>
                  <a:cs typeface="Arial" panose="020B0604020202020204" pitchFamily="34" charset="0"/>
                </a:rPr>
                <a:t>emisión</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 2021-02-16</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7" name="Rectángulo 6"/>
            <xdr:cNvSpPr/>
          </xdr:nvSpPr>
          <xdr:spPr>
            <a:xfrm>
              <a:off x="1802309" y="0"/>
              <a:ext cx="725384"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endParaRPr lang="es-ES" sz="1200">
                <a:latin typeface="Arial" panose="020B0604020202020204" pitchFamily="34" charset="0"/>
                <a:cs typeface="Arial" panose="020B0604020202020204" pitchFamily="34" charset="0"/>
              </a:endParaRPr>
            </a:p>
          </xdr:txBody>
        </xdr:sp>
        <xdr:pic>
          <xdr:nvPicPr>
            <xdr:cNvPr id="8" name="Imagen 7" descr="D:\CENTRO DE INSPECCIÓN TOTAL BOYACÁ\logo\CITB Entregas final_Mesa de trabajo 1 solo.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6978" y="0"/>
              <a:ext cx="508142" cy="634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9" name="Rectángulo 8"/>
            <xdr:cNvSpPr/>
          </xdr:nvSpPr>
          <xdr:spPr>
            <a:xfrm>
              <a:off x="-422" y="226778"/>
              <a:ext cx="1802731" cy="219219"/>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Código:</a:t>
              </a:r>
              <a:r>
                <a:rPr lang="es-ES" sz="1200" baseline="0">
                  <a:solidFill>
                    <a:srgbClr val="000000"/>
                  </a:solidFill>
                  <a:effectLst/>
                  <a:latin typeface="Arial" panose="020B0604020202020204" pitchFamily="34" charset="0"/>
                  <a:ea typeface="Times New Roman" panose="02020603050405020304" pitchFamily="18" charset="0"/>
                  <a:cs typeface="Arial" panose="020B0604020202020204" pitchFamily="34" charset="0"/>
                </a:rPr>
                <a:t> CITB.CL.RG</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.03</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0" name="Rectángulo 9"/>
            <xdr:cNvSpPr/>
          </xdr:nvSpPr>
          <xdr:spPr>
            <a:xfrm>
              <a:off x="-422" y="438438"/>
              <a:ext cx="1802731" cy="226778"/>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Versión: 02</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grp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1042147</xdr:colOff>
      <xdr:row>48</xdr:row>
      <xdr:rowOff>44823</xdr:rowOff>
    </xdr:from>
    <xdr:to>
      <xdr:col>7</xdr:col>
      <xdr:colOff>22412</xdr:colOff>
      <xdr:row>64</xdr:row>
      <xdr:rowOff>49866</xdr:rowOff>
    </xdr:to>
    <xdr:graphicFrame macro="">
      <xdr:nvGraphicFramePr>
        <xdr:cNvPr id="2"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50939</xdr:rowOff>
    </xdr:from>
    <xdr:to>
      <xdr:col>7</xdr:col>
      <xdr:colOff>230187</xdr:colOff>
      <xdr:row>5</xdr:row>
      <xdr:rowOff>12839</xdr:rowOff>
    </xdr:to>
    <xdr:grpSp>
      <xdr:nvGrpSpPr>
        <xdr:cNvPr id="3" name="Grupo 2"/>
        <xdr:cNvGrpSpPr>
          <a:grpSpLocks/>
        </xdr:cNvGrpSpPr>
      </xdr:nvGrpSpPr>
      <xdr:grpSpPr bwMode="auto">
        <a:xfrm>
          <a:off x="0" y="50939"/>
          <a:ext cx="8253599" cy="914400"/>
          <a:chOff x="0" y="0"/>
          <a:chExt cx="6142161" cy="665216"/>
        </a:xfrm>
      </xdr:grpSpPr>
      <xdr:sp macro="" textlink="">
        <xdr:nvSpPr>
          <xdr:cNvPr id="4" name="Rectángulo 3"/>
          <xdr:cNvSpPr/>
        </xdr:nvSpPr>
        <xdr:spPr>
          <a:xfrm>
            <a:off x="0" y="0"/>
            <a:ext cx="3618338"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REGISTRO DE CONFIRMACIÓN METROLOGICA</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nvGrpSpPr>
          <xdr:cNvPr id="5" name="Grupo 4"/>
          <xdr:cNvGrpSpPr>
            <a:grpSpLocks/>
          </xdr:cNvGrpSpPr>
        </xdr:nvGrpSpPr>
        <xdr:grpSpPr bwMode="auto">
          <a:xfrm>
            <a:off x="3614046" y="0"/>
            <a:ext cx="2528115" cy="665216"/>
            <a:chOff x="-422" y="0"/>
            <a:chExt cx="2528115" cy="665216"/>
          </a:xfrm>
        </xdr:grpSpPr>
        <xdr:sp macro="" textlink="">
          <xdr:nvSpPr>
            <xdr:cNvPr id="6" name="Rectángulo 5"/>
            <xdr:cNvSpPr/>
          </xdr:nvSpPr>
          <xdr:spPr>
            <a:xfrm>
              <a:off x="-422" y="0"/>
              <a:ext cx="1802731" cy="234337"/>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Fecha de </a:t>
              </a:r>
              <a:r>
                <a:rPr lang="es-ES" sz="1200" b="0">
                  <a:solidFill>
                    <a:srgbClr val="000000"/>
                  </a:solidFill>
                  <a:effectLst/>
                  <a:latin typeface="Arial" panose="020B0604020202020204" pitchFamily="34" charset="0"/>
                  <a:ea typeface="Times New Roman" panose="02020603050405020304" pitchFamily="18" charset="0"/>
                  <a:cs typeface="Arial" panose="020B0604020202020204" pitchFamily="34" charset="0"/>
                </a:rPr>
                <a:t>emisión</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 2019-02-18</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7" name="Rectángulo 6"/>
            <xdr:cNvSpPr/>
          </xdr:nvSpPr>
          <xdr:spPr>
            <a:xfrm>
              <a:off x="1802309" y="0"/>
              <a:ext cx="725384"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endParaRPr lang="es-ES" sz="1200">
                <a:latin typeface="Arial" panose="020B0604020202020204" pitchFamily="34" charset="0"/>
                <a:cs typeface="Arial" panose="020B0604020202020204" pitchFamily="34" charset="0"/>
              </a:endParaRPr>
            </a:p>
          </xdr:txBody>
        </xdr:sp>
        <xdr:pic>
          <xdr:nvPicPr>
            <xdr:cNvPr id="8" name="Imagen 7" descr="D:\CENTRO DE INSPECCIÓN TOTAL BOYACÁ\logo\CITB Entregas final_Mesa de trabajo 1 solo.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6978" y="0"/>
              <a:ext cx="508142" cy="634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9" name="Rectángulo 8"/>
            <xdr:cNvSpPr/>
          </xdr:nvSpPr>
          <xdr:spPr>
            <a:xfrm>
              <a:off x="-422" y="226778"/>
              <a:ext cx="1802731" cy="219219"/>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Código:</a:t>
              </a:r>
              <a:r>
                <a:rPr lang="es-ES" sz="1200" baseline="0">
                  <a:solidFill>
                    <a:srgbClr val="000000"/>
                  </a:solidFill>
                  <a:effectLst/>
                  <a:latin typeface="Arial" panose="020B0604020202020204" pitchFamily="34" charset="0"/>
                  <a:ea typeface="Times New Roman" panose="02020603050405020304" pitchFamily="18" charset="0"/>
                  <a:cs typeface="Arial" panose="020B0604020202020204" pitchFamily="34" charset="0"/>
                </a:rPr>
                <a:t> CITB.CL.RG</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.03</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0" name="Rectángulo 9"/>
            <xdr:cNvSpPr/>
          </xdr:nvSpPr>
          <xdr:spPr>
            <a:xfrm>
              <a:off x="-422" y="438438"/>
              <a:ext cx="1802731" cy="226778"/>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Versión: 01</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grpSp>
    <xdr:clientData/>
  </xdr:twoCellAnchor>
  <xdr:twoCellAnchor>
    <xdr:from>
      <xdr:col>0</xdr:col>
      <xdr:colOff>0</xdr:colOff>
      <xdr:row>0</xdr:row>
      <xdr:rowOff>50939</xdr:rowOff>
    </xdr:from>
    <xdr:to>
      <xdr:col>7</xdr:col>
      <xdr:colOff>230187</xdr:colOff>
      <xdr:row>5</xdr:row>
      <xdr:rowOff>12839</xdr:rowOff>
    </xdr:to>
    <xdr:grpSp>
      <xdr:nvGrpSpPr>
        <xdr:cNvPr id="11" name="Grupo 10"/>
        <xdr:cNvGrpSpPr>
          <a:grpSpLocks/>
        </xdr:cNvGrpSpPr>
      </xdr:nvGrpSpPr>
      <xdr:grpSpPr bwMode="auto">
        <a:xfrm>
          <a:off x="0" y="50939"/>
          <a:ext cx="8253599" cy="914400"/>
          <a:chOff x="0" y="0"/>
          <a:chExt cx="6142161" cy="665216"/>
        </a:xfrm>
      </xdr:grpSpPr>
      <xdr:sp macro="" textlink="">
        <xdr:nvSpPr>
          <xdr:cNvPr id="12" name="Rectángulo 11"/>
          <xdr:cNvSpPr/>
        </xdr:nvSpPr>
        <xdr:spPr>
          <a:xfrm>
            <a:off x="0" y="0"/>
            <a:ext cx="3618338"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REGISTRO DE CONFIRMACIÓN METROLOGICA</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nvGrpSpPr>
          <xdr:cNvPr id="13" name="Grupo 12"/>
          <xdr:cNvGrpSpPr>
            <a:grpSpLocks/>
          </xdr:cNvGrpSpPr>
        </xdr:nvGrpSpPr>
        <xdr:grpSpPr bwMode="auto">
          <a:xfrm>
            <a:off x="3614046" y="0"/>
            <a:ext cx="2528115" cy="665216"/>
            <a:chOff x="-422" y="0"/>
            <a:chExt cx="2528115" cy="665216"/>
          </a:xfrm>
        </xdr:grpSpPr>
        <xdr:sp macro="" textlink="">
          <xdr:nvSpPr>
            <xdr:cNvPr id="14" name="Rectángulo 13"/>
            <xdr:cNvSpPr/>
          </xdr:nvSpPr>
          <xdr:spPr>
            <a:xfrm>
              <a:off x="-422" y="0"/>
              <a:ext cx="1802731" cy="234337"/>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Fecha de </a:t>
              </a:r>
              <a:r>
                <a:rPr lang="es-ES" sz="1200" b="0">
                  <a:solidFill>
                    <a:srgbClr val="000000"/>
                  </a:solidFill>
                  <a:effectLst/>
                  <a:latin typeface="Arial" panose="020B0604020202020204" pitchFamily="34" charset="0"/>
                  <a:ea typeface="Times New Roman" panose="02020603050405020304" pitchFamily="18" charset="0"/>
                  <a:cs typeface="Arial" panose="020B0604020202020204" pitchFamily="34" charset="0"/>
                </a:rPr>
                <a:t>emisión</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 2021-02-16</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5" name="Rectángulo 14"/>
            <xdr:cNvSpPr/>
          </xdr:nvSpPr>
          <xdr:spPr>
            <a:xfrm>
              <a:off x="1802309" y="0"/>
              <a:ext cx="725384"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endParaRPr lang="es-ES" sz="1200">
                <a:latin typeface="Arial" panose="020B0604020202020204" pitchFamily="34" charset="0"/>
                <a:cs typeface="Arial" panose="020B0604020202020204" pitchFamily="34" charset="0"/>
              </a:endParaRPr>
            </a:p>
          </xdr:txBody>
        </xdr:sp>
        <xdr:pic>
          <xdr:nvPicPr>
            <xdr:cNvPr id="16" name="Imagen 15" descr="D:\CENTRO DE INSPECCIÓN TOTAL BOYACÁ\logo\CITB Entregas final_Mesa de trabajo 1 solo.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6978" y="0"/>
              <a:ext cx="508142" cy="634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7" name="Rectángulo 16"/>
            <xdr:cNvSpPr/>
          </xdr:nvSpPr>
          <xdr:spPr>
            <a:xfrm>
              <a:off x="-422" y="226778"/>
              <a:ext cx="1802731" cy="219219"/>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Código:</a:t>
              </a:r>
              <a:r>
                <a:rPr lang="es-ES" sz="1200" baseline="0">
                  <a:solidFill>
                    <a:srgbClr val="000000"/>
                  </a:solidFill>
                  <a:effectLst/>
                  <a:latin typeface="Arial" panose="020B0604020202020204" pitchFamily="34" charset="0"/>
                  <a:ea typeface="Times New Roman" panose="02020603050405020304" pitchFamily="18" charset="0"/>
                  <a:cs typeface="Arial" panose="020B0604020202020204" pitchFamily="34" charset="0"/>
                </a:rPr>
                <a:t> CITB.CL.RG</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.03</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8" name="Rectángulo 17"/>
            <xdr:cNvSpPr/>
          </xdr:nvSpPr>
          <xdr:spPr>
            <a:xfrm>
              <a:off x="-422" y="438438"/>
              <a:ext cx="1802731" cy="226778"/>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Versión: 02</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grp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57150</xdr:colOff>
      <xdr:row>53</xdr:row>
      <xdr:rowOff>47625</xdr:rowOff>
    </xdr:from>
    <xdr:to>
      <xdr:col>7</xdr:col>
      <xdr:colOff>9525</xdr:colOff>
      <xdr:row>69</xdr:row>
      <xdr:rowOff>19050</xdr:rowOff>
    </xdr:to>
    <xdr:graphicFrame macro="">
      <xdr:nvGraphicFramePr>
        <xdr:cNvPr id="2"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50939</xdr:rowOff>
    </xdr:from>
    <xdr:to>
      <xdr:col>7</xdr:col>
      <xdr:colOff>230187</xdr:colOff>
      <xdr:row>5</xdr:row>
      <xdr:rowOff>12839</xdr:rowOff>
    </xdr:to>
    <xdr:grpSp>
      <xdr:nvGrpSpPr>
        <xdr:cNvPr id="3" name="Grupo 2"/>
        <xdr:cNvGrpSpPr>
          <a:grpSpLocks/>
        </xdr:cNvGrpSpPr>
      </xdr:nvGrpSpPr>
      <xdr:grpSpPr bwMode="auto">
        <a:xfrm>
          <a:off x="0" y="50939"/>
          <a:ext cx="8002587" cy="914400"/>
          <a:chOff x="0" y="0"/>
          <a:chExt cx="6142161" cy="665216"/>
        </a:xfrm>
      </xdr:grpSpPr>
      <xdr:sp macro="" textlink="">
        <xdr:nvSpPr>
          <xdr:cNvPr id="4" name="Rectángulo 3"/>
          <xdr:cNvSpPr/>
        </xdr:nvSpPr>
        <xdr:spPr>
          <a:xfrm>
            <a:off x="0" y="0"/>
            <a:ext cx="3618338"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REGISTRO DE CONFIRMACIÓN METROLOGICA</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nvGrpSpPr>
          <xdr:cNvPr id="5" name="Grupo 4"/>
          <xdr:cNvGrpSpPr>
            <a:grpSpLocks/>
          </xdr:cNvGrpSpPr>
        </xdr:nvGrpSpPr>
        <xdr:grpSpPr bwMode="auto">
          <a:xfrm>
            <a:off x="3614046" y="0"/>
            <a:ext cx="2528115" cy="665216"/>
            <a:chOff x="-422" y="0"/>
            <a:chExt cx="2528115" cy="665216"/>
          </a:xfrm>
        </xdr:grpSpPr>
        <xdr:sp macro="" textlink="">
          <xdr:nvSpPr>
            <xdr:cNvPr id="6" name="Rectángulo 5"/>
            <xdr:cNvSpPr/>
          </xdr:nvSpPr>
          <xdr:spPr>
            <a:xfrm>
              <a:off x="-422" y="0"/>
              <a:ext cx="1802731" cy="234337"/>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Fecha de </a:t>
              </a:r>
              <a:r>
                <a:rPr lang="es-ES" sz="1200" b="0">
                  <a:solidFill>
                    <a:srgbClr val="000000"/>
                  </a:solidFill>
                  <a:effectLst/>
                  <a:latin typeface="Arial" panose="020B0604020202020204" pitchFamily="34" charset="0"/>
                  <a:ea typeface="Times New Roman" panose="02020603050405020304" pitchFamily="18" charset="0"/>
                  <a:cs typeface="Arial" panose="020B0604020202020204" pitchFamily="34" charset="0"/>
                </a:rPr>
                <a:t>emisión</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 2019-02-18</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7" name="Rectángulo 6"/>
            <xdr:cNvSpPr/>
          </xdr:nvSpPr>
          <xdr:spPr>
            <a:xfrm>
              <a:off x="1802309" y="0"/>
              <a:ext cx="725384"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endParaRPr lang="es-ES" sz="1200">
                <a:latin typeface="Arial" panose="020B0604020202020204" pitchFamily="34" charset="0"/>
                <a:cs typeface="Arial" panose="020B0604020202020204" pitchFamily="34" charset="0"/>
              </a:endParaRPr>
            </a:p>
          </xdr:txBody>
        </xdr:sp>
        <xdr:pic>
          <xdr:nvPicPr>
            <xdr:cNvPr id="8" name="Imagen 7" descr="D:\CENTRO DE INSPECCIÓN TOTAL BOYACÁ\logo\CITB Entregas final_Mesa de trabajo 1 solo.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6978" y="0"/>
              <a:ext cx="508142" cy="634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9" name="Rectángulo 8"/>
            <xdr:cNvSpPr/>
          </xdr:nvSpPr>
          <xdr:spPr>
            <a:xfrm>
              <a:off x="-422" y="226778"/>
              <a:ext cx="1802731" cy="219219"/>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Código:</a:t>
              </a:r>
              <a:r>
                <a:rPr lang="es-ES" sz="1200" baseline="0">
                  <a:solidFill>
                    <a:srgbClr val="000000"/>
                  </a:solidFill>
                  <a:effectLst/>
                  <a:latin typeface="Arial" panose="020B0604020202020204" pitchFamily="34" charset="0"/>
                  <a:ea typeface="Times New Roman" panose="02020603050405020304" pitchFamily="18" charset="0"/>
                  <a:cs typeface="Arial" panose="020B0604020202020204" pitchFamily="34" charset="0"/>
                </a:rPr>
                <a:t> CITB.CL.RG</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.03</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0" name="Rectángulo 9"/>
            <xdr:cNvSpPr/>
          </xdr:nvSpPr>
          <xdr:spPr>
            <a:xfrm>
              <a:off x="-422" y="438438"/>
              <a:ext cx="1802731" cy="226778"/>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Versión: 01</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grpSp>
    <xdr:clientData/>
  </xdr:twoCellAnchor>
  <xdr:twoCellAnchor>
    <xdr:from>
      <xdr:col>0</xdr:col>
      <xdr:colOff>0</xdr:colOff>
      <xdr:row>0</xdr:row>
      <xdr:rowOff>50939</xdr:rowOff>
    </xdr:from>
    <xdr:to>
      <xdr:col>7</xdr:col>
      <xdr:colOff>230187</xdr:colOff>
      <xdr:row>5</xdr:row>
      <xdr:rowOff>12839</xdr:rowOff>
    </xdr:to>
    <xdr:grpSp>
      <xdr:nvGrpSpPr>
        <xdr:cNvPr id="11" name="Grupo 10"/>
        <xdr:cNvGrpSpPr>
          <a:grpSpLocks/>
        </xdr:cNvGrpSpPr>
      </xdr:nvGrpSpPr>
      <xdr:grpSpPr bwMode="auto">
        <a:xfrm>
          <a:off x="0" y="50939"/>
          <a:ext cx="8002587" cy="914400"/>
          <a:chOff x="0" y="0"/>
          <a:chExt cx="6142161" cy="665216"/>
        </a:xfrm>
      </xdr:grpSpPr>
      <xdr:sp macro="" textlink="">
        <xdr:nvSpPr>
          <xdr:cNvPr id="12" name="Rectángulo 11"/>
          <xdr:cNvSpPr/>
        </xdr:nvSpPr>
        <xdr:spPr>
          <a:xfrm>
            <a:off x="0" y="0"/>
            <a:ext cx="3618338"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REGISTRO DE CONFIRMACIÓN METROLOGICA</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nvGrpSpPr>
          <xdr:cNvPr id="13" name="Grupo 12"/>
          <xdr:cNvGrpSpPr>
            <a:grpSpLocks/>
          </xdr:cNvGrpSpPr>
        </xdr:nvGrpSpPr>
        <xdr:grpSpPr bwMode="auto">
          <a:xfrm>
            <a:off x="3614046" y="0"/>
            <a:ext cx="2528115" cy="665216"/>
            <a:chOff x="-422" y="0"/>
            <a:chExt cx="2528115" cy="665216"/>
          </a:xfrm>
        </xdr:grpSpPr>
        <xdr:sp macro="" textlink="">
          <xdr:nvSpPr>
            <xdr:cNvPr id="14" name="Rectángulo 13"/>
            <xdr:cNvSpPr/>
          </xdr:nvSpPr>
          <xdr:spPr>
            <a:xfrm>
              <a:off x="-422" y="0"/>
              <a:ext cx="1802731" cy="234337"/>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Fecha de </a:t>
              </a:r>
              <a:r>
                <a:rPr lang="es-ES" sz="1200" b="0">
                  <a:solidFill>
                    <a:srgbClr val="000000"/>
                  </a:solidFill>
                  <a:effectLst/>
                  <a:latin typeface="Arial" panose="020B0604020202020204" pitchFamily="34" charset="0"/>
                  <a:ea typeface="Times New Roman" panose="02020603050405020304" pitchFamily="18" charset="0"/>
                  <a:cs typeface="Arial" panose="020B0604020202020204" pitchFamily="34" charset="0"/>
                </a:rPr>
                <a:t>emisión</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 2021-02-16</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5" name="Rectángulo 14"/>
            <xdr:cNvSpPr/>
          </xdr:nvSpPr>
          <xdr:spPr>
            <a:xfrm>
              <a:off x="1802309" y="0"/>
              <a:ext cx="725384"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endParaRPr lang="es-ES" sz="1200">
                <a:latin typeface="Arial" panose="020B0604020202020204" pitchFamily="34" charset="0"/>
                <a:cs typeface="Arial" panose="020B0604020202020204" pitchFamily="34" charset="0"/>
              </a:endParaRPr>
            </a:p>
          </xdr:txBody>
        </xdr:sp>
        <xdr:pic>
          <xdr:nvPicPr>
            <xdr:cNvPr id="16" name="Imagen 15" descr="D:\CENTRO DE INSPECCIÓN TOTAL BOYACÁ\logo\CITB Entregas final_Mesa de trabajo 1 solo.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6978" y="0"/>
              <a:ext cx="508142" cy="634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7" name="Rectángulo 16"/>
            <xdr:cNvSpPr/>
          </xdr:nvSpPr>
          <xdr:spPr>
            <a:xfrm>
              <a:off x="-422" y="226778"/>
              <a:ext cx="1802731" cy="219219"/>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Código:</a:t>
              </a:r>
              <a:r>
                <a:rPr lang="es-ES" sz="1200" baseline="0">
                  <a:solidFill>
                    <a:srgbClr val="000000"/>
                  </a:solidFill>
                  <a:effectLst/>
                  <a:latin typeface="Arial" panose="020B0604020202020204" pitchFamily="34" charset="0"/>
                  <a:ea typeface="Times New Roman" panose="02020603050405020304" pitchFamily="18" charset="0"/>
                  <a:cs typeface="Arial" panose="020B0604020202020204" pitchFamily="34" charset="0"/>
                </a:rPr>
                <a:t> CITB.CL.RG</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.03</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8" name="Rectángulo 17"/>
            <xdr:cNvSpPr/>
          </xdr:nvSpPr>
          <xdr:spPr>
            <a:xfrm>
              <a:off x="-422" y="438438"/>
              <a:ext cx="1802731" cy="226778"/>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Versión: 02</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grpSp>
    <xdr:clientData/>
  </xdr:twoCellAnchor>
</xdr:wsDr>
</file>

<file path=xl/drawings/drawing16.xml><?xml version="1.0" encoding="utf-8"?>
<xdr:wsDr xmlns:xdr="http://schemas.openxmlformats.org/drawingml/2006/spreadsheetDrawing" xmlns:a="http://schemas.openxmlformats.org/drawingml/2006/main">
  <xdr:twoCellAnchor>
    <xdr:from>
      <xdr:col>1</xdr:col>
      <xdr:colOff>0</xdr:colOff>
      <xdr:row>42</xdr:row>
      <xdr:rowOff>19050</xdr:rowOff>
    </xdr:from>
    <xdr:to>
      <xdr:col>6</xdr:col>
      <xdr:colOff>714375</xdr:colOff>
      <xdr:row>57</xdr:row>
      <xdr:rowOff>180975</xdr:rowOff>
    </xdr:to>
    <xdr:graphicFrame macro="">
      <xdr:nvGraphicFramePr>
        <xdr:cNvPr id="2"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50939</xdr:rowOff>
    </xdr:from>
    <xdr:to>
      <xdr:col>7</xdr:col>
      <xdr:colOff>230187</xdr:colOff>
      <xdr:row>5</xdr:row>
      <xdr:rowOff>12839</xdr:rowOff>
    </xdr:to>
    <xdr:grpSp>
      <xdr:nvGrpSpPr>
        <xdr:cNvPr id="3" name="Grupo 2"/>
        <xdr:cNvGrpSpPr>
          <a:grpSpLocks/>
        </xdr:cNvGrpSpPr>
      </xdr:nvGrpSpPr>
      <xdr:grpSpPr bwMode="auto">
        <a:xfrm>
          <a:off x="0" y="50939"/>
          <a:ext cx="8040687" cy="914400"/>
          <a:chOff x="0" y="0"/>
          <a:chExt cx="6142161" cy="665216"/>
        </a:xfrm>
      </xdr:grpSpPr>
      <xdr:sp macro="" textlink="">
        <xdr:nvSpPr>
          <xdr:cNvPr id="4" name="Rectángulo 3"/>
          <xdr:cNvSpPr/>
        </xdr:nvSpPr>
        <xdr:spPr>
          <a:xfrm>
            <a:off x="0" y="0"/>
            <a:ext cx="3618338"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REGISTRO DE CONFIRMACIÓN METROLOGICA</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nvGrpSpPr>
          <xdr:cNvPr id="5" name="Grupo 4"/>
          <xdr:cNvGrpSpPr>
            <a:grpSpLocks/>
          </xdr:cNvGrpSpPr>
        </xdr:nvGrpSpPr>
        <xdr:grpSpPr bwMode="auto">
          <a:xfrm>
            <a:off x="3614046" y="0"/>
            <a:ext cx="2528115" cy="665216"/>
            <a:chOff x="-422" y="0"/>
            <a:chExt cx="2528115" cy="665216"/>
          </a:xfrm>
        </xdr:grpSpPr>
        <xdr:sp macro="" textlink="">
          <xdr:nvSpPr>
            <xdr:cNvPr id="6" name="Rectángulo 5"/>
            <xdr:cNvSpPr/>
          </xdr:nvSpPr>
          <xdr:spPr>
            <a:xfrm>
              <a:off x="-422" y="0"/>
              <a:ext cx="1802731" cy="234337"/>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Fecha de </a:t>
              </a:r>
              <a:r>
                <a:rPr lang="es-ES" sz="1200" b="0">
                  <a:solidFill>
                    <a:srgbClr val="000000"/>
                  </a:solidFill>
                  <a:effectLst/>
                  <a:latin typeface="Arial" panose="020B0604020202020204" pitchFamily="34" charset="0"/>
                  <a:ea typeface="Times New Roman" panose="02020603050405020304" pitchFamily="18" charset="0"/>
                  <a:cs typeface="Arial" panose="020B0604020202020204" pitchFamily="34" charset="0"/>
                </a:rPr>
                <a:t>emisión</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 2019-02-18</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7" name="Rectángulo 6"/>
            <xdr:cNvSpPr/>
          </xdr:nvSpPr>
          <xdr:spPr>
            <a:xfrm>
              <a:off x="1802309" y="0"/>
              <a:ext cx="725384"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endParaRPr lang="es-ES" sz="1200">
                <a:latin typeface="Arial" panose="020B0604020202020204" pitchFamily="34" charset="0"/>
                <a:cs typeface="Arial" panose="020B0604020202020204" pitchFamily="34" charset="0"/>
              </a:endParaRPr>
            </a:p>
          </xdr:txBody>
        </xdr:sp>
        <xdr:pic>
          <xdr:nvPicPr>
            <xdr:cNvPr id="8" name="Imagen 7" descr="D:\CENTRO DE INSPECCIÓN TOTAL BOYACÁ\logo\CITB Entregas final_Mesa de trabajo 1 solo.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6978" y="0"/>
              <a:ext cx="508142" cy="634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9" name="Rectángulo 8"/>
            <xdr:cNvSpPr/>
          </xdr:nvSpPr>
          <xdr:spPr>
            <a:xfrm>
              <a:off x="-422" y="226778"/>
              <a:ext cx="1802731" cy="219219"/>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Código:</a:t>
              </a:r>
              <a:r>
                <a:rPr lang="es-ES" sz="1200" baseline="0">
                  <a:solidFill>
                    <a:srgbClr val="000000"/>
                  </a:solidFill>
                  <a:effectLst/>
                  <a:latin typeface="Arial" panose="020B0604020202020204" pitchFamily="34" charset="0"/>
                  <a:ea typeface="Times New Roman" panose="02020603050405020304" pitchFamily="18" charset="0"/>
                  <a:cs typeface="Arial" panose="020B0604020202020204" pitchFamily="34" charset="0"/>
                </a:rPr>
                <a:t> CITB.CL.RG</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.03</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0" name="Rectángulo 9"/>
            <xdr:cNvSpPr/>
          </xdr:nvSpPr>
          <xdr:spPr>
            <a:xfrm>
              <a:off x="-422" y="438438"/>
              <a:ext cx="1802731" cy="226778"/>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Versión: 01</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grpSp>
    <xdr:clientData/>
  </xdr:twoCellAnchor>
  <xdr:twoCellAnchor>
    <xdr:from>
      <xdr:col>0</xdr:col>
      <xdr:colOff>0</xdr:colOff>
      <xdr:row>0</xdr:row>
      <xdr:rowOff>50939</xdr:rowOff>
    </xdr:from>
    <xdr:to>
      <xdr:col>7</xdr:col>
      <xdr:colOff>230187</xdr:colOff>
      <xdr:row>5</xdr:row>
      <xdr:rowOff>12839</xdr:rowOff>
    </xdr:to>
    <xdr:grpSp>
      <xdr:nvGrpSpPr>
        <xdr:cNvPr id="11" name="Grupo 10"/>
        <xdr:cNvGrpSpPr>
          <a:grpSpLocks/>
        </xdr:cNvGrpSpPr>
      </xdr:nvGrpSpPr>
      <xdr:grpSpPr bwMode="auto">
        <a:xfrm>
          <a:off x="0" y="50939"/>
          <a:ext cx="8040687" cy="914400"/>
          <a:chOff x="0" y="0"/>
          <a:chExt cx="6142161" cy="665216"/>
        </a:xfrm>
      </xdr:grpSpPr>
      <xdr:sp macro="" textlink="">
        <xdr:nvSpPr>
          <xdr:cNvPr id="12" name="Rectángulo 11"/>
          <xdr:cNvSpPr/>
        </xdr:nvSpPr>
        <xdr:spPr>
          <a:xfrm>
            <a:off x="0" y="0"/>
            <a:ext cx="3618338"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REGISTRO DE CONFIRMACIÓN METROLOGICA</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nvGrpSpPr>
          <xdr:cNvPr id="13" name="Grupo 12"/>
          <xdr:cNvGrpSpPr>
            <a:grpSpLocks/>
          </xdr:cNvGrpSpPr>
        </xdr:nvGrpSpPr>
        <xdr:grpSpPr bwMode="auto">
          <a:xfrm>
            <a:off x="3614046" y="0"/>
            <a:ext cx="2528115" cy="665216"/>
            <a:chOff x="-422" y="0"/>
            <a:chExt cx="2528115" cy="665216"/>
          </a:xfrm>
        </xdr:grpSpPr>
        <xdr:sp macro="" textlink="">
          <xdr:nvSpPr>
            <xdr:cNvPr id="14" name="Rectángulo 13"/>
            <xdr:cNvSpPr/>
          </xdr:nvSpPr>
          <xdr:spPr>
            <a:xfrm>
              <a:off x="-422" y="0"/>
              <a:ext cx="1802731" cy="234337"/>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Fecha de </a:t>
              </a:r>
              <a:r>
                <a:rPr lang="es-ES" sz="1200" b="0">
                  <a:solidFill>
                    <a:srgbClr val="000000"/>
                  </a:solidFill>
                  <a:effectLst/>
                  <a:latin typeface="Arial" panose="020B0604020202020204" pitchFamily="34" charset="0"/>
                  <a:ea typeface="Times New Roman" panose="02020603050405020304" pitchFamily="18" charset="0"/>
                  <a:cs typeface="Arial" panose="020B0604020202020204" pitchFamily="34" charset="0"/>
                </a:rPr>
                <a:t>emisión</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 2021-02-16</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5" name="Rectángulo 14"/>
            <xdr:cNvSpPr/>
          </xdr:nvSpPr>
          <xdr:spPr>
            <a:xfrm>
              <a:off x="1802309" y="0"/>
              <a:ext cx="725384"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endParaRPr lang="es-ES" sz="1200">
                <a:latin typeface="Arial" panose="020B0604020202020204" pitchFamily="34" charset="0"/>
                <a:cs typeface="Arial" panose="020B0604020202020204" pitchFamily="34" charset="0"/>
              </a:endParaRPr>
            </a:p>
          </xdr:txBody>
        </xdr:sp>
        <xdr:pic>
          <xdr:nvPicPr>
            <xdr:cNvPr id="16" name="Imagen 15" descr="D:\CENTRO DE INSPECCIÓN TOTAL BOYACÁ\logo\CITB Entregas final_Mesa de trabajo 1 solo.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6978" y="0"/>
              <a:ext cx="508142" cy="634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7" name="Rectángulo 16"/>
            <xdr:cNvSpPr/>
          </xdr:nvSpPr>
          <xdr:spPr>
            <a:xfrm>
              <a:off x="-422" y="226778"/>
              <a:ext cx="1802731" cy="219219"/>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Código:</a:t>
              </a:r>
              <a:r>
                <a:rPr lang="es-ES" sz="1200" baseline="0">
                  <a:solidFill>
                    <a:srgbClr val="000000"/>
                  </a:solidFill>
                  <a:effectLst/>
                  <a:latin typeface="Arial" panose="020B0604020202020204" pitchFamily="34" charset="0"/>
                  <a:ea typeface="Times New Roman" panose="02020603050405020304" pitchFamily="18" charset="0"/>
                  <a:cs typeface="Arial" panose="020B0604020202020204" pitchFamily="34" charset="0"/>
                </a:rPr>
                <a:t> CITB.CL.RG</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.03</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8" name="Rectángulo 17"/>
            <xdr:cNvSpPr/>
          </xdr:nvSpPr>
          <xdr:spPr>
            <a:xfrm>
              <a:off x="-422" y="438438"/>
              <a:ext cx="1802731" cy="226778"/>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Versión: 02</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grpSp>
    <xdr:clientData/>
  </xdr:twoCellAnchor>
</xdr:wsDr>
</file>

<file path=xl/drawings/drawing17.xml><?xml version="1.0" encoding="utf-8"?>
<xdr:wsDr xmlns:xdr="http://schemas.openxmlformats.org/drawingml/2006/spreadsheetDrawing" xmlns:a="http://schemas.openxmlformats.org/drawingml/2006/main">
  <xdr:twoCellAnchor>
    <xdr:from>
      <xdr:col>1</xdr:col>
      <xdr:colOff>66675</xdr:colOff>
      <xdr:row>41</xdr:row>
      <xdr:rowOff>152400</xdr:rowOff>
    </xdr:from>
    <xdr:to>
      <xdr:col>7</xdr:col>
      <xdr:colOff>9525</xdr:colOff>
      <xdr:row>57</xdr:row>
      <xdr:rowOff>142875</xdr:rowOff>
    </xdr:to>
    <xdr:graphicFrame macro="">
      <xdr:nvGraphicFramePr>
        <xdr:cNvPr id="2"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50939</xdr:rowOff>
    </xdr:from>
    <xdr:to>
      <xdr:col>7</xdr:col>
      <xdr:colOff>230187</xdr:colOff>
      <xdr:row>5</xdr:row>
      <xdr:rowOff>12839</xdr:rowOff>
    </xdr:to>
    <xdr:grpSp>
      <xdr:nvGrpSpPr>
        <xdr:cNvPr id="3" name="Grupo 2"/>
        <xdr:cNvGrpSpPr>
          <a:grpSpLocks/>
        </xdr:cNvGrpSpPr>
      </xdr:nvGrpSpPr>
      <xdr:grpSpPr bwMode="auto">
        <a:xfrm>
          <a:off x="0" y="50939"/>
          <a:ext cx="7897812" cy="914400"/>
          <a:chOff x="0" y="0"/>
          <a:chExt cx="6142161" cy="665216"/>
        </a:xfrm>
      </xdr:grpSpPr>
      <xdr:sp macro="" textlink="">
        <xdr:nvSpPr>
          <xdr:cNvPr id="4" name="Rectángulo 3"/>
          <xdr:cNvSpPr/>
        </xdr:nvSpPr>
        <xdr:spPr>
          <a:xfrm>
            <a:off x="0" y="0"/>
            <a:ext cx="3618338"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REGISTRO DE CONFIRMACIÓN METROLOGICA</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nvGrpSpPr>
          <xdr:cNvPr id="5" name="Grupo 4"/>
          <xdr:cNvGrpSpPr>
            <a:grpSpLocks/>
          </xdr:cNvGrpSpPr>
        </xdr:nvGrpSpPr>
        <xdr:grpSpPr bwMode="auto">
          <a:xfrm>
            <a:off x="3614046" y="0"/>
            <a:ext cx="2528115" cy="665216"/>
            <a:chOff x="-422" y="0"/>
            <a:chExt cx="2528115" cy="665216"/>
          </a:xfrm>
        </xdr:grpSpPr>
        <xdr:sp macro="" textlink="">
          <xdr:nvSpPr>
            <xdr:cNvPr id="6" name="Rectángulo 5"/>
            <xdr:cNvSpPr/>
          </xdr:nvSpPr>
          <xdr:spPr>
            <a:xfrm>
              <a:off x="-422" y="0"/>
              <a:ext cx="1802731" cy="234337"/>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Fecha de </a:t>
              </a:r>
              <a:r>
                <a:rPr lang="es-ES" sz="1200" b="0">
                  <a:solidFill>
                    <a:srgbClr val="000000"/>
                  </a:solidFill>
                  <a:effectLst/>
                  <a:latin typeface="Arial" panose="020B0604020202020204" pitchFamily="34" charset="0"/>
                  <a:ea typeface="Times New Roman" panose="02020603050405020304" pitchFamily="18" charset="0"/>
                  <a:cs typeface="Arial" panose="020B0604020202020204" pitchFamily="34" charset="0"/>
                </a:rPr>
                <a:t>emisión</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 2021-02-16</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7" name="Rectángulo 6"/>
            <xdr:cNvSpPr/>
          </xdr:nvSpPr>
          <xdr:spPr>
            <a:xfrm>
              <a:off x="1802309" y="0"/>
              <a:ext cx="725384"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endParaRPr lang="es-ES" sz="1200">
                <a:latin typeface="Arial" panose="020B0604020202020204" pitchFamily="34" charset="0"/>
                <a:cs typeface="Arial" panose="020B0604020202020204" pitchFamily="34" charset="0"/>
              </a:endParaRPr>
            </a:p>
          </xdr:txBody>
        </xdr:sp>
        <xdr:pic>
          <xdr:nvPicPr>
            <xdr:cNvPr id="8" name="Imagen 7" descr="D:\CENTRO DE INSPECCIÓN TOTAL BOYACÁ\logo\CITB Entregas final_Mesa de trabajo 1 solo.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6978" y="0"/>
              <a:ext cx="508142" cy="634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9" name="Rectángulo 8"/>
            <xdr:cNvSpPr/>
          </xdr:nvSpPr>
          <xdr:spPr>
            <a:xfrm>
              <a:off x="-422" y="226778"/>
              <a:ext cx="1802731" cy="219219"/>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Código:</a:t>
              </a:r>
              <a:r>
                <a:rPr lang="es-ES" sz="1200" baseline="0">
                  <a:solidFill>
                    <a:srgbClr val="000000"/>
                  </a:solidFill>
                  <a:effectLst/>
                  <a:latin typeface="Arial" panose="020B0604020202020204" pitchFamily="34" charset="0"/>
                  <a:ea typeface="Times New Roman" panose="02020603050405020304" pitchFamily="18" charset="0"/>
                  <a:cs typeface="Arial" panose="020B0604020202020204" pitchFamily="34" charset="0"/>
                </a:rPr>
                <a:t> CITB.CL.RG</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.03</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0" name="Rectángulo 9"/>
            <xdr:cNvSpPr/>
          </xdr:nvSpPr>
          <xdr:spPr>
            <a:xfrm>
              <a:off x="-422" y="438438"/>
              <a:ext cx="1802731" cy="226778"/>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Versión: 02</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grpSp>
    <xdr:clientData/>
  </xdr:twoCellAnchor>
</xdr:wsDr>
</file>

<file path=xl/drawings/drawing18.xml><?xml version="1.0" encoding="utf-8"?>
<xdr:wsDr xmlns:xdr="http://schemas.openxmlformats.org/drawingml/2006/spreadsheetDrawing" xmlns:a="http://schemas.openxmlformats.org/drawingml/2006/main">
  <xdr:twoCellAnchor>
    <xdr:from>
      <xdr:col>1</xdr:col>
      <xdr:colOff>1</xdr:colOff>
      <xdr:row>48</xdr:row>
      <xdr:rowOff>175846</xdr:rowOff>
    </xdr:from>
    <xdr:to>
      <xdr:col>7</xdr:col>
      <xdr:colOff>14654</xdr:colOff>
      <xdr:row>65</xdr:row>
      <xdr:rowOff>733</xdr:rowOff>
    </xdr:to>
    <xdr:graphicFrame macro="">
      <xdr:nvGraphicFramePr>
        <xdr:cNvPr id="2"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50939</xdr:rowOff>
    </xdr:from>
    <xdr:to>
      <xdr:col>7</xdr:col>
      <xdr:colOff>230187</xdr:colOff>
      <xdr:row>5</xdr:row>
      <xdr:rowOff>12839</xdr:rowOff>
    </xdr:to>
    <xdr:grpSp>
      <xdr:nvGrpSpPr>
        <xdr:cNvPr id="3" name="Grupo 2"/>
        <xdr:cNvGrpSpPr>
          <a:grpSpLocks/>
        </xdr:cNvGrpSpPr>
      </xdr:nvGrpSpPr>
      <xdr:grpSpPr bwMode="auto">
        <a:xfrm>
          <a:off x="0" y="50939"/>
          <a:ext cx="7996725" cy="914400"/>
          <a:chOff x="0" y="0"/>
          <a:chExt cx="6142161" cy="665216"/>
        </a:xfrm>
      </xdr:grpSpPr>
      <xdr:sp macro="" textlink="">
        <xdr:nvSpPr>
          <xdr:cNvPr id="4" name="Rectángulo 3"/>
          <xdr:cNvSpPr/>
        </xdr:nvSpPr>
        <xdr:spPr>
          <a:xfrm>
            <a:off x="0" y="0"/>
            <a:ext cx="3618338"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REGISTRO DE CONFIRMACIÓN METROLOGICA</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nvGrpSpPr>
          <xdr:cNvPr id="5" name="Grupo 4"/>
          <xdr:cNvGrpSpPr>
            <a:grpSpLocks/>
          </xdr:cNvGrpSpPr>
        </xdr:nvGrpSpPr>
        <xdr:grpSpPr bwMode="auto">
          <a:xfrm>
            <a:off x="3614046" y="0"/>
            <a:ext cx="2528115" cy="665216"/>
            <a:chOff x="-422" y="0"/>
            <a:chExt cx="2528115" cy="665216"/>
          </a:xfrm>
        </xdr:grpSpPr>
        <xdr:sp macro="" textlink="">
          <xdr:nvSpPr>
            <xdr:cNvPr id="6" name="Rectángulo 5"/>
            <xdr:cNvSpPr/>
          </xdr:nvSpPr>
          <xdr:spPr>
            <a:xfrm>
              <a:off x="-422" y="0"/>
              <a:ext cx="1802731" cy="234337"/>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Fecha de </a:t>
              </a:r>
              <a:r>
                <a:rPr lang="es-ES" sz="1200" b="0">
                  <a:solidFill>
                    <a:srgbClr val="000000"/>
                  </a:solidFill>
                  <a:effectLst/>
                  <a:latin typeface="Arial" panose="020B0604020202020204" pitchFamily="34" charset="0"/>
                  <a:ea typeface="Times New Roman" panose="02020603050405020304" pitchFamily="18" charset="0"/>
                  <a:cs typeface="Arial" panose="020B0604020202020204" pitchFamily="34" charset="0"/>
                </a:rPr>
                <a:t>emisión</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 2019-02-18</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7" name="Rectángulo 6"/>
            <xdr:cNvSpPr/>
          </xdr:nvSpPr>
          <xdr:spPr>
            <a:xfrm>
              <a:off x="1802309" y="0"/>
              <a:ext cx="725384"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endParaRPr lang="es-ES" sz="1200">
                <a:latin typeface="Arial" panose="020B0604020202020204" pitchFamily="34" charset="0"/>
                <a:cs typeface="Arial" panose="020B0604020202020204" pitchFamily="34" charset="0"/>
              </a:endParaRPr>
            </a:p>
          </xdr:txBody>
        </xdr:sp>
        <xdr:pic>
          <xdr:nvPicPr>
            <xdr:cNvPr id="8" name="Imagen 7" descr="D:\CENTRO DE INSPECCIÓN TOTAL BOYACÁ\logo\CITB Entregas final_Mesa de trabajo 1 solo.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6978" y="0"/>
              <a:ext cx="508142" cy="634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9" name="Rectángulo 8"/>
            <xdr:cNvSpPr/>
          </xdr:nvSpPr>
          <xdr:spPr>
            <a:xfrm>
              <a:off x="-422" y="226778"/>
              <a:ext cx="1802731" cy="219219"/>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Código:</a:t>
              </a:r>
              <a:r>
                <a:rPr lang="es-ES" sz="1200" baseline="0">
                  <a:solidFill>
                    <a:srgbClr val="000000"/>
                  </a:solidFill>
                  <a:effectLst/>
                  <a:latin typeface="Arial" panose="020B0604020202020204" pitchFamily="34" charset="0"/>
                  <a:ea typeface="Times New Roman" panose="02020603050405020304" pitchFamily="18" charset="0"/>
                  <a:cs typeface="Arial" panose="020B0604020202020204" pitchFamily="34" charset="0"/>
                </a:rPr>
                <a:t> CITB.CL.RG</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.03</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0" name="Rectángulo 9"/>
            <xdr:cNvSpPr/>
          </xdr:nvSpPr>
          <xdr:spPr>
            <a:xfrm>
              <a:off x="-422" y="438438"/>
              <a:ext cx="1802731" cy="226778"/>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Versión: 01</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grpSp>
    <xdr:clientData/>
  </xdr:twoCellAnchor>
  <xdr:twoCellAnchor>
    <xdr:from>
      <xdr:col>0</xdr:col>
      <xdr:colOff>0</xdr:colOff>
      <xdr:row>0</xdr:row>
      <xdr:rowOff>50939</xdr:rowOff>
    </xdr:from>
    <xdr:to>
      <xdr:col>7</xdr:col>
      <xdr:colOff>230187</xdr:colOff>
      <xdr:row>5</xdr:row>
      <xdr:rowOff>12839</xdr:rowOff>
    </xdr:to>
    <xdr:grpSp>
      <xdr:nvGrpSpPr>
        <xdr:cNvPr id="11" name="Grupo 10"/>
        <xdr:cNvGrpSpPr>
          <a:grpSpLocks/>
        </xdr:cNvGrpSpPr>
      </xdr:nvGrpSpPr>
      <xdr:grpSpPr bwMode="auto">
        <a:xfrm>
          <a:off x="0" y="50939"/>
          <a:ext cx="7996725" cy="914400"/>
          <a:chOff x="0" y="0"/>
          <a:chExt cx="6142161" cy="665216"/>
        </a:xfrm>
      </xdr:grpSpPr>
      <xdr:sp macro="" textlink="">
        <xdr:nvSpPr>
          <xdr:cNvPr id="12" name="Rectángulo 11"/>
          <xdr:cNvSpPr/>
        </xdr:nvSpPr>
        <xdr:spPr>
          <a:xfrm>
            <a:off x="0" y="0"/>
            <a:ext cx="3618338"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REGISTRO DE CONFIRMACIÓN METROLOGICA</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nvGrpSpPr>
          <xdr:cNvPr id="13" name="Grupo 12"/>
          <xdr:cNvGrpSpPr>
            <a:grpSpLocks/>
          </xdr:cNvGrpSpPr>
        </xdr:nvGrpSpPr>
        <xdr:grpSpPr bwMode="auto">
          <a:xfrm>
            <a:off x="3614046" y="0"/>
            <a:ext cx="2528115" cy="665216"/>
            <a:chOff x="-422" y="0"/>
            <a:chExt cx="2528115" cy="665216"/>
          </a:xfrm>
        </xdr:grpSpPr>
        <xdr:sp macro="" textlink="">
          <xdr:nvSpPr>
            <xdr:cNvPr id="14" name="Rectángulo 13"/>
            <xdr:cNvSpPr/>
          </xdr:nvSpPr>
          <xdr:spPr>
            <a:xfrm>
              <a:off x="-422" y="0"/>
              <a:ext cx="1802731" cy="234337"/>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Fecha de </a:t>
              </a:r>
              <a:r>
                <a:rPr lang="es-ES" sz="1200" b="0">
                  <a:solidFill>
                    <a:srgbClr val="000000"/>
                  </a:solidFill>
                  <a:effectLst/>
                  <a:latin typeface="Arial" panose="020B0604020202020204" pitchFamily="34" charset="0"/>
                  <a:ea typeface="Times New Roman" panose="02020603050405020304" pitchFamily="18" charset="0"/>
                  <a:cs typeface="Arial" panose="020B0604020202020204" pitchFamily="34" charset="0"/>
                </a:rPr>
                <a:t>emisión</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 2021-02-16</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5" name="Rectángulo 14"/>
            <xdr:cNvSpPr/>
          </xdr:nvSpPr>
          <xdr:spPr>
            <a:xfrm>
              <a:off x="1802309" y="0"/>
              <a:ext cx="725384"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endParaRPr lang="es-ES" sz="1200">
                <a:latin typeface="Arial" panose="020B0604020202020204" pitchFamily="34" charset="0"/>
                <a:cs typeface="Arial" panose="020B0604020202020204" pitchFamily="34" charset="0"/>
              </a:endParaRPr>
            </a:p>
          </xdr:txBody>
        </xdr:sp>
        <xdr:pic>
          <xdr:nvPicPr>
            <xdr:cNvPr id="16" name="Imagen 15" descr="D:\CENTRO DE INSPECCIÓN TOTAL BOYACÁ\logo\CITB Entregas final_Mesa de trabajo 1 solo.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6978" y="0"/>
              <a:ext cx="508142" cy="634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7" name="Rectángulo 16"/>
            <xdr:cNvSpPr/>
          </xdr:nvSpPr>
          <xdr:spPr>
            <a:xfrm>
              <a:off x="-422" y="226778"/>
              <a:ext cx="1802731" cy="219219"/>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Código:</a:t>
              </a:r>
              <a:r>
                <a:rPr lang="es-ES" sz="1200" baseline="0">
                  <a:solidFill>
                    <a:srgbClr val="000000"/>
                  </a:solidFill>
                  <a:effectLst/>
                  <a:latin typeface="Arial" panose="020B0604020202020204" pitchFamily="34" charset="0"/>
                  <a:ea typeface="Times New Roman" panose="02020603050405020304" pitchFamily="18" charset="0"/>
                  <a:cs typeface="Arial" panose="020B0604020202020204" pitchFamily="34" charset="0"/>
                </a:rPr>
                <a:t> CITB.CL.RG</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.03</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8" name="Rectángulo 17"/>
            <xdr:cNvSpPr/>
          </xdr:nvSpPr>
          <xdr:spPr>
            <a:xfrm>
              <a:off x="-422" y="438438"/>
              <a:ext cx="1802731" cy="226778"/>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Versión: 02</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grpSp>
    <xdr:clientData/>
  </xdr:twoCellAnchor>
</xdr:wsDr>
</file>

<file path=xl/drawings/drawing19.xml><?xml version="1.0" encoding="utf-8"?>
<xdr:wsDr xmlns:xdr="http://schemas.openxmlformats.org/drawingml/2006/spreadsheetDrawing" xmlns:a="http://schemas.openxmlformats.org/drawingml/2006/main">
  <xdr:twoCellAnchor>
    <xdr:from>
      <xdr:col>1</xdr:col>
      <xdr:colOff>38101</xdr:colOff>
      <xdr:row>35</xdr:row>
      <xdr:rowOff>66675</xdr:rowOff>
    </xdr:from>
    <xdr:to>
      <xdr:col>6</xdr:col>
      <xdr:colOff>742951</xdr:colOff>
      <xdr:row>51</xdr:row>
      <xdr:rowOff>38100</xdr:rowOff>
    </xdr:to>
    <xdr:graphicFrame macro="">
      <xdr:nvGraphicFramePr>
        <xdr:cNvPr id="2"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50939</xdr:rowOff>
    </xdr:from>
    <xdr:to>
      <xdr:col>7</xdr:col>
      <xdr:colOff>230187</xdr:colOff>
      <xdr:row>5</xdr:row>
      <xdr:rowOff>12839</xdr:rowOff>
    </xdr:to>
    <xdr:grpSp>
      <xdr:nvGrpSpPr>
        <xdr:cNvPr id="3" name="Grupo 2"/>
        <xdr:cNvGrpSpPr>
          <a:grpSpLocks/>
        </xdr:cNvGrpSpPr>
      </xdr:nvGrpSpPr>
      <xdr:grpSpPr bwMode="auto">
        <a:xfrm>
          <a:off x="0" y="50939"/>
          <a:ext cx="7993062" cy="914400"/>
          <a:chOff x="0" y="0"/>
          <a:chExt cx="6142161" cy="665216"/>
        </a:xfrm>
      </xdr:grpSpPr>
      <xdr:sp macro="" textlink="">
        <xdr:nvSpPr>
          <xdr:cNvPr id="4" name="Rectángulo 3"/>
          <xdr:cNvSpPr/>
        </xdr:nvSpPr>
        <xdr:spPr>
          <a:xfrm>
            <a:off x="0" y="0"/>
            <a:ext cx="3618338"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REGISTRO DE CONFIRMACIÓN METROLOGICA</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nvGrpSpPr>
          <xdr:cNvPr id="5" name="Grupo 4"/>
          <xdr:cNvGrpSpPr>
            <a:grpSpLocks/>
          </xdr:cNvGrpSpPr>
        </xdr:nvGrpSpPr>
        <xdr:grpSpPr bwMode="auto">
          <a:xfrm>
            <a:off x="3614046" y="0"/>
            <a:ext cx="2528115" cy="665216"/>
            <a:chOff x="-422" y="0"/>
            <a:chExt cx="2528115" cy="665216"/>
          </a:xfrm>
        </xdr:grpSpPr>
        <xdr:sp macro="" textlink="">
          <xdr:nvSpPr>
            <xdr:cNvPr id="6" name="Rectángulo 5"/>
            <xdr:cNvSpPr/>
          </xdr:nvSpPr>
          <xdr:spPr>
            <a:xfrm>
              <a:off x="-422" y="0"/>
              <a:ext cx="1802731" cy="234337"/>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Fecha de </a:t>
              </a:r>
              <a:r>
                <a:rPr lang="es-ES" sz="1200" b="0">
                  <a:solidFill>
                    <a:srgbClr val="000000"/>
                  </a:solidFill>
                  <a:effectLst/>
                  <a:latin typeface="Arial" panose="020B0604020202020204" pitchFamily="34" charset="0"/>
                  <a:ea typeface="Times New Roman" panose="02020603050405020304" pitchFamily="18" charset="0"/>
                  <a:cs typeface="Arial" panose="020B0604020202020204" pitchFamily="34" charset="0"/>
                </a:rPr>
                <a:t>emisión</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 2019-02-18</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7" name="Rectángulo 6"/>
            <xdr:cNvSpPr/>
          </xdr:nvSpPr>
          <xdr:spPr>
            <a:xfrm>
              <a:off x="1802309" y="0"/>
              <a:ext cx="725384"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endParaRPr lang="es-ES" sz="1200">
                <a:latin typeface="Arial" panose="020B0604020202020204" pitchFamily="34" charset="0"/>
                <a:cs typeface="Arial" panose="020B0604020202020204" pitchFamily="34" charset="0"/>
              </a:endParaRPr>
            </a:p>
          </xdr:txBody>
        </xdr:sp>
        <xdr:pic>
          <xdr:nvPicPr>
            <xdr:cNvPr id="8" name="Imagen 7" descr="D:\CENTRO DE INSPECCIÓN TOTAL BOYACÁ\logo\CITB Entregas final_Mesa de trabajo 1 solo.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6978" y="0"/>
              <a:ext cx="508142" cy="634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9" name="Rectángulo 8"/>
            <xdr:cNvSpPr/>
          </xdr:nvSpPr>
          <xdr:spPr>
            <a:xfrm>
              <a:off x="-422" y="226778"/>
              <a:ext cx="1802731" cy="219219"/>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Código:</a:t>
              </a:r>
              <a:r>
                <a:rPr lang="es-ES" sz="1200" baseline="0">
                  <a:solidFill>
                    <a:srgbClr val="000000"/>
                  </a:solidFill>
                  <a:effectLst/>
                  <a:latin typeface="Arial" panose="020B0604020202020204" pitchFamily="34" charset="0"/>
                  <a:ea typeface="Times New Roman" panose="02020603050405020304" pitchFamily="18" charset="0"/>
                  <a:cs typeface="Arial" panose="020B0604020202020204" pitchFamily="34" charset="0"/>
                </a:rPr>
                <a:t> CITB.CL.RG</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.03</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0" name="Rectángulo 9"/>
            <xdr:cNvSpPr/>
          </xdr:nvSpPr>
          <xdr:spPr>
            <a:xfrm>
              <a:off x="-422" y="438438"/>
              <a:ext cx="1802731" cy="226778"/>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Versión: 01</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grpSp>
    <xdr:clientData/>
  </xdr:twoCellAnchor>
  <xdr:twoCellAnchor>
    <xdr:from>
      <xdr:col>0</xdr:col>
      <xdr:colOff>0</xdr:colOff>
      <xdr:row>0</xdr:row>
      <xdr:rowOff>50939</xdr:rowOff>
    </xdr:from>
    <xdr:to>
      <xdr:col>7</xdr:col>
      <xdr:colOff>230187</xdr:colOff>
      <xdr:row>5</xdr:row>
      <xdr:rowOff>12839</xdr:rowOff>
    </xdr:to>
    <xdr:grpSp>
      <xdr:nvGrpSpPr>
        <xdr:cNvPr id="11" name="Grupo 10"/>
        <xdr:cNvGrpSpPr>
          <a:grpSpLocks/>
        </xdr:cNvGrpSpPr>
      </xdr:nvGrpSpPr>
      <xdr:grpSpPr bwMode="auto">
        <a:xfrm>
          <a:off x="0" y="50939"/>
          <a:ext cx="7993062" cy="914400"/>
          <a:chOff x="0" y="0"/>
          <a:chExt cx="6142161" cy="665216"/>
        </a:xfrm>
      </xdr:grpSpPr>
      <xdr:sp macro="" textlink="">
        <xdr:nvSpPr>
          <xdr:cNvPr id="12" name="Rectángulo 11"/>
          <xdr:cNvSpPr/>
        </xdr:nvSpPr>
        <xdr:spPr>
          <a:xfrm>
            <a:off x="0" y="0"/>
            <a:ext cx="3618338"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REGISTRO DE CONFIRMACIÓN METROLOGICA</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nvGrpSpPr>
          <xdr:cNvPr id="13" name="Grupo 12"/>
          <xdr:cNvGrpSpPr>
            <a:grpSpLocks/>
          </xdr:cNvGrpSpPr>
        </xdr:nvGrpSpPr>
        <xdr:grpSpPr bwMode="auto">
          <a:xfrm>
            <a:off x="3614046" y="0"/>
            <a:ext cx="2528115" cy="665216"/>
            <a:chOff x="-422" y="0"/>
            <a:chExt cx="2528115" cy="665216"/>
          </a:xfrm>
        </xdr:grpSpPr>
        <xdr:sp macro="" textlink="">
          <xdr:nvSpPr>
            <xdr:cNvPr id="14" name="Rectángulo 13"/>
            <xdr:cNvSpPr/>
          </xdr:nvSpPr>
          <xdr:spPr>
            <a:xfrm>
              <a:off x="-422" y="0"/>
              <a:ext cx="1802731" cy="234337"/>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Fecha de </a:t>
              </a:r>
              <a:r>
                <a:rPr lang="es-ES" sz="1200" b="0">
                  <a:solidFill>
                    <a:srgbClr val="000000"/>
                  </a:solidFill>
                  <a:effectLst/>
                  <a:latin typeface="Arial" panose="020B0604020202020204" pitchFamily="34" charset="0"/>
                  <a:ea typeface="Times New Roman" panose="02020603050405020304" pitchFamily="18" charset="0"/>
                  <a:cs typeface="Arial" panose="020B0604020202020204" pitchFamily="34" charset="0"/>
                </a:rPr>
                <a:t>emisión</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 2021-02-16</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5" name="Rectángulo 14"/>
            <xdr:cNvSpPr/>
          </xdr:nvSpPr>
          <xdr:spPr>
            <a:xfrm>
              <a:off x="1802309" y="0"/>
              <a:ext cx="725384"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endParaRPr lang="es-ES" sz="1200">
                <a:latin typeface="Arial" panose="020B0604020202020204" pitchFamily="34" charset="0"/>
                <a:cs typeface="Arial" panose="020B0604020202020204" pitchFamily="34" charset="0"/>
              </a:endParaRPr>
            </a:p>
          </xdr:txBody>
        </xdr:sp>
        <xdr:pic>
          <xdr:nvPicPr>
            <xdr:cNvPr id="16" name="Imagen 15" descr="D:\CENTRO DE INSPECCIÓN TOTAL BOYACÁ\logo\CITB Entregas final_Mesa de trabajo 1 solo.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6978" y="0"/>
              <a:ext cx="508142" cy="634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7" name="Rectángulo 16"/>
            <xdr:cNvSpPr/>
          </xdr:nvSpPr>
          <xdr:spPr>
            <a:xfrm>
              <a:off x="-422" y="226778"/>
              <a:ext cx="1802731" cy="219219"/>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Código:</a:t>
              </a:r>
              <a:r>
                <a:rPr lang="es-ES" sz="1200" baseline="0">
                  <a:solidFill>
                    <a:srgbClr val="000000"/>
                  </a:solidFill>
                  <a:effectLst/>
                  <a:latin typeface="Arial" panose="020B0604020202020204" pitchFamily="34" charset="0"/>
                  <a:ea typeface="Times New Roman" panose="02020603050405020304" pitchFamily="18" charset="0"/>
                  <a:cs typeface="Arial" panose="020B0604020202020204" pitchFamily="34" charset="0"/>
                </a:rPr>
                <a:t> CITB.CL.RG</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.03</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8" name="Rectángulo 17"/>
            <xdr:cNvSpPr/>
          </xdr:nvSpPr>
          <xdr:spPr>
            <a:xfrm>
              <a:off x="-422" y="438438"/>
              <a:ext cx="1802731" cy="226778"/>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Versión: 02</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xdr:colOff>
      <xdr:row>49</xdr:row>
      <xdr:rowOff>19050</xdr:rowOff>
    </xdr:from>
    <xdr:to>
      <xdr:col>7</xdr:col>
      <xdr:colOff>7937</xdr:colOff>
      <xdr:row>63</xdr:row>
      <xdr:rowOff>150811</xdr:rowOff>
    </xdr:to>
    <xdr:graphicFrame macro="">
      <xdr:nvGraphicFramePr>
        <xdr:cNvPr id="2"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1047750</xdr:colOff>
      <xdr:row>73</xdr:row>
      <xdr:rowOff>19050</xdr:rowOff>
    </xdr:from>
    <xdr:to>
      <xdr:col>6</xdr:col>
      <xdr:colOff>133349</xdr:colOff>
      <xdr:row>82</xdr:row>
      <xdr:rowOff>95250</xdr:rowOff>
    </xdr:to>
    <xdr:graphicFrame macro="">
      <xdr:nvGraphicFramePr>
        <xdr:cNvPr id="3"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95</xdr:row>
      <xdr:rowOff>9524</xdr:rowOff>
    </xdr:from>
    <xdr:to>
      <xdr:col>6</xdr:col>
      <xdr:colOff>57148</xdr:colOff>
      <xdr:row>104</xdr:row>
      <xdr:rowOff>152399</xdr:rowOff>
    </xdr:to>
    <xdr:graphicFrame macro="">
      <xdr:nvGraphicFramePr>
        <xdr:cNvPr id="4"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50939</xdr:rowOff>
    </xdr:from>
    <xdr:to>
      <xdr:col>7</xdr:col>
      <xdr:colOff>230187</xdr:colOff>
      <xdr:row>5</xdr:row>
      <xdr:rowOff>12839</xdr:rowOff>
    </xdr:to>
    <xdr:grpSp>
      <xdr:nvGrpSpPr>
        <xdr:cNvPr id="13" name="Grupo 12"/>
        <xdr:cNvGrpSpPr>
          <a:grpSpLocks/>
        </xdr:cNvGrpSpPr>
      </xdr:nvGrpSpPr>
      <xdr:grpSpPr bwMode="auto">
        <a:xfrm>
          <a:off x="0" y="50939"/>
          <a:ext cx="7747000" cy="914400"/>
          <a:chOff x="0" y="0"/>
          <a:chExt cx="6142161" cy="665216"/>
        </a:xfrm>
      </xdr:grpSpPr>
      <xdr:sp macro="" textlink="">
        <xdr:nvSpPr>
          <xdr:cNvPr id="14" name="Rectángulo 13"/>
          <xdr:cNvSpPr/>
        </xdr:nvSpPr>
        <xdr:spPr>
          <a:xfrm>
            <a:off x="0" y="0"/>
            <a:ext cx="3618338"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REGISTRO DE CONFIRMACIÓN METROLOGICA</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nvGrpSpPr>
          <xdr:cNvPr id="15" name="Grupo 14"/>
          <xdr:cNvGrpSpPr>
            <a:grpSpLocks/>
          </xdr:cNvGrpSpPr>
        </xdr:nvGrpSpPr>
        <xdr:grpSpPr bwMode="auto">
          <a:xfrm>
            <a:off x="3614046" y="0"/>
            <a:ext cx="2528115" cy="665216"/>
            <a:chOff x="-422" y="0"/>
            <a:chExt cx="2528115" cy="665216"/>
          </a:xfrm>
        </xdr:grpSpPr>
        <xdr:sp macro="" textlink="">
          <xdr:nvSpPr>
            <xdr:cNvPr id="16" name="Rectángulo 15"/>
            <xdr:cNvSpPr/>
          </xdr:nvSpPr>
          <xdr:spPr>
            <a:xfrm>
              <a:off x="-422" y="0"/>
              <a:ext cx="1802731" cy="234337"/>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Fecha de </a:t>
              </a:r>
              <a:r>
                <a:rPr lang="es-ES" sz="1200" b="0">
                  <a:solidFill>
                    <a:srgbClr val="000000"/>
                  </a:solidFill>
                  <a:effectLst/>
                  <a:latin typeface="Arial" panose="020B0604020202020204" pitchFamily="34" charset="0"/>
                  <a:ea typeface="Times New Roman" panose="02020603050405020304" pitchFamily="18" charset="0"/>
                  <a:cs typeface="Arial" panose="020B0604020202020204" pitchFamily="34" charset="0"/>
                </a:rPr>
                <a:t>emisión</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 2021-02-16</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7" name="Rectángulo 16"/>
            <xdr:cNvSpPr/>
          </xdr:nvSpPr>
          <xdr:spPr>
            <a:xfrm>
              <a:off x="1802309" y="0"/>
              <a:ext cx="725384"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endParaRPr lang="es-ES" sz="1200">
                <a:latin typeface="Arial" panose="020B0604020202020204" pitchFamily="34" charset="0"/>
                <a:cs typeface="Arial" panose="020B0604020202020204" pitchFamily="34" charset="0"/>
              </a:endParaRPr>
            </a:p>
          </xdr:txBody>
        </xdr:sp>
        <xdr:pic>
          <xdr:nvPicPr>
            <xdr:cNvPr id="18" name="Imagen 17" descr="D:\CENTRO DE INSPECCIÓN TOTAL BOYACÁ\logo\CITB Entregas final_Mesa de trabajo 1 solo.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936978" y="0"/>
              <a:ext cx="508142" cy="634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9" name="Rectángulo 18"/>
            <xdr:cNvSpPr/>
          </xdr:nvSpPr>
          <xdr:spPr>
            <a:xfrm>
              <a:off x="-422" y="226778"/>
              <a:ext cx="1802731" cy="219219"/>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Código:</a:t>
              </a:r>
              <a:r>
                <a:rPr lang="es-ES" sz="1200" baseline="0">
                  <a:solidFill>
                    <a:srgbClr val="000000"/>
                  </a:solidFill>
                  <a:effectLst/>
                  <a:latin typeface="Arial" panose="020B0604020202020204" pitchFamily="34" charset="0"/>
                  <a:ea typeface="Times New Roman" panose="02020603050405020304" pitchFamily="18" charset="0"/>
                  <a:cs typeface="Arial" panose="020B0604020202020204" pitchFamily="34" charset="0"/>
                </a:rPr>
                <a:t> CITB.CL.RG</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.03</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20" name="Rectángulo 19"/>
            <xdr:cNvSpPr/>
          </xdr:nvSpPr>
          <xdr:spPr>
            <a:xfrm>
              <a:off x="-422" y="438438"/>
              <a:ext cx="1802731" cy="226778"/>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Versión: 02</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grpSp>
    <xdr:clientData/>
  </xdr:twoCellAnchor>
</xdr:wsDr>
</file>

<file path=xl/drawings/drawing20.xml><?xml version="1.0" encoding="utf-8"?>
<xdr:wsDr xmlns:xdr="http://schemas.openxmlformats.org/drawingml/2006/spreadsheetDrawing" xmlns:a="http://schemas.openxmlformats.org/drawingml/2006/main">
  <xdr:twoCellAnchor>
    <xdr:from>
      <xdr:col>1</xdr:col>
      <xdr:colOff>28575</xdr:colOff>
      <xdr:row>44</xdr:row>
      <xdr:rowOff>142875</xdr:rowOff>
    </xdr:from>
    <xdr:to>
      <xdr:col>7</xdr:col>
      <xdr:colOff>0</xdr:colOff>
      <xdr:row>60</xdr:row>
      <xdr:rowOff>133350</xdr:rowOff>
    </xdr:to>
    <xdr:graphicFrame macro="">
      <xdr:nvGraphicFramePr>
        <xdr:cNvPr id="2"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88</xdr:row>
      <xdr:rowOff>0</xdr:rowOff>
    </xdr:from>
    <xdr:to>
      <xdr:col>5</xdr:col>
      <xdr:colOff>1428750</xdr:colOff>
      <xdr:row>98</xdr:row>
      <xdr:rowOff>19050</xdr:rowOff>
    </xdr:to>
    <xdr:graphicFrame macro="">
      <xdr:nvGraphicFramePr>
        <xdr:cNvPr id="5"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69</xdr:row>
      <xdr:rowOff>0</xdr:rowOff>
    </xdr:from>
    <xdr:to>
      <xdr:col>5</xdr:col>
      <xdr:colOff>1066800</xdr:colOff>
      <xdr:row>80</xdr:row>
      <xdr:rowOff>9525</xdr:rowOff>
    </xdr:to>
    <xdr:graphicFrame macro="">
      <xdr:nvGraphicFramePr>
        <xdr:cNvPr id="6"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9525</xdr:colOff>
      <xdr:row>0</xdr:row>
      <xdr:rowOff>9526</xdr:rowOff>
    </xdr:from>
    <xdr:to>
      <xdr:col>7</xdr:col>
      <xdr:colOff>9526</xdr:colOff>
      <xdr:row>4</xdr:row>
      <xdr:rowOff>161926</xdr:rowOff>
    </xdr:to>
    <xdr:grpSp>
      <xdr:nvGrpSpPr>
        <xdr:cNvPr id="7" name="Grupo 6"/>
        <xdr:cNvGrpSpPr>
          <a:grpSpLocks/>
        </xdr:cNvGrpSpPr>
      </xdr:nvGrpSpPr>
      <xdr:grpSpPr bwMode="auto">
        <a:xfrm>
          <a:off x="9525" y="9526"/>
          <a:ext cx="7972426" cy="914400"/>
          <a:chOff x="0" y="0"/>
          <a:chExt cx="6142161" cy="665216"/>
        </a:xfrm>
      </xdr:grpSpPr>
      <xdr:sp macro="" textlink="">
        <xdr:nvSpPr>
          <xdr:cNvPr id="8" name="Rectángulo 7"/>
          <xdr:cNvSpPr/>
        </xdr:nvSpPr>
        <xdr:spPr>
          <a:xfrm>
            <a:off x="0" y="0"/>
            <a:ext cx="3618338"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REGISTRO DE CONFIRMACIÓN METROLOGICA</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nvGrpSpPr>
          <xdr:cNvPr id="9" name="Grupo 8"/>
          <xdr:cNvGrpSpPr>
            <a:grpSpLocks/>
          </xdr:cNvGrpSpPr>
        </xdr:nvGrpSpPr>
        <xdr:grpSpPr bwMode="auto">
          <a:xfrm>
            <a:off x="3614046" y="0"/>
            <a:ext cx="2528115" cy="665216"/>
            <a:chOff x="-422" y="0"/>
            <a:chExt cx="2528115" cy="665216"/>
          </a:xfrm>
        </xdr:grpSpPr>
        <xdr:sp macro="" textlink="">
          <xdr:nvSpPr>
            <xdr:cNvPr id="10" name="Rectángulo 9"/>
            <xdr:cNvSpPr/>
          </xdr:nvSpPr>
          <xdr:spPr>
            <a:xfrm>
              <a:off x="-422" y="0"/>
              <a:ext cx="1802731" cy="234337"/>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Fecha de </a:t>
              </a:r>
              <a:r>
                <a:rPr lang="es-ES" sz="1200" b="0">
                  <a:solidFill>
                    <a:srgbClr val="000000"/>
                  </a:solidFill>
                  <a:effectLst/>
                  <a:latin typeface="Arial" panose="020B0604020202020204" pitchFamily="34" charset="0"/>
                  <a:ea typeface="Times New Roman" panose="02020603050405020304" pitchFamily="18" charset="0"/>
                  <a:cs typeface="Arial" panose="020B0604020202020204" pitchFamily="34" charset="0"/>
                </a:rPr>
                <a:t>emisión</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 2021-02-16</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1" name="Rectángulo 10"/>
            <xdr:cNvSpPr/>
          </xdr:nvSpPr>
          <xdr:spPr>
            <a:xfrm>
              <a:off x="1802309" y="0"/>
              <a:ext cx="725384"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endParaRPr lang="es-ES" sz="1200">
                <a:latin typeface="Arial" panose="020B0604020202020204" pitchFamily="34" charset="0"/>
                <a:cs typeface="Arial" panose="020B0604020202020204" pitchFamily="34" charset="0"/>
              </a:endParaRPr>
            </a:p>
          </xdr:txBody>
        </xdr:sp>
        <xdr:pic>
          <xdr:nvPicPr>
            <xdr:cNvPr id="12" name="Imagen 11" descr="D:\CENTRO DE INSPECCIÓN TOTAL BOYACÁ\logo\CITB Entregas final_Mesa de trabajo 1 solo.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936978" y="0"/>
              <a:ext cx="508142" cy="634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3" name="Rectángulo 12"/>
            <xdr:cNvSpPr/>
          </xdr:nvSpPr>
          <xdr:spPr>
            <a:xfrm>
              <a:off x="-422" y="226778"/>
              <a:ext cx="1802731" cy="219219"/>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Código:</a:t>
              </a:r>
              <a:r>
                <a:rPr lang="es-ES" sz="1200" baseline="0">
                  <a:solidFill>
                    <a:srgbClr val="000000"/>
                  </a:solidFill>
                  <a:effectLst/>
                  <a:latin typeface="Arial" panose="020B0604020202020204" pitchFamily="34" charset="0"/>
                  <a:ea typeface="Times New Roman" panose="02020603050405020304" pitchFamily="18" charset="0"/>
                  <a:cs typeface="Arial" panose="020B0604020202020204" pitchFamily="34" charset="0"/>
                </a:rPr>
                <a:t> CITB.CL.RG</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.03</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4" name="Rectángulo 13"/>
            <xdr:cNvSpPr/>
          </xdr:nvSpPr>
          <xdr:spPr>
            <a:xfrm>
              <a:off x="-422" y="438438"/>
              <a:ext cx="1802731" cy="226778"/>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Versión: 02</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grp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22412</xdr:colOff>
      <xdr:row>45</xdr:row>
      <xdr:rowOff>81803</xdr:rowOff>
    </xdr:from>
    <xdr:to>
      <xdr:col>7</xdr:col>
      <xdr:colOff>755837</xdr:colOff>
      <xdr:row>61</xdr:row>
      <xdr:rowOff>72278</xdr:rowOff>
    </xdr:to>
    <xdr:graphicFrame macro="">
      <xdr:nvGraphicFramePr>
        <xdr:cNvPr id="2"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1075765</xdr:colOff>
      <xdr:row>87</xdr:row>
      <xdr:rowOff>145677</xdr:rowOff>
    </xdr:from>
    <xdr:to>
      <xdr:col>6</xdr:col>
      <xdr:colOff>674034</xdr:colOff>
      <xdr:row>98</xdr:row>
      <xdr:rowOff>100853</xdr:rowOff>
    </xdr:to>
    <xdr:graphicFrame macro="">
      <xdr:nvGraphicFramePr>
        <xdr:cNvPr id="5"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829235</xdr:colOff>
      <xdr:row>69</xdr:row>
      <xdr:rowOff>56029</xdr:rowOff>
    </xdr:from>
    <xdr:to>
      <xdr:col>6</xdr:col>
      <xdr:colOff>571499</xdr:colOff>
      <xdr:row>78</xdr:row>
      <xdr:rowOff>33618</xdr:rowOff>
    </xdr:to>
    <xdr:graphicFrame macro="">
      <xdr:nvGraphicFramePr>
        <xdr:cNvPr id="6"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9525</xdr:colOff>
      <xdr:row>0</xdr:row>
      <xdr:rowOff>9526</xdr:rowOff>
    </xdr:from>
    <xdr:to>
      <xdr:col>7</xdr:col>
      <xdr:colOff>9526</xdr:colOff>
      <xdr:row>4</xdr:row>
      <xdr:rowOff>161926</xdr:rowOff>
    </xdr:to>
    <xdr:grpSp>
      <xdr:nvGrpSpPr>
        <xdr:cNvPr id="7" name="Grupo 6"/>
        <xdr:cNvGrpSpPr>
          <a:grpSpLocks/>
        </xdr:cNvGrpSpPr>
      </xdr:nvGrpSpPr>
      <xdr:grpSpPr bwMode="auto">
        <a:xfrm>
          <a:off x="9525" y="9526"/>
          <a:ext cx="8053553" cy="914400"/>
          <a:chOff x="0" y="0"/>
          <a:chExt cx="6142161" cy="665216"/>
        </a:xfrm>
      </xdr:grpSpPr>
      <xdr:sp macro="" textlink="">
        <xdr:nvSpPr>
          <xdr:cNvPr id="8" name="Rectángulo 7"/>
          <xdr:cNvSpPr/>
        </xdr:nvSpPr>
        <xdr:spPr>
          <a:xfrm>
            <a:off x="0" y="0"/>
            <a:ext cx="3618338"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REGISTRO DE CONFIRMACIÓN METROLOGICA</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nvGrpSpPr>
          <xdr:cNvPr id="9" name="Grupo 8"/>
          <xdr:cNvGrpSpPr>
            <a:grpSpLocks/>
          </xdr:cNvGrpSpPr>
        </xdr:nvGrpSpPr>
        <xdr:grpSpPr bwMode="auto">
          <a:xfrm>
            <a:off x="3614046" y="0"/>
            <a:ext cx="2528115" cy="665216"/>
            <a:chOff x="-422" y="0"/>
            <a:chExt cx="2528115" cy="665216"/>
          </a:xfrm>
        </xdr:grpSpPr>
        <xdr:sp macro="" textlink="">
          <xdr:nvSpPr>
            <xdr:cNvPr id="10" name="Rectángulo 9"/>
            <xdr:cNvSpPr/>
          </xdr:nvSpPr>
          <xdr:spPr>
            <a:xfrm>
              <a:off x="-422" y="0"/>
              <a:ext cx="1802731" cy="234337"/>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Fecha de </a:t>
              </a:r>
              <a:r>
                <a:rPr lang="es-ES" sz="1200" b="0">
                  <a:solidFill>
                    <a:srgbClr val="000000"/>
                  </a:solidFill>
                  <a:effectLst/>
                  <a:latin typeface="Arial" panose="020B0604020202020204" pitchFamily="34" charset="0"/>
                  <a:ea typeface="Times New Roman" panose="02020603050405020304" pitchFamily="18" charset="0"/>
                  <a:cs typeface="Arial" panose="020B0604020202020204" pitchFamily="34" charset="0"/>
                </a:rPr>
                <a:t>emisión</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 2021-02-16</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1" name="Rectángulo 10"/>
            <xdr:cNvSpPr/>
          </xdr:nvSpPr>
          <xdr:spPr>
            <a:xfrm>
              <a:off x="1802309" y="0"/>
              <a:ext cx="725384"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endParaRPr lang="es-ES" sz="1200">
                <a:latin typeface="Arial" panose="020B0604020202020204" pitchFamily="34" charset="0"/>
                <a:cs typeface="Arial" panose="020B0604020202020204" pitchFamily="34" charset="0"/>
              </a:endParaRPr>
            </a:p>
          </xdr:txBody>
        </xdr:sp>
        <xdr:pic>
          <xdr:nvPicPr>
            <xdr:cNvPr id="12" name="Imagen 11" descr="D:\CENTRO DE INSPECCIÓN TOTAL BOYACÁ\logo\CITB Entregas final_Mesa de trabajo 1 solo.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936978" y="0"/>
              <a:ext cx="508142" cy="634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3" name="Rectángulo 12"/>
            <xdr:cNvSpPr/>
          </xdr:nvSpPr>
          <xdr:spPr>
            <a:xfrm>
              <a:off x="-422" y="226778"/>
              <a:ext cx="1802731" cy="219219"/>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Código:</a:t>
              </a:r>
              <a:r>
                <a:rPr lang="es-ES" sz="1200" baseline="0">
                  <a:solidFill>
                    <a:srgbClr val="000000"/>
                  </a:solidFill>
                  <a:effectLst/>
                  <a:latin typeface="Arial" panose="020B0604020202020204" pitchFamily="34" charset="0"/>
                  <a:ea typeface="Times New Roman" panose="02020603050405020304" pitchFamily="18" charset="0"/>
                  <a:cs typeface="Arial" panose="020B0604020202020204" pitchFamily="34" charset="0"/>
                </a:rPr>
                <a:t> CITB.CL.RG</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.03</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4" name="Rectángulo 13"/>
            <xdr:cNvSpPr/>
          </xdr:nvSpPr>
          <xdr:spPr>
            <a:xfrm>
              <a:off x="-422" y="438438"/>
              <a:ext cx="1802731" cy="226778"/>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Versión: 02</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grpSp>
    <xdr:clientData/>
  </xdr:twoCellAnchor>
</xdr:wsDr>
</file>

<file path=xl/drawings/drawing22.xml><?xml version="1.0" encoding="utf-8"?>
<xdr:wsDr xmlns:xdr="http://schemas.openxmlformats.org/drawingml/2006/spreadsheetDrawing" xmlns:a="http://schemas.openxmlformats.org/drawingml/2006/main">
  <xdr:twoCellAnchor>
    <xdr:from>
      <xdr:col>1</xdr:col>
      <xdr:colOff>0</xdr:colOff>
      <xdr:row>43</xdr:row>
      <xdr:rowOff>171450</xdr:rowOff>
    </xdr:from>
    <xdr:to>
      <xdr:col>8</xdr:col>
      <xdr:colOff>733425</xdr:colOff>
      <xdr:row>59</xdr:row>
      <xdr:rowOff>161925</xdr:rowOff>
    </xdr:to>
    <xdr:graphicFrame macro="">
      <xdr:nvGraphicFramePr>
        <xdr:cNvPr id="2"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826312</xdr:colOff>
      <xdr:row>69</xdr:row>
      <xdr:rowOff>2923</xdr:rowOff>
    </xdr:from>
    <xdr:to>
      <xdr:col>6</xdr:col>
      <xdr:colOff>516835</xdr:colOff>
      <xdr:row>77</xdr:row>
      <xdr:rowOff>82826</xdr:rowOff>
    </xdr:to>
    <xdr:graphicFrame macro="">
      <xdr:nvGraphicFramePr>
        <xdr:cNvPr id="3"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902805</xdr:colOff>
      <xdr:row>86</xdr:row>
      <xdr:rowOff>74543</xdr:rowOff>
    </xdr:from>
    <xdr:to>
      <xdr:col>6</xdr:col>
      <xdr:colOff>649357</xdr:colOff>
      <xdr:row>94</xdr:row>
      <xdr:rowOff>115956</xdr:rowOff>
    </xdr:to>
    <xdr:graphicFrame macro="">
      <xdr:nvGraphicFramePr>
        <xdr:cNvPr id="4"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50939</xdr:rowOff>
    </xdr:from>
    <xdr:to>
      <xdr:col>7</xdr:col>
      <xdr:colOff>1</xdr:colOff>
      <xdr:row>5</xdr:row>
      <xdr:rowOff>12839</xdr:rowOff>
    </xdr:to>
    <xdr:grpSp>
      <xdr:nvGrpSpPr>
        <xdr:cNvPr id="5" name="Grupo 4"/>
        <xdr:cNvGrpSpPr>
          <a:grpSpLocks/>
        </xdr:cNvGrpSpPr>
      </xdr:nvGrpSpPr>
      <xdr:grpSpPr bwMode="auto">
        <a:xfrm>
          <a:off x="0" y="50939"/>
          <a:ext cx="8036720" cy="914400"/>
          <a:chOff x="0" y="0"/>
          <a:chExt cx="6142161" cy="665216"/>
        </a:xfrm>
      </xdr:grpSpPr>
      <xdr:sp macro="" textlink="">
        <xdr:nvSpPr>
          <xdr:cNvPr id="6" name="Rectángulo 5"/>
          <xdr:cNvSpPr/>
        </xdr:nvSpPr>
        <xdr:spPr>
          <a:xfrm>
            <a:off x="0" y="0"/>
            <a:ext cx="3618338"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REGISTRO DE CONFIRMACIÓN METROLOGICA</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nvGrpSpPr>
          <xdr:cNvPr id="7" name="Grupo 6"/>
          <xdr:cNvGrpSpPr>
            <a:grpSpLocks/>
          </xdr:cNvGrpSpPr>
        </xdr:nvGrpSpPr>
        <xdr:grpSpPr bwMode="auto">
          <a:xfrm>
            <a:off x="3614046" y="0"/>
            <a:ext cx="2528115" cy="665216"/>
            <a:chOff x="-422" y="0"/>
            <a:chExt cx="2528115" cy="665216"/>
          </a:xfrm>
        </xdr:grpSpPr>
        <xdr:sp macro="" textlink="">
          <xdr:nvSpPr>
            <xdr:cNvPr id="8" name="Rectángulo 7"/>
            <xdr:cNvSpPr/>
          </xdr:nvSpPr>
          <xdr:spPr>
            <a:xfrm>
              <a:off x="-422" y="0"/>
              <a:ext cx="1802731" cy="234337"/>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Fecha de </a:t>
              </a:r>
              <a:r>
                <a:rPr lang="es-ES" sz="1200" b="0">
                  <a:solidFill>
                    <a:srgbClr val="000000"/>
                  </a:solidFill>
                  <a:effectLst/>
                  <a:latin typeface="Arial" panose="020B0604020202020204" pitchFamily="34" charset="0"/>
                  <a:ea typeface="Times New Roman" panose="02020603050405020304" pitchFamily="18" charset="0"/>
                  <a:cs typeface="Arial" panose="020B0604020202020204" pitchFamily="34" charset="0"/>
                </a:rPr>
                <a:t>emisión</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 2021-02-16</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9" name="Rectángulo 8"/>
            <xdr:cNvSpPr/>
          </xdr:nvSpPr>
          <xdr:spPr>
            <a:xfrm>
              <a:off x="1802309" y="0"/>
              <a:ext cx="725384"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endParaRPr lang="es-ES" sz="1200">
                <a:latin typeface="Arial" panose="020B0604020202020204" pitchFamily="34" charset="0"/>
                <a:cs typeface="Arial" panose="020B0604020202020204" pitchFamily="34" charset="0"/>
              </a:endParaRPr>
            </a:p>
          </xdr:txBody>
        </xdr:sp>
        <xdr:pic>
          <xdr:nvPicPr>
            <xdr:cNvPr id="10" name="Imagen 9" descr="D:\CENTRO DE INSPECCIÓN TOTAL BOYACÁ\logo\CITB Entregas final_Mesa de trabajo 1 solo.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936978" y="0"/>
              <a:ext cx="508142" cy="634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1" name="Rectángulo 10"/>
            <xdr:cNvSpPr/>
          </xdr:nvSpPr>
          <xdr:spPr>
            <a:xfrm>
              <a:off x="-422" y="226778"/>
              <a:ext cx="1802731" cy="219219"/>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Código:</a:t>
              </a:r>
              <a:r>
                <a:rPr lang="es-ES" sz="1200" baseline="0">
                  <a:solidFill>
                    <a:srgbClr val="000000"/>
                  </a:solidFill>
                  <a:effectLst/>
                  <a:latin typeface="Arial" panose="020B0604020202020204" pitchFamily="34" charset="0"/>
                  <a:ea typeface="Times New Roman" panose="02020603050405020304" pitchFamily="18" charset="0"/>
                  <a:cs typeface="Arial" panose="020B0604020202020204" pitchFamily="34" charset="0"/>
                </a:rPr>
                <a:t> CITB.CL.RG</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.03</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2" name="Rectángulo 11"/>
            <xdr:cNvSpPr/>
          </xdr:nvSpPr>
          <xdr:spPr>
            <a:xfrm>
              <a:off x="-422" y="438438"/>
              <a:ext cx="1802731" cy="226778"/>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Versión: 02</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grpSp>
    <xdr:clientData/>
  </xdr:twoCellAnchor>
</xdr:wsDr>
</file>

<file path=xl/drawings/drawing23.xml><?xml version="1.0" encoding="utf-8"?>
<xdr:wsDr xmlns:xdr="http://schemas.openxmlformats.org/drawingml/2006/spreadsheetDrawing" xmlns:a="http://schemas.openxmlformats.org/drawingml/2006/main">
  <xdr:twoCellAnchor>
    <xdr:from>
      <xdr:col>1</xdr:col>
      <xdr:colOff>0</xdr:colOff>
      <xdr:row>43</xdr:row>
      <xdr:rowOff>171450</xdr:rowOff>
    </xdr:from>
    <xdr:to>
      <xdr:col>8</xdr:col>
      <xdr:colOff>733425</xdr:colOff>
      <xdr:row>59</xdr:row>
      <xdr:rowOff>161925</xdr:rowOff>
    </xdr:to>
    <xdr:graphicFrame macro="">
      <xdr:nvGraphicFramePr>
        <xdr:cNvPr id="2"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683558</xdr:colOff>
      <xdr:row>69</xdr:row>
      <xdr:rowOff>89648</xdr:rowOff>
    </xdr:from>
    <xdr:to>
      <xdr:col>6</xdr:col>
      <xdr:colOff>357466</xdr:colOff>
      <xdr:row>78</xdr:row>
      <xdr:rowOff>156883</xdr:rowOff>
    </xdr:to>
    <xdr:graphicFrame macro="">
      <xdr:nvGraphicFramePr>
        <xdr:cNvPr id="3"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750795</xdr:colOff>
      <xdr:row>88</xdr:row>
      <xdr:rowOff>11206</xdr:rowOff>
    </xdr:from>
    <xdr:to>
      <xdr:col>6</xdr:col>
      <xdr:colOff>491938</xdr:colOff>
      <xdr:row>97</xdr:row>
      <xdr:rowOff>89647</xdr:rowOff>
    </xdr:to>
    <xdr:graphicFrame macro="">
      <xdr:nvGraphicFramePr>
        <xdr:cNvPr id="4"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9525</xdr:colOff>
      <xdr:row>0</xdr:row>
      <xdr:rowOff>9526</xdr:rowOff>
    </xdr:from>
    <xdr:to>
      <xdr:col>7</xdr:col>
      <xdr:colOff>9526</xdr:colOff>
      <xdr:row>4</xdr:row>
      <xdr:rowOff>161926</xdr:rowOff>
    </xdr:to>
    <xdr:grpSp>
      <xdr:nvGrpSpPr>
        <xdr:cNvPr id="13" name="Grupo 12"/>
        <xdr:cNvGrpSpPr>
          <a:grpSpLocks/>
        </xdr:cNvGrpSpPr>
      </xdr:nvGrpSpPr>
      <xdr:grpSpPr bwMode="auto">
        <a:xfrm>
          <a:off x="9525" y="9526"/>
          <a:ext cx="8514523" cy="914400"/>
          <a:chOff x="0" y="0"/>
          <a:chExt cx="6142161" cy="665216"/>
        </a:xfrm>
      </xdr:grpSpPr>
      <xdr:sp macro="" textlink="">
        <xdr:nvSpPr>
          <xdr:cNvPr id="14" name="Rectángulo 13"/>
          <xdr:cNvSpPr/>
        </xdr:nvSpPr>
        <xdr:spPr>
          <a:xfrm>
            <a:off x="0" y="0"/>
            <a:ext cx="3618338"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REGISTRO DE CONFIRMACIÓN METROLOGICA</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nvGrpSpPr>
          <xdr:cNvPr id="15" name="Grupo 14"/>
          <xdr:cNvGrpSpPr>
            <a:grpSpLocks/>
          </xdr:cNvGrpSpPr>
        </xdr:nvGrpSpPr>
        <xdr:grpSpPr bwMode="auto">
          <a:xfrm>
            <a:off x="3614046" y="0"/>
            <a:ext cx="2528115" cy="665216"/>
            <a:chOff x="-422" y="0"/>
            <a:chExt cx="2528115" cy="665216"/>
          </a:xfrm>
        </xdr:grpSpPr>
        <xdr:sp macro="" textlink="">
          <xdr:nvSpPr>
            <xdr:cNvPr id="16" name="Rectángulo 15"/>
            <xdr:cNvSpPr/>
          </xdr:nvSpPr>
          <xdr:spPr>
            <a:xfrm>
              <a:off x="-422" y="0"/>
              <a:ext cx="1802731" cy="234337"/>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Fecha de </a:t>
              </a:r>
              <a:r>
                <a:rPr lang="es-ES" sz="1200" b="0">
                  <a:solidFill>
                    <a:srgbClr val="000000"/>
                  </a:solidFill>
                  <a:effectLst/>
                  <a:latin typeface="Arial" panose="020B0604020202020204" pitchFamily="34" charset="0"/>
                  <a:ea typeface="Times New Roman" panose="02020603050405020304" pitchFamily="18" charset="0"/>
                  <a:cs typeface="Arial" panose="020B0604020202020204" pitchFamily="34" charset="0"/>
                </a:rPr>
                <a:t>emisión</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 2021-02-16</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7" name="Rectángulo 16"/>
            <xdr:cNvSpPr/>
          </xdr:nvSpPr>
          <xdr:spPr>
            <a:xfrm>
              <a:off x="1802309" y="0"/>
              <a:ext cx="725384"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endParaRPr lang="es-ES" sz="1200">
                <a:latin typeface="Arial" panose="020B0604020202020204" pitchFamily="34" charset="0"/>
                <a:cs typeface="Arial" panose="020B0604020202020204" pitchFamily="34" charset="0"/>
              </a:endParaRPr>
            </a:p>
          </xdr:txBody>
        </xdr:sp>
        <xdr:pic>
          <xdr:nvPicPr>
            <xdr:cNvPr id="18" name="Imagen 17" descr="D:\CENTRO DE INSPECCIÓN TOTAL BOYACÁ\logo\CITB Entregas final_Mesa de trabajo 1 solo.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936978" y="0"/>
              <a:ext cx="508142" cy="634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9" name="Rectángulo 18"/>
            <xdr:cNvSpPr/>
          </xdr:nvSpPr>
          <xdr:spPr>
            <a:xfrm>
              <a:off x="-422" y="226778"/>
              <a:ext cx="1802731" cy="219219"/>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Código:</a:t>
              </a:r>
              <a:r>
                <a:rPr lang="es-ES" sz="1200" baseline="0">
                  <a:solidFill>
                    <a:srgbClr val="000000"/>
                  </a:solidFill>
                  <a:effectLst/>
                  <a:latin typeface="Arial" panose="020B0604020202020204" pitchFamily="34" charset="0"/>
                  <a:ea typeface="Times New Roman" panose="02020603050405020304" pitchFamily="18" charset="0"/>
                  <a:cs typeface="Arial" panose="020B0604020202020204" pitchFamily="34" charset="0"/>
                </a:rPr>
                <a:t> CITB.CL.RG</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.03</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20" name="Rectángulo 19"/>
            <xdr:cNvSpPr/>
          </xdr:nvSpPr>
          <xdr:spPr>
            <a:xfrm>
              <a:off x="-422" y="438438"/>
              <a:ext cx="1802731" cy="226778"/>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Versión: 02</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266701</xdr:colOff>
      <xdr:row>48</xdr:row>
      <xdr:rowOff>161925</xdr:rowOff>
    </xdr:from>
    <xdr:to>
      <xdr:col>7</xdr:col>
      <xdr:colOff>38101</xdr:colOff>
      <xdr:row>65</xdr:row>
      <xdr:rowOff>0</xdr:rowOff>
    </xdr:to>
    <xdr:graphicFrame macro="">
      <xdr:nvGraphicFramePr>
        <xdr:cNvPr id="2"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9525</xdr:colOff>
      <xdr:row>74</xdr:row>
      <xdr:rowOff>123826</xdr:rowOff>
    </xdr:from>
    <xdr:to>
      <xdr:col>5</xdr:col>
      <xdr:colOff>590550</xdr:colOff>
      <xdr:row>84</xdr:row>
      <xdr:rowOff>9525</xdr:rowOff>
    </xdr:to>
    <xdr:graphicFrame macro="">
      <xdr:nvGraphicFramePr>
        <xdr:cNvPr id="3"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266700</xdr:colOff>
      <xdr:row>97</xdr:row>
      <xdr:rowOff>47625</xdr:rowOff>
    </xdr:from>
    <xdr:to>
      <xdr:col>6</xdr:col>
      <xdr:colOff>0</xdr:colOff>
      <xdr:row>106</xdr:row>
      <xdr:rowOff>152401</xdr:rowOff>
    </xdr:to>
    <xdr:graphicFrame macro="">
      <xdr:nvGraphicFramePr>
        <xdr:cNvPr id="4"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50939</xdr:rowOff>
    </xdr:from>
    <xdr:to>
      <xdr:col>7</xdr:col>
      <xdr:colOff>230187</xdr:colOff>
      <xdr:row>5</xdr:row>
      <xdr:rowOff>12839</xdr:rowOff>
    </xdr:to>
    <xdr:grpSp>
      <xdr:nvGrpSpPr>
        <xdr:cNvPr id="5" name="Grupo 4"/>
        <xdr:cNvGrpSpPr>
          <a:grpSpLocks/>
        </xdr:cNvGrpSpPr>
      </xdr:nvGrpSpPr>
      <xdr:grpSpPr bwMode="auto">
        <a:xfrm>
          <a:off x="0" y="50939"/>
          <a:ext cx="7926387" cy="914400"/>
          <a:chOff x="0" y="0"/>
          <a:chExt cx="6142161" cy="665216"/>
        </a:xfrm>
      </xdr:grpSpPr>
      <xdr:sp macro="" textlink="">
        <xdr:nvSpPr>
          <xdr:cNvPr id="6" name="Rectángulo 5"/>
          <xdr:cNvSpPr/>
        </xdr:nvSpPr>
        <xdr:spPr>
          <a:xfrm>
            <a:off x="0" y="0"/>
            <a:ext cx="3618338"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REGISTRO DE CONFIRMACIÓN METROLOGICA</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nvGrpSpPr>
          <xdr:cNvPr id="7" name="Grupo 6"/>
          <xdr:cNvGrpSpPr>
            <a:grpSpLocks/>
          </xdr:cNvGrpSpPr>
        </xdr:nvGrpSpPr>
        <xdr:grpSpPr bwMode="auto">
          <a:xfrm>
            <a:off x="3614046" y="0"/>
            <a:ext cx="2528115" cy="665216"/>
            <a:chOff x="-422" y="0"/>
            <a:chExt cx="2528115" cy="665216"/>
          </a:xfrm>
        </xdr:grpSpPr>
        <xdr:sp macro="" textlink="">
          <xdr:nvSpPr>
            <xdr:cNvPr id="8" name="Rectángulo 7"/>
            <xdr:cNvSpPr/>
          </xdr:nvSpPr>
          <xdr:spPr>
            <a:xfrm>
              <a:off x="-422" y="0"/>
              <a:ext cx="1802731" cy="234337"/>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Fecha de </a:t>
              </a:r>
              <a:r>
                <a:rPr lang="es-ES" sz="1200" b="0">
                  <a:solidFill>
                    <a:srgbClr val="000000"/>
                  </a:solidFill>
                  <a:effectLst/>
                  <a:latin typeface="Arial" panose="020B0604020202020204" pitchFamily="34" charset="0"/>
                  <a:ea typeface="Times New Roman" panose="02020603050405020304" pitchFamily="18" charset="0"/>
                  <a:cs typeface="Arial" panose="020B0604020202020204" pitchFamily="34" charset="0"/>
                </a:rPr>
                <a:t>emisión</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 2021-02-16</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9" name="Rectángulo 8"/>
            <xdr:cNvSpPr/>
          </xdr:nvSpPr>
          <xdr:spPr>
            <a:xfrm>
              <a:off x="1802309" y="0"/>
              <a:ext cx="725384"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endParaRPr lang="es-ES" sz="1200">
                <a:latin typeface="Arial" panose="020B0604020202020204" pitchFamily="34" charset="0"/>
                <a:cs typeface="Arial" panose="020B0604020202020204" pitchFamily="34" charset="0"/>
              </a:endParaRPr>
            </a:p>
          </xdr:txBody>
        </xdr:sp>
        <xdr:pic>
          <xdr:nvPicPr>
            <xdr:cNvPr id="10" name="Imagen 9" descr="D:\CENTRO DE INSPECCIÓN TOTAL BOYACÁ\logo\CITB Entregas final_Mesa de trabajo 1 solo.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936978" y="0"/>
              <a:ext cx="508142" cy="634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1" name="Rectángulo 10"/>
            <xdr:cNvSpPr/>
          </xdr:nvSpPr>
          <xdr:spPr>
            <a:xfrm>
              <a:off x="-422" y="226778"/>
              <a:ext cx="1802731" cy="219219"/>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Código:</a:t>
              </a:r>
              <a:r>
                <a:rPr lang="es-ES" sz="1200" baseline="0">
                  <a:solidFill>
                    <a:srgbClr val="000000"/>
                  </a:solidFill>
                  <a:effectLst/>
                  <a:latin typeface="Arial" panose="020B0604020202020204" pitchFamily="34" charset="0"/>
                  <a:ea typeface="Times New Roman" panose="02020603050405020304" pitchFamily="18" charset="0"/>
                  <a:cs typeface="Arial" panose="020B0604020202020204" pitchFamily="34" charset="0"/>
                </a:rPr>
                <a:t> CITB.CL.RG</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.03</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2" name="Rectángulo 11"/>
            <xdr:cNvSpPr/>
          </xdr:nvSpPr>
          <xdr:spPr>
            <a:xfrm>
              <a:off x="-422" y="438438"/>
              <a:ext cx="1802731" cy="226778"/>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Versión: 02</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290879</xdr:colOff>
      <xdr:row>47</xdr:row>
      <xdr:rowOff>178776</xdr:rowOff>
    </xdr:from>
    <xdr:to>
      <xdr:col>6</xdr:col>
      <xdr:colOff>671879</xdr:colOff>
      <xdr:row>64</xdr:row>
      <xdr:rowOff>8059</xdr:rowOff>
    </xdr:to>
    <xdr:graphicFrame macro="">
      <xdr:nvGraphicFramePr>
        <xdr:cNvPr id="2"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1466</xdr:colOff>
      <xdr:row>97</xdr:row>
      <xdr:rowOff>29309</xdr:rowOff>
    </xdr:from>
    <xdr:to>
      <xdr:col>6</xdr:col>
      <xdr:colOff>42495</xdr:colOff>
      <xdr:row>106</xdr:row>
      <xdr:rowOff>73271</xdr:rowOff>
    </xdr:to>
    <xdr:graphicFrame macro="">
      <xdr:nvGraphicFramePr>
        <xdr:cNvPr id="4"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72</xdr:row>
      <xdr:rowOff>190500</xdr:rowOff>
    </xdr:from>
    <xdr:to>
      <xdr:col>6</xdr:col>
      <xdr:colOff>136279</xdr:colOff>
      <xdr:row>82</xdr:row>
      <xdr:rowOff>98913</xdr:rowOff>
    </xdr:to>
    <xdr:graphicFrame macro="">
      <xdr:nvGraphicFramePr>
        <xdr:cNvPr id="5"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50939</xdr:rowOff>
    </xdr:from>
    <xdr:to>
      <xdr:col>7</xdr:col>
      <xdr:colOff>230187</xdr:colOff>
      <xdr:row>5</xdr:row>
      <xdr:rowOff>12839</xdr:rowOff>
    </xdr:to>
    <xdr:grpSp>
      <xdr:nvGrpSpPr>
        <xdr:cNvPr id="6" name="Grupo 5"/>
        <xdr:cNvGrpSpPr>
          <a:grpSpLocks/>
        </xdr:cNvGrpSpPr>
      </xdr:nvGrpSpPr>
      <xdr:grpSpPr bwMode="auto">
        <a:xfrm>
          <a:off x="0" y="50939"/>
          <a:ext cx="8018706" cy="914400"/>
          <a:chOff x="0" y="0"/>
          <a:chExt cx="6142161" cy="665216"/>
        </a:xfrm>
      </xdr:grpSpPr>
      <xdr:sp macro="" textlink="">
        <xdr:nvSpPr>
          <xdr:cNvPr id="7" name="Rectángulo 6"/>
          <xdr:cNvSpPr/>
        </xdr:nvSpPr>
        <xdr:spPr>
          <a:xfrm>
            <a:off x="0" y="0"/>
            <a:ext cx="3618338"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REGISTRO DE CONFIRMACIÓN METROLOGICA</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nvGrpSpPr>
          <xdr:cNvPr id="8" name="Grupo 7"/>
          <xdr:cNvGrpSpPr>
            <a:grpSpLocks/>
          </xdr:cNvGrpSpPr>
        </xdr:nvGrpSpPr>
        <xdr:grpSpPr bwMode="auto">
          <a:xfrm>
            <a:off x="3614046" y="0"/>
            <a:ext cx="2528115" cy="665216"/>
            <a:chOff x="-422" y="0"/>
            <a:chExt cx="2528115" cy="665216"/>
          </a:xfrm>
        </xdr:grpSpPr>
        <xdr:sp macro="" textlink="">
          <xdr:nvSpPr>
            <xdr:cNvPr id="9" name="Rectángulo 8"/>
            <xdr:cNvSpPr/>
          </xdr:nvSpPr>
          <xdr:spPr>
            <a:xfrm>
              <a:off x="-422" y="0"/>
              <a:ext cx="1802731" cy="234337"/>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Fecha de </a:t>
              </a:r>
              <a:r>
                <a:rPr lang="es-ES" sz="1200" b="0">
                  <a:solidFill>
                    <a:srgbClr val="000000"/>
                  </a:solidFill>
                  <a:effectLst/>
                  <a:latin typeface="Arial" panose="020B0604020202020204" pitchFamily="34" charset="0"/>
                  <a:ea typeface="Times New Roman" panose="02020603050405020304" pitchFamily="18" charset="0"/>
                  <a:cs typeface="Arial" panose="020B0604020202020204" pitchFamily="34" charset="0"/>
                </a:rPr>
                <a:t>emisión</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 2021-02-16</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0" name="Rectángulo 9"/>
            <xdr:cNvSpPr/>
          </xdr:nvSpPr>
          <xdr:spPr>
            <a:xfrm>
              <a:off x="1802309" y="0"/>
              <a:ext cx="725384"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endParaRPr lang="es-ES" sz="1200">
                <a:latin typeface="Arial" panose="020B0604020202020204" pitchFamily="34" charset="0"/>
                <a:cs typeface="Arial" panose="020B0604020202020204" pitchFamily="34" charset="0"/>
              </a:endParaRPr>
            </a:p>
          </xdr:txBody>
        </xdr:sp>
        <xdr:pic>
          <xdr:nvPicPr>
            <xdr:cNvPr id="11" name="Imagen 10" descr="D:\CENTRO DE INSPECCIÓN TOTAL BOYACÁ\logo\CITB Entregas final_Mesa de trabajo 1 solo.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936978" y="0"/>
              <a:ext cx="508142" cy="634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2" name="Rectángulo 11"/>
            <xdr:cNvSpPr/>
          </xdr:nvSpPr>
          <xdr:spPr>
            <a:xfrm>
              <a:off x="-422" y="226778"/>
              <a:ext cx="1802731" cy="219219"/>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Código:</a:t>
              </a:r>
              <a:r>
                <a:rPr lang="es-ES" sz="1200" baseline="0">
                  <a:solidFill>
                    <a:srgbClr val="000000"/>
                  </a:solidFill>
                  <a:effectLst/>
                  <a:latin typeface="Arial" panose="020B0604020202020204" pitchFamily="34" charset="0"/>
                  <a:ea typeface="Times New Roman" panose="02020603050405020304" pitchFamily="18" charset="0"/>
                  <a:cs typeface="Arial" panose="020B0604020202020204" pitchFamily="34" charset="0"/>
                </a:rPr>
                <a:t> CITB.CL.RG</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.03</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3" name="Rectángulo 12"/>
            <xdr:cNvSpPr/>
          </xdr:nvSpPr>
          <xdr:spPr>
            <a:xfrm>
              <a:off x="-422" y="438438"/>
              <a:ext cx="1802731" cy="226778"/>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Versión: 02</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grp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xdr:colOff>
      <xdr:row>48</xdr:row>
      <xdr:rowOff>38100</xdr:rowOff>
    </xdr:from>
    <xdr:to>
      <xdr:col>7</xdr:col>
      <xdr:colOff>9526</xdr:colOff>
      <xdr:row>64</xdr:row>
      <xdr:rowOff>66675</xdr:rowOff>
    </xdr:to>
    <xdr:graphicFrame macro="">
      <xdr:nvGraphicFramePr>
        <xdr:cNvPr id="2"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171451</xdr:colOff>
      <xdr:row>72</xdr:row>
      <xdr:rowOff>19050</xdr:rowOff>
    </xdr:from>
    <xdr:to>
      <xdr:col>5</xdr:col>
      <xdr:colOff>342901</xdr:colOff>
      <xdr:row>81</xdr:row>
      <xdr:rowOff>47625</xdr:rowOff>
    </xdr:to>
    <xdr:graphicFrame macro="">
      <xdr:nvGraphicFramePr>
        <xdr:cNvPr id="3"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190500</xdr:colOff>
      <xdr:row>94</xdr:row>
      <xdr:rowOff>0</xdr:rowOff>
    </xdr:from>
    <xdr:to>
      <xdr:col>5</xdr:col>
      <xdr:colOff>676275</xdr:colOff>
      <xdr:row>105</xdr:row>
      <xdr:rowOff>47626</xdr:rowOff>
    </xdr:to>
    <xdr:graphicFrame macro="">
      <xdr:nvGraphicFramePr>
        <xdr:cNvPr id="4"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50939</xdr:rowOff>
    </xdr:from>
    <xdr:to>
      <xdr:col>7</xdr:col>
      <xdr:colOff>230187</xdr:colOff>
      <xdr:row>5</xdr:row>
      <xdr:rowOff>12839</xdr:rowOff>
    </xdr:to>
    <xdr:grpSp>
      <xdr:nvGrpSpPr>
        <xdr:cNvPr id="5" name="Grupo 4"/>
        <xdr:cNvGrpSpPr>
          <a:grpSpLocks/>
        </xdr:cNvGrpSpPr>
      </xdr:nvGrpSpPr>
      <xdr:grpSpPr bwMode="auto">
        <a:xfrm>
          <a:off x="0" y="50939"/>
          <a:ext cx="7907337" cy="914400"/>
          <a:chOff x="0" y="0"/>
          <a:chExt cx="6142161" cy="665216"/>
        </a:xfrm>
      </xdr:grpSpPr>
      <xdr:sp macro="" textlink="">
        <xdr:nvSpPr>
          <xdr:cNvPr id="6" name="Rectángulo 5"/>
          <xdr:cNvSpPr/>
        </xdr:nvSpPr>
        <xdr:spPr>
          <a:xfrm>
            <a:off x="0" y="0"/>
            <a:ext cx="3618338"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REGISTRO DE CONFIRMACIÓN METROLOGICA</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nvGrpSpPr>
          <xdr:cNvPr id="7" name="Grupo 6"/>
          <xdr:cNvGrpSpPr>
            <a:grpSpLocks/>
          </xdr:cNvGrpSpPr>
        </xdr:nvGrpSpPr>
        <xdr:grpSpPr bwMode="auto">
          <a:xfrm>
            <a:off x="3614046" y="0"/>
            <a:ext cx="2528115" cy="665216"/>
            <a:chOff x="-422" y="0"/>
            <a:chExt cx="2528115" cy="665216"/>
          </a:xfrm>
        </xdr:grpSpPr>
        <xdr:sp macro="" textlink="">
          <xdr:nvSpPr>
            <xdr:cNvPr id="8" name="Rectángulo 7"/>
            <xdr:cNvSpPr/>
          </xdr:nvSpPr>
          <xdr:spPr>
            <a:xfrm>
              <a:off x="-422" y="0"/>
              <a:ext cx="1802731" cy="234337"/>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Fecha de </a:t>
              </a:r>
              <a:r>
                <a:rPr lang="es-ES" sz="1200" b="0">
                  <a:solidFill>
                    <a:srgbClr val="000000"/>
                  </a:solidFill>
                  <a:effectLst/>
                  <a:latin typeface="Arial" panose="020B0604020202020204" pitchFamily="34" charset="0"/>
                  <a:ea typeface="Times New Roman" panose="02020603050405020304" pitchFamily="18" charset="0"/>
                  <a:cs typeface="Arial" panose="020B0604020202020204" pitchFamily="34" charset="0"/>
                </a:rPr>
                <a:t>emisión</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 2021-02-16</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9" name="Rectángulo 8"/>
            <xdr:cNvSpPr/>
          </xdr:nvSpPr>
          <xdr:spPr>
            <a:xfrm>
              <a:off x="1802309" y="0"/>
              <a:ext cx="725384"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endParaRPr lang="es-ES" sz="1200">
                <a:latin typeface="Arial" panose="020B0604020202020204" pitchFamily="34" charset="0"/>
                <a:cs typeface="Arial" panose="020B0604020202020204" pitchFamily="34" charset="0"/>
              </a:endParaRPr>
            </a:p>
          </xdr:txBody>
        </xdr:sp>
        <xdr:pic>
          <xdr:nvPicPr>
            <xdr:cNvPr id="10" name="Imagen 9" descr="D:\CENTRO DE INSPECCIÓN TOTAL BOYACÁ\logo\CITB Entregas final_Mesa de trabajo 1 solo.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936978" y="0"/>
              <a:ext cx="508142" cy="634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1" name="Rectángulo 10"/>
            <xdr:cNvSpPr/>
          </xdr:nvSpPr>
          <xdr:spPr>
            <a:xfrm>
              <a:off x="-422" y="226778"/>
              <a:ext cx="1802731" cy="219219"/>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Código:</a:t>
              </a:r>
              <a:r>
                <a:rPr lang="es-ES" sz="1200" baseline="0">
                  <a:solidFill>
                    <a:srgbClr val="000000"/>
                  </a:solidFill>
                  <a:effectLst/>
                  <a:latin typeface="Arial" panose="020B0604020202020204" pitchFamily="34" charset="0"/>
                  <a:ea typeface="Times New Roman" panose="02020603050405020304" pitchFamily="18" charset="0"/>
                  <a:cs typeface="Arial" panose="020B0604020202020204" pitchFamily="34" charset="0"/>
                </a:rPr>
                <a:t> CITB.CL.RG</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.03</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2" name="Rectángulo 11"/>
            <xdr:cNvSpPr/>
          </xdr:nvSpPr>
          <xdr:spPr>
            <a:xfrm>
              <a:off x="-422" y="438438"/>
              <a:ext cx="1802731" cy="226778"/>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Versión: 02</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grp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66675</xdr:colOff>
      <xdr:row>42</xdr:row>
      <xdr:rowOff>152400</xdr:rowOff>
    </xdr:from>
    <xdr:to>
      <xdr:col>7</xdr:col>
      <xdr:colOff>9525</xdr:colOff>
      <xdr:row>58</xdr:row>
      <xdr:rowOff>142875</xdr:rowOff>
    </xdr:to>
    <xdr:graphicFrame macro="">
      <xdr:nvGraphicFramePr>
        <xdr:cNvPr id="2"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50939</xdr:rowOff>
    </xdr:from>
    <xdr:to>
      <xdr:col>7</xdr:col>
      <xdr:colOff>230187</xdr:colOff>
      <xdr:row>5</xdr:row>
      <xdr:rowOff>12839</xdr:rowOff>
    </xdr:to>
    <xdr:grpSp>
      <xdr:nvGrpSpPr>
        <xdr:cNvPr id="3" name="Grupo 2"/>
        <xdr:cNvGrpSpPr>
          <a:grpSpLocks/>
        </xdr:cNvGrpSpPr>
      </xdr:nvGrpSpPr>
      <xdr:grpSpPr bwMode="auto">
        <a:xfrm>
          <a:off x="0" y="50939"/>
          <a:ext cx="7897812" cy="914400"/>
          <a:chOff x="0" y="0"/>
          <a:chExt cx="6142161" cy="665216"/>
        </a:xfrm>
      </xdr:grpSpPr>
      <xdr:sp macro="" textlink="">
        <xdr:nvSpPr>
          <xdr:cNvPr id="4" name="Rectángulo 3"/>
          <xdr:cNvSpPr/>
        </xdr:nvSpPr>
        <xdr:spPr>
          <a:xfrm>
            <a:off x="0" y="0"/>
            <a:ext cx="3618338"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REGISTRO DE CONFIRMACIÓN METROLOGICA</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nvGrpSpPr>
          <xdr:cNvPr id="5" name="Grupo 4"/>
          <xdr:cNvGrpSpPr>
            <a:grpSpLocks/>
          </xdr:cNvGrpSpPr>
        </xdr:nvGrpSpPr>
        <xdr:grpSpPr bwMode="auto">
          <a:xfrm>
            <a:off x="3614046" y="0"/>
            <a:ext cx="2528115" cy="665216"/>
            <a:chOff x="-422" y="0"/>
            <a:chExt cx="2528115" cy="665216"/>
          </a:xfrm>
        </xdr:grpSpPr>
        <xdr:sp macro="" textlink="">
          <xdr:nvSpPr>
            <xdr:cNvPr id="6" name="Rectángulo 5"/>
            <xdr:cNvSpPr/>
          </xdr:nvSpPr>
          <xdr:spPr>
            <a:xfrm>
              <a:off x="-422" y="0"/>
              <a:ext cx="1802731" cy="234337"/>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Fecha de </a:t>
              </a:r>
              <a:r>
                <a:rPr lang="es-ES" sz="1200" b="0">
                  <a:solidFill>
                    <a:srgbClr val="000000"/>
                  </a:solidFill>
                  <a:effectLst/>
                  <a:latin typeface="Arial" panose="020B0604020202020204" pitchFamily="34" charset="0"/>
                  <a:ea typeface="Times New Roman" panose="02020603050405020304" pitchFamily="18" charset="0"/>
                  <a:cs typeface="Arial" panose="020B0604020202020204" pitchFamily="34" charset="0"/>
                </a:rPr>
                <a:t>emisión</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 2021-02-16</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7" name="Rectángulo 6"/>
            <xdr:cNvSpPr/>
          </xdr:nvSpPr>
          <xdr:spPr>
            <a:xfrm>
              <a:off x="1802309" y="0"/>
              <a:ext cx="725384"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endParaRPr lang="es-ES" sz="1200">
                <a:latin typeface="Arial" panose="020B0604020202020204" pitchFamily="34" charset="0"/>
                <a:cs typeface="Arial" panose="020B0604020202020204" pitchFamily="34" charset="0"/>
              </a:endParaRPr>
            </a:p>
          </xdr:txBody>
        </xdr:sp>
        <xdr:pic>
          <xdr:nvPicPr>
            <xdr:cNvPr id="8" name="Imagen 7" descr="D:\CENTRO DE INSPECCIÓN TOTAL BOYACÁ\logo\CITB Entregas final_Mesa de trabajo 1 solo.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6978" y="0"/>
              <a:ext cx="508142" cy="634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9" name="Rectángulo 8"/>
            <xdr:cNvSpPr/>
          </xdr:nvSpPr>
          <xdr:spPr>
            <a:xfrm>
              <a:off x="-422" y="226778"/>
              <a:ext cx="1802731" cy="219219"/>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Código:</a:t>
              </a:r>
              <a:r>
                <a:rPr lang="es-ES" sz="1200" baseline="0">
                  <a:solidFill>
                    <a:srgbClr val="000000"/>
                  </a:solidFill>
                  <a:effectLst/>
                  <a:latin typeface="Arial" panose="020B0604020202020204" pitchFamily="34" charset="0"/>
                  <a:ea typeface="Times New Roman" panose="02020603050405020304" pitchFamily="18" charset="0"/>
                  <a:cs typeface="Arial" panose="020B0604020202020204" pitchFamily="34" charset="0"/>
                </a:rPr>
                <a:t> CITB.CL.RG</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.03</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0" name="Rectángulo 9"/>
            <xdr:cNvSpPr/>
          </xdr:nvSpPr>
          <xdr:spPr>
            <a:xfrm>
              <a:off x="-422" y="438438"/>
              <a:ext cx="1802731" cy="226778"/>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Versión: 02</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grp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1</xdr:colOff>
      <xdr:row>50</xdr:row>
      <xdr:rowOff>161925</xdr:rowOff>
    </xdr:from>
    <xdr:to>
      <xdr:col>7</xdr:col>
      <xdr:colOff>19051</xdr:colOff>
      <xdr:row>66</xdr:row>
      <xdr:rowOff>152400</xdr:rowOff>
    </xdr:to>
    <xdr:graphicFrame macro="">
      <xdr:nvGraphicFramePr>
        <xdr:cNvPr id="2"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50939</xdr:rowOff>
    </xdr:from>
    <xdr:to>
      <xdr:col>7</xdr:col>
      <xdr:colOff>230187</xdr:colOff>
      <xdr:row>5</xdr:row>
      <xdr:rowOff>12839</xdr:rowOff>
    </xdr:to>
    <xdr:grpSp>
      <xdr:nvGrpSpPr>
        <xdr:cNvPr id="3" name="Grupo 2"/>
        <xdr:cNvGrpSpPr>
          <a:grpSpLocks/>
        </xdr:cNvGrpSpPr>
      </xdr:nvGrpSpPr>
      <xdr:grpSpPr bwMode="auto">
        <a:xfrm>
          <a:off x="0" y="50939"/>
          <a:ext cx="8040687" cy="914400"/>
          <a:chOff x="0" y="0"/>
          <a:chExt cx="6142161" cy="665216"/>
        </a:xfrm>
      </xdr:grpSpPr>
      <xdr:sp macro="" textlink="">
        <xdr:nvSpPr>
          <xdr:cNvPr id="4" name="Rectángulo 3"/>
          <xdr:cNvSpPr/>
        </xdr:nvSpPr>
        <xdr:spPr>
          <a:xfrm>
            <a:off x="0" y="0"/>
            <a:ext cx="3618338"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REGISTRO DE CONFIRMACIÓN METROLOGICA</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nvGrpSpPr>
          <xdr:cNvPr id="5" name="Grupo 4"/>
          <xdr:cNvGrpSpPr>
            <a:grpSpLocks/>
          </xdr:cNvGrpSpPr>
        </xdr:nvGrpSpPr>
        <xdr:grpSpPr bwMode="auto">
          <a:xfrm>
            <a:off x="3614046" y="0"/>
            <a:ext cx="2528115" cy="665216"/>
            <a:chOff x="-422" y="0"/>
            <a:chExt cx="2528115" cy="665216"/>
          </a:xfrm>
        </xdr:grpSpPr>
        <xdr:sp macro="" textlink="">
          <xdr:nvSpPr>
            <xdr:cNvPr id="6" name="Rectángulo 5"/>
            <xdr:cNvSpPr/>
          </xdr:nvSpPr>
          <xdr:spPr>
            <a:xfrm>
              <a:off x="-422" y="0"/>
              <a:ext cx="1802731" cy="234337"/>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Fecha de </a:t>
              </a:r>
              <a:r>
                <a:rPr lang="es-ES" sz="1200" b="0">
                  <a:solidFill>
                    <a:srgbClr val="000000"/>
                  </a:solidFill>
                  <a:effectLst/>
                  <a:latin typeface="Arial" panose="020B0604020202020204" pitchFamily="34" charset="0"/>
                  <a:ea typeface="Times New Roman" panose="02020603050405020304" pitchFamily="18" charset="0"/>
                  <a:cs typeface="Arial" panose="020B0604020202020204" pitchFamily="34" charset="0"/>
                </a:rPr>
                <a:t>emisión</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 2021-02-16</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7" name="Rectángulo 6"/>
            <xdr:cNvSpPr/>
          </xdr:nvSpPr>
          <xdr:spPr>
            <a:xfrm>
              <a:off x="1802309" y="0"/>
              <a:ext cx="725384"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endParaRPr lang="es-ES" sz="1200">
                <a:latin typeface="Arial" panose="020B0604020202020204" pitchFamily="34" charset="0"/>
                <a:cs typeface="Arial" panose="020B0604020202020204" pitchFamily="34" charset="0"/>
              </a:endParaRPr>
            </a:p>
          </xdr:txBody>
        </xdr:sp>
        <xdr:pic>
          <xdr:nvPicPr>
            <xdr:cNvPr id="8" name="Imagen 7" descr="D:\CENTRO DE INSPECCIÓN TOTAL BOYACÁ\logo\CITB Entregas final_Mesa de trabajo 1 solo.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6978" y="0"/>
              <a:ext cx="508142" cy="634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9" name="Rectángulo 8"/>
            <xdr:cNvSpPr/>
          </xdr:nvSpPr>
          <xdr:spPr>
            <a:xfrm>
              <a:off x="-422" y="226778"/>
              <a:ext cx="1802731" cy="219219"/>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Código:</a:t>
              </a:r>
              <a:r>
                <a:rPr lang="es-ES" sz="1200" baseline="0">
                  <a:solidFill>
                    <a:srgbClr val="000000"/>
                  </a:solidFill>
                  <a:effectLst/>
                  <a:latin typeface="Arial" panose="020B0604020202020204" pitchFamily="34" charset="0"/>
                  <a:ea typeface="Times New Roman" panose="02020603050405020304" pitchFamily="18" charset="0"/>
                  <a:cs typeface="Arial" panose="020B0604020202020204" pitchFamily="34" charset="0"/>
                </a:rPr>
                <a:t> CITB.CL.RG</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.03</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0" name="Rectángulo 9"/>
            <xdr:cNvSpPr/>
          </xdr:nvSpPr>
          <xdr:spPr>
            <a:xfrm>
              <a:off x="-422" y="438438"/>
              <a:ext cx="1802731" cy="226778"/>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Versión: 02</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grp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1</xdr:colOff>
      <xdr:row>50</xdr:row>
      <xdr:rowOff>161925</xdr:rowOff>
    </xdr:from>
    <xdr:to>
      <xdr:col>7</xdr:col>
      <xdr:colOff>19051</xdr:colOff>
      <xdr:row>66</xdr:row>
      <xdr:rowOff>152400</xdr:rowOff>
    </xdr:to>
    <xdr:graphicFrame macro="">
      <xdr:nvGraphicFramePr>
        <xdr:cNvPr id="2"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50939</xdr:rowOff>
    </xdr:from>
    <xdr:to>
      <xdr:col>7</xdr:col>
      <xdr:colOff>230187</xdr:colOff>
      <xdr:row>5</xdr:row>
      <xdr:rowOff>12839</xdr:rowOff>
    </xdr:to>
    <xdr:grpSp>
      <xdr:nvGrpSpPr>
        <xdr:cNvPr id="3" name="Grupo 2"/>
        <xdr:cNvGrpSpPr>
          <a:grpSpLocks/>
        </xdr:cNvGrpSpPr>
      </xdr:nvGrpSpPr>
      <xdr:grpSpPr bwMode="auto">
        <a:xfrm>
          <a:off x="0" y="50939"/>
          <a:ext cx="8040687" cy="914400"/>
          <a:chOff x="0" y="0"/>
          <a:chExt cx="6142161" cy="665216"/>
        </a:xfrm>
      </xdr:grpSpPr>
      <xdr:sp macro="" textlink="">
        <xdr:nvSpPr>
          <xdr:cNvPr id="4" name="Rectángulo 3"/>
          <xdr:cNvSpPr/>
        </xdr:nvSpPr>
        <xdr:spPr>
          <a:xfrm>
            <a:off x="0" y="0"/>
            <a:ext cx="3618338"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REGISTRO DE CONFIRMACIÓN METROLOGICA</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nvGrpSpPr>
          <xdr:cNvPr id="5" name="Grupo 4"/>
          <xdr:cNvGrpSpPr>
            <a:grpSpLocks/>
          </xdr:cNvGrpSpPr>
        </xdr:nvGrpSpPr>
        <xdr:grpSpPr bwMode="auto">
          <a:xfrm>
            <a:off x="3614046" y="0"/>
            <a:ext cx="2528115" cy="665216"/>
            <a:chOff x="-422" y="0"/>
            <a:chExt cx="2528115" cy="665216"/>
          </a:xfrm>
        </xdr:grpSpPr>
        <xdr:sp macro="" textlink="">
          <xdr:nvSpPr>
            <xdr:cNvPr id="6" name="Rectángulo 5"/>
            <xdr:cNvSpPr/>
          </xdr:nvSpPr>
          <xdr:spPr>
            <a:xfrm>
              <a:off x="-422" y="0"/>
              <a:ext cx="1802731" cy="234337"/>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Fecha de </a:t>
              </a:r>
              <a:r>
                <a:rPr lang="es-ES" sz="1200" b="0">
                  <a:solidFill>
                    <a:srgbClr val="000000"/>
                  </a:solidFill>
                  <a:effectLst/>
                  <a:latin typeface="Arial" panose="020B0604020202020204" pitchFamily="34" charset="0"/>
                  <a:ea typeface="Times New Roman" panose="02020603050405020304" pitchFamily="18" charset="0"/>
                  <a:cs typeface="Arial" panose="020B0604020202020204" pitchFamily="34" charset="0"/>
                </a:rPr>
                <a:t>emisión</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 2021-02-16</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7" name="Rectángulo 6"/>
            <xdr:cNvSpPr/>
          </xdr:nvSpPr>
          <xdr:spPr>
            <a:xfrm>
              <a:off x="1802309" y="0"/>
              <a:ext cx="725384"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endParaRPr lang="es-ES" sz="1200">
                <a:latin typeface="Arial" panose="020B0604020202020204" pitchFamily="34" charset="0"/>
                <a:cs typeface="Arial" panose="020B0604020202020204" pitchFamily="34" charset="0"/>
              </a:endParaRPr>
            </a:p>
          </xdr:txBody>
        </xdr:sp>
        <xdr:pic>
          <xdr:nvPicPr>
            <xdr:cNvPr id="8" name="Imagen 7" descr="D:\CENTRO DE INSPECCIÓN TOTAL BOYACÁ\logo\CITB Entregas final_Mesa de trabajo 1 solo.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6978" y="0"/>
              <a:ext cx="508142" cy="634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9" name="Rectángulo 8"/>
            <xdr:cNvSpPr/>
          </xdr:nvSpPr>
          <xdr:spPr>
            <a:xfrm>
              <a:off x="-422" y="226778"/>
              <a:ext cx="1802731" cy="219219"/>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Código:</a:t>
              </a:r>
              <a:r>
                <a:rPr lang="es-ES" sz="1200" baseline="0">
                  <a:solidFill>
                    <a:srgbClr val="000000"/>
                  </a:solidFill>
                  <a:effectLst/>
                  <a:latin typeface="Arial" panose="020B0604020202020204" pitchFamily="34" charset="0"/>
                  <a:ea typeface="Times New Roman" panose="02020603050405020304" pitchFamily="18" charset="0"/>
                  <a:cs typeface="Arial" panose="020B0604020202020204" pitchFamily="34" charset="0"/>
                </a:rPr>
                <a:t> CITB.CL.RG</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.03</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0" name="Rectángulo 9"/>
            <xdr:cNvSpPr/>
          </xdr:nvSpPr>
          <xdr:spPr>
            <a:xfrm>
              <a:off x="-422" y="438438"/>
              <a:ext cx="1802731" cy="226778"/>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Versión: 02</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grp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228601</xdr:colOff>
      <xdr:row>53</xdr:row>
      <xdr:rowOff>66675</xdr:rowOff>
    </xdr:from>
    <xdr:to>
      <xdr:col>6</xdr:col>
      <xdr:colOff>609601</xdr:colOff>
      <xdr:row>69</xdr:row>
      <xdr:rowOff>66675</xdr:rowOff>
    </xdr:to>
    <xdr:graphicFrame macro="">
      <xdr:nvGraphicFramePr>
        <xdr:cNvPr id="2" name="5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50939</xdr:rowOff>
    </xdr:from>
    <xdr:to>
      <xdr:col>7</xdr:col>
      <xdr:colOff>230187</xdr:colOff>
      <xdr:row>5</xdr:row>
      <xdr:rowOff>12839</xdr:rowOff>
    </xdr:to>
    <xdr:grpSp>
      <xdr:nvGrpSpPr>
        <xdr:cNvPr id="3" name="Grupo 2"/>
        <xdr:cNvGrpSpPr>
          <a:grpSpLocks/>
        </xdr:cNvGrpSpPr>
      </xdr:nvGrpSpPr>
      <xdr:grpSpPr bwMode="auto">
        <a:xfrm>
          <a:off x="0" y="50939"/>
          <a:ext cx="8040687" cy="914400"/>
          <a:chOff x="0" y="0"/>
          <a:chExt cx="6142161" cy="665216"/>
        </a:xfrm>
      </xdr:grpSpPr>
      <xdr:sp macro="" textlink="">
        <xdr:nvSpPr>
          <xdr:cNvPr id="4" name="Rectángulo 3"/>
          <xdr:cNvSpPr/>
        </xdr:nvSpPr>
        <xdr:spPr>
          <a:xfrm>
            <a:off x="0" y="0"/>
            <a:ext cx="3618338"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s-CO"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REGISTRO DE CONFIRMACIÓN METROLOGICA</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nvGrpSpPr>
          <xdr:cNvPr id="5" name="Grupo 4"/>
          <xdr:cNvGrpSpPr>
            <a:grpSpLocks/>
          </xdr:cNvGrpSpPr>
        </xdr:nvGrpSpPr>
        <xdr:grpSpPr bwMode="auto">
          <a:xfrm>
            <a:off x="3614046" y="0"/>
            <a:ext cx="2528115" cy="665216"/>
            <a:chOff x="-422" y="0"/>
            <a:chExt cx="2528115" cy="665216"/>
          </a:xfrm>
        </xdr:grpSpPr>
        <xdr:sp macro="" textlink="">
          <xdr:nvSpPr>
            <xdr:cNvPr id="6" name="Rectángulo 5"/>
            <xdr:cNvSpPr/>
          </xdr:nvSpPr>
          <xdr:spPr>
            <a:xfrm>
              <a:off x="-422" y="0"/>
              <a:ext cx="1802731" cy="234337"/>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Fecha de </a:t>
              </a:r>
              <a:r>
                <a:rPr lang="es-ES" sz="1200" b="0">
                  <a:solidFill>
                    <a:srgbClr val="000000"/>
                  </a:solidFill>
                  <a:effectLst/>
                  <a:latin typeface="Arial" panose="020B0604020202020204" pitchFamily="34" charset="0"/>
                  <a:ea typeface="Times New Roman" panose="02020603050405020304" pitchFamily="18" charset="0"/>
                  <a:cs typeface="Arial" panose="020B0604020202020204" pitchFamily="34" charset="0"/>
                </a:rPr>
                <a:t>emisión</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 2021-02-16</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7" name="Rectángulo 6"/>
            <xdr:cNvSpPr/>
          </xdr:nvSpPr>
          <xdr:spPr>
            <a:xfrm>
              <a:off x="1802309" y="0"/>
              <a:ext cx="725384" cy="665216"/>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p>
              <a:endParaRPr lang="es-ES" sz="1200">
                <a:latin typeface="Arial" panose="020B0604020202020204" pitchFamily="34" charset="0"/>
                <a:cs typeface="Arial" panose="020B0604020202020204" pitchFamily="34" charset="0"/>
              </a:endParaRPr>
            </a:p>
          </xdr:txBody>
        </xdr:sp>
        <xdr:pic>
          <xdr:nvPicPr>
            <xdr:cNvPr id="8" name="Imagen 7" descr="D:\CENTRO DE INSPECCIÓN TOTAL BOYACÁ\logo\CITB Entregas final_Mesa de trabajo 1 solo.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6978" y="0"/>
              <a:ext cx="508142" cy="634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9" name="Rectángulo 8"/>
            <xdr:cNvSpPr/>
          </xdr:nvSpPr>
          <xdr:spPr>
            <a:xfrm>
              <a:off x="-422" y="226778"/>
              <a:ext cx="1802731" cy="219219"/>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Código:</a:t>
              </a:r>
              <a:r>
                <a:rPr lang="es-ES" sz="1200" baseline="0">
                  <a:solidFill>
                    <a:srgbClr val="000000"/>
                  </a:solidFill>
                  <a:effectLst/>
                  <a:latin typeface="Arial" panose="020B0604020202020204" pitchFamily="34" charset="0"/>
                  <a:ea typeface="Times New Roman" panose="02020603050405020304" pitchFamily="18" charset="0"/>
                  <a:cs typeface="Arial" panose="020B0604020202020204" pitchFamily="34" charset="0"/>
                </a:rPr>
                <a:t> CITB.CL.RG</a:t>
              </a: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.03</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sp macro="" textlink="">
          <xdr:nvSpPr>
            <xdr:cNvPr id="10" name="Rectángulo 9"/>
            <xdr:cNvSpPr/>
          </xdr:nvSpPr>
          <xdr:spPr>
            <a:xfrm>
              <a:off x="-422" y="438438"/>
              <a:ext cx="1802731" cy="226778"/>
            </a:xfrm>
            <a:prstGeom prst="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spcAft>
                  <a:spcPts val="0"/>
                </a:spcAft>
              </a:pPr>
              <a:r>
                <a:rPr lang="es-ES" sz="1200">
                  <a:solidFill>
                    <a:srgbClr val="000000"/>
                  </a:solidFill>
                  <a:effectLst/>
                  <a:latin typeface="Arial" panose="020B0604020202020204" pitchFamily="34" charset="0"/>
                  <a:ea typeface="Times New Roman" panose="02020603050405020304" pitchFamily="18" charset="0"/>
                  <a:cs typeface="Arial" panose="020B0604020202020204" pitchFamily="34" charset="0"/>
                </a:rPr>
                <a:t>Versión: 02</a:t>
              </a:r>
              <a:endParaRPr lang="es-ES" sz="1200">
                <a:effectLst/>
                <a:latin typeface="Arial" panose="020B0604020202020204" pitchFamily="34" charset="0"/>
                <a:ea typeface="Times New Roman" panose="02020603050405020304" pitchFamily="18" charset="0"/>
                <a:cs typeface="Arial" panose="020B0604020202020204" pitchFamily="34" charset="0"/>
              </a:endParaRPr>
            </a:p>
          </xdr:txBody>
        </xdr:sp>
      </xdr:grpSp>
    </xdr:grp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9.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BD213"/>
  <sheetViews>
    <sheetView tabSelected="1" zoomScaleNormal="100" workbookViewId="0">
      <pane xSplit="3" ySplit="9" topLeftCell="AE175" activePane="bottomRight" state="frozen"/>
      <selection pane="topRight" activeCell="D1" sqref="D1"/>
      <selection pane="bottomLeft" activeCell="A6" sqref="A6"/>
      <selection pane="bottomRight" activeCell="D183" sqref="D183:D193"/>
    </sheetView>
  </sheetViews>
  <sheetFormatPr baseColWidth="10" defaultRowHeight="15" x14ac:dyDescent="0.25"/>
  <cols>
    <col min="1" max="1" width="5.5703125" style="333" customWidth="1"/>
    <col min="2" max="2" width="22" customWidth="1"/>
    <col min="3" max="3" width="28.7109375" customWidth="1"/>
    <col min="4" max="4" width="18" customWidth="1"/>
    <col min="5" max="5" width="21.5703125" customWidth="1"/>
    <col min="6" max="6" width="20.85546875" customWidth="1"/>
    <col min="7" max="7" width="12.85546875" customWidth="1"/>
    <col min="8" max="8" width="13.7109375" customWidth="1"/>
    <col min="9" max="9" width="10.7109375" customWidth="1"/>
    <col min="10" max="10" width="9.85546875" customWidth="1"/>
    <col min="11" max="11" width="13.5703125" customWidth="1"/>
    <col min="12" max="16" width="11.28515625" customWidth="1"/>
    <col min="17" max="18" width="10" customWidth="1"/>
    <col min="19" max="19" width="13.85546875" customWidth="1"/>
    <col min="20" max="29" width="20.42578125" customWidth="1"/>
    <col min="30" max="31" width="21.42578125" customWidth="1"/>
    <col min="32" max="34" width="18" customWidth="1"/>
    <col min="35" max="41" width="20" customWidth="1"/>
    <col min="42" max="45" width="21.42578125" customWidth="1"/>
    <col min="46" max="46" width="17.140625" customWidth="1"/>
    <col min="47" max="47" width="11.28515625" customWidth="1"/>
    <col min="48" max="48" width="14.28515625" customWidth="1"/>
    <col min="49" max="49" width="13" customWidth="1"/>
    <col min="50" max="50" width="19.85546875" customWidth="1"/>
    <col min="51" max="51" width="14.28515625" customWidth="1"/>
    <col min="52" max="52" width="21.85546875" customWidth="1"/>
    <col min="53" max="53" width="20.42578125" customWidth="1"/>
    <col min="54" max="54" width="15.5703125" customWidth="1"/>
    <col min="55" max="55" width="16.42578125" customWidth="1"/>
    <col min="56" max="56" width="24" customWidth="1"/>
  </cols>
  <sheetData>
    <row r="2" spans="2:56" ht="15" customHeight="1" x14ac:dyDescent="0.25">
      <c r="AP2" s="433"/>
      <c r="AQ2" s="433"/>
      <c r="AR2" s="433"/>
      <c r="AS2" s="433"/>
      <c r="AT2" s="433"/>
      <c r="AU2" s="433"/>
      <c r="AV2" s="433"/>
    </row>
    <row r="3" spans="2:56" ht="15" customHeight="1" x14ac:dyDescent="0.25">
      <c r="AP3" s="433"/>
      <c r="AQ3" s="433"/>
      <c r="AR3" s="433"/>
      <c r="AS3" s="433"/>
      <c r="AT3" s="433"/>
      <c r="AU3" s="433"/>
      <c r="AV3" s="433"/>
    </row>
    <row r="4" spans="2:56" ht="15" customHeight="1" x14ac:dyDescent="0.25">
      <c r="AP4" s="433"/>
      <c r="AQ4" s="433"/>
      <c r="AR4" s="433"/>
      <c r="AS4" s="433"/>
      <c r="AT4" s="433"/>
      <c r="AU4" s="433"/>
      <c r="AV4" s="433"/>
    </row>
    <row r="5" spans="2:56" ht="15" customHeight="1" x14ac:dyDescent="0.25">
      <c r="AP5" s="433"/>
      <c r="AQ5" s="433"/>
      <c r="AR5" s="433"/>
      <c r="AS5" s="433"/>
      <c r="AT5" s="433"/>
      <c r="AU5" s="433"/>
      <c r="AV5" s="433"/>
    </row>
    <row r="6" spans="2:56" ht="15" customHeight="1" x14ac:dyDescent="0.25">
      <c r="AP6" s="433"/>
      <c r="AQ6" s="433"/>
      <c r="AR6" s="433"/>
      <c r="AS6" s="433"/>
      <c r="AT6" s="433"/>
      <c r="AU6" s="433"/>
      <c r="AV6" s="433"/>
    </row>
    <row r="7" spans="2:56" ht="15.75" thickBot="1" x14ac:dyDescent="0.3">
      <c r="AP7" s="188"/>
      <c r="AQ7" s="188"/>
      <c r="AR7" s="188"/>
      <c r="AS7" s="188"/>
      <c r="AT7" s="188"/>
      <c r="AU7" s="188"/>
      <c r="AV7" s="188"/>
    </row>
    <row r="8" spans="2:56" ht="15.75" thickBot="1" x14ac:dyDescent="0.3">
      <c r="B8" s="534" t="s">
        <v>30</v>
      </c>
      <c r="C8" s="535"/>
      <c r="D8" s="535"/>
      <c r="E8" s="535"/>
      <c r="F8" s="535"/>
      <c r="G8" s="535"/>
      <c r="H8" s="535"/>
      <c r="I8" s="535"/>
      <c r="J8" s="535"/>
      <c r="K8" s="535"/>
      <c r="L8" s="535"/>
      <c r="M8" s="535"/>
      <c r="N8" s="535"/>
      <c r="O8" s="535"/>
      <c r="P8" s="535"/>
      <c r="Q8" s="535"/>
      <c r="R8" s="536"/>
      <c r="S8" s="512" t="s">
        <v>107</v>
      </c>
      <c r="T8" s="513"/>
      <c r="U8" s="513"/>
      <c r="V8" s="513"/>
      <c r="W8" s="513"/>
      <c r="X8" s="513"/>
      <c r="Y8" s="513"/>
      <c r="Z8" s="513"/>
      <c r="AA8" s="513"/>
      <c r="AB8" s="513"/>
      <c r="AC8" s="513"/>
      <c r="AD8" s="513"/>
      <c r="AE8" s="513"/>
      <c r="AF8" s="514"/>
      <c r="AG8" s="577" t="s">
        <v>106</v>
      </c>
      <c r="AH8" s="578"/>
      <c r="AI8" s="578"/>
      <c r="AJ8" s="578"/>
      <c r="AK8" s="578"/>
      <c r="AL8" s="578"/>
      <c r="AM8" s="578"/>
      <c r="AN8" s="578"/>
      <c r="AO8" s="578"/>
      <c r="AP8" s="578"/>
      <c r="AQ8" s="578"/>
      <c r="AR8" s="578"/>
      <c r="AS8" s="578"/>
      <c r="AT8" s="579"/>
      <c r="AU8" s="557" t="s">
        <v>41</v>
      </c>
      <c r="AV8" s="558"/>
      <c r="AW8" s="558"/>
      <c r="AX8" s="558"/>
      <c r="AY8" s="558"/>
      <c r="AZ8" s="559"/>
      <c r="BA8" s="558" t="s">
        <v>42</v>
      </c>
      <c r="BB8" s="558"/>
      <c r="BC8" s="558"/>
      <c r="BD8" s="559"/>
    </row>
    <row r="9" spans="2:56" ht="79.5" customHeight="1" thickBot="1" x14ac:dyDescent="0.3">
      <c r="B9" s="331" t="s">
        <v>3</v>
      </c>
      <c r="C9" s="17" t="s">
        <v>2</v>
      </c>
      <c r="D9" s="17" t="s">
        <v>0</v>
      </c>
      <c r="E9" s="17" t="s">
        <v>1</v>
      </c>
      <c r="F9" s="18" t="s">
        <v>4</v>
      </c>
      <c r="G9" s="187" t="s">
        <v>5</v>
      </c>
      <c r="H9" s="19" t="s">
        <v>27</v>
      </c>
      <c r="I9" s="463" t="s">
        <v>21</v>
      </c>
      <c r="J9" s="464"/>
      <c r="K9" s="571" t="s">
        <v>66</v>
      </c>
      <c r="L9" s="572"/>
      <c r="M9" s="532" t="s">
        <v>67</v>
      </c>
      <c r="N9" s="533"/>
      <c r="O9" s="580" t="s">
        <v>68</v>
      </c>
      <c r="P9" s="581"/>
      <c r="Q9" s="569" t="s">
        <v>111</v>
      </c>
      <c r="R9" s="570"/>
      <c r="S9" s="25" t="s">
        <v>25</v>
      </c>
      <c r="T9" s="26" t="s">
        <v>70</v>
      </c>
      <c r="U9" s="25" t="s">
        <v>71</v>
      </c>
      <c r="V9" s="25" t="s">
        <v>72</v>
      </c>
      <c r="W9" s="25" t="s">
        <v>73</v>
      </c>
      <c r="X9" s="34" t="s">
        <v>74</v>
      </c>
      <c r="Y9" s="34" t="s">
        <v>75</v>
      </c>
      <c r="Z9" s="35" t="s">
        <v>76</v>
      </c>
      <c r="AA9" s="36" t="s">
        <v>77</v>
      </c>
      <c r="AB9" s="25" t="s">
        <v>78</v>
      </c>
      <c r="AC9" s="25" t="s">
        <v>79</v>
      </c>
      <c r="AD9" s="25" t="s">
        <v>28</v>
      </c>
      <c r="AE9" s="25" t="s">
        <v>29</v>
      </c>
      <c r="AF9" s="28" t="s">
        <v>36</v>
      </c>
      <c r="AG9" s="16" t="s">
        <v>51</v>
      </c>
      <c r="AH9" s="27" t="s">
        <v>80</v>
      </c>
      <c r="AI9" s="16" t="s">
        <v>81</v>
      </c>
      <c r="AJ9" s="16" t="s">
        <v>72</v>
      </c>
      <c r="AK9" s="16" t="s">
        <v>73</v>
      </c>
      <c r="AL9" s="34" t="s">
        <v>74</v>
      </c>
      <c r="AM9" s="34" t="s">
        <v>75</v>
      </c>
      <c r="AN9" s="35" t="s">
        <v>76</v>
      </c>
      <c r="AO9" s="36" t="s">
        <v>77</v>
      </c>
      <c r="AP9" s="16" t="s">
        <v>78</v>
      </c>
      <c r="AQ9" s="16" t="s">
        <v>79</v>
      </c>
      <c r="AR9" s="16" t="s">
        <v>28</v>
      </c>
      <c r="AS9" s="16" t="s">
        <v>29</v>
      </c>
      <c r="AT9" s="29" t="s">
        <v>36</v>
      </c>
      <c r="AU9" s="31" t="s">
        <v>24</v>
      </c>
      <c r="AV9" s="31" t="s">
        <v>53</v>
      </c>
      <c r="AW9" s="31" t="s">
        <v>26</v>
      </c>
      <c r="AX9" s="31" t="s">
        <v>43</v>
      </c>
      <c r="AY9" s="31" t="s">
        <v>37</v>
      </c>
      <c r="AZ9" s="9" t="s">
        <v>3</v>
      </c>
      <c r="BA9" s="15" t="s">
        <v>32</v>
      </c>
      <c r="BB9" s="15" t="s">
        <v>33</v>
      </c>
      <c r="BC9" s="15" t="s">
        <v>40</v>
      </c>
      <c r="BD9" s="15" t="s">
        <v>57</v>
      </c>
    </row>
    <row r="10" spans="2:56" ht="15.75" customHeight="1" x14ac:dyDescent="0.25">
      <c r="B10" s="657" t="s">
        <v>176</v>
      </c>
      <c r="C10" s="451" t="s">
        <v>165</v>
      </c>
      <c r="D10" s="504" t="s">
        <v>117</v>
      </c>
      <c r="E10" s="504" t="s">
        <v>118</v>
      </c>
      <c r="F10" s="663" t="s">
        <v>177</v>
      </c>
      <c r="G10" s="538">
        <v>1E-4</v>
      </c>
      <c r="H10" s="526" t="s">
        <v>45</v>
      </c>
      <c r="I10" s="76">
        <v>0.06</v>
      </c>
      <c r="J10" s="77" t="s">
        <v>44</v>
      </c>
      <c r="K10" s="270" t="s">
        <v>69</v>
      </c>
      <c r="L10" s="283" t="s">
        <v>69</v>
      </c>
      <c r="M10" s="78">
        <v>0.02</v>
      </c>
      <c r="N10" s="79" t="s">
        <v>44</v>
      </c>
      <c r="O10" s="80">
        <v>0.03</v>
      </c>
      <c r="P10" s="81" t="s">
        <v>44</v>
      </c>
      <c r="Q10" s="82">
        <v>1.01</v>
      </c>
      <c r="R10" s="82">
        <v>0.99399999999999999</v>
      </c>
      <c r="S10" s="58">
        <v>44063</v>
      </c>
      <c r="T10" s="446" t="s">
        <v>164</v>
      </c>
      <c r="U10" s="83">
        <v>0.98499999999999999</v>
      </c>
      <c r="V10" s="83">
        <f t="shared" ref="V10:V17" si="0">U10-Q10</f>
        <v>-2.5000000000000022E-2</v>
      </c>
      <c r="W10" s="83" t="s">
        <v>69</v>
      </c>
      <c r="X10" s="83" t="s">
        <v>69</v>
      </c>
      <c r="Y10" s="83" t="s">
        <v>69</v>
      </c>
      <c r="Z10" s="83">
        <v>0.01</v>
      </c>
      <c r="AA10" s="83">
        <v>0.01</v>
      </c>
      <c r="AB10" s="83">
        <v>1.2E-2</v>
      </c>
      <c r="AC10" s="83" t="s">
        <v>69</v>
      </c>
      <c r="AD10" s="59">
        <f>(V10+AB10)</f>
        <v>-1.3000000000000022E-2</v>
      </c>
      <c r="AE10" s="59">
        <f>(V10-AB10)</f>
        <v>-3.7000000000000019E-2</v>
      </c>
      <c r="AF10" s="59">
        <f>MAX(AD10:AE10)</f>
        <v>-1.3000000000000022E-2</v>
      </c>
      <c r="AG10" s="60">
        <v>44421</v>
      </c>
      <c r="AH10" s="460">
        <v>66134</v>
      </c>
      <c r="AI10" s="84">
        <v>0.98</v>
      </c>
      <c r="AJ10" s="84">
        <f>AI10-R10</f>
        <v>-1.4000000000000012E-2</v>
      </c>
      <c r="AK10" s="84"/>
      <c r="AL10" s="84" t="s">
        <v>69</v>
      </c>
      <c r="AM10" s="84" t="s">
        <v>69</v>
      </c>
      <c r="AN10" s="84">
        <v>0</v>
      </c>
      <c r="AO10" s="84">
        <v>0</v>
      </c>
      <c r="AP10" s="84">
        <v>2.1000000000000001E-2</v>
      </c>
      <c r="AQ10" s="84"/>
      <c r="AR10" s="59">
        <f t="shared" ref="AR10:AR15" si="1">(AJ10+AP10)</f>
        <v>6.9999999999999889E-3</v>
      </c>
      <c r="AS10" s="59">
        <f t="shared" ref="AS10:AS15" si="2">(AJ10-AP10)</f>
        <v>-3.5000000000000017E-2</v>
      </c>
      <c r="AT10" s="59">
        <f t="shared" ref="AT10:AT16" si="3">MAX(AR10:AS10)</f>
        <v>6.9999999999999889E-3</v>
      </c>
      <c r="AU10" s="62">
        <f t="shared" ref="AU10:AU179" si="4">YEARFRAC(S10,AG10)</f>
        <v>0.98055555555555551</v>
      </c>
      <c r="AV10" s="63">
        <f t="shared" ref="AV10:AV44" si="5">ABS(AT10-AF10)</f>
        <v>2.0000000000000011E-2</v>
      </c>
      <c r="AW10" s="85">
        <f>(AV10/AU10)</f>
        <v>2.0396600566572248E-2</v>
      </c>
      <c r="AX10" s="65">
        <f t="shared" ref="AX10:AX181" si="6">(I10/AW10)</f>
        <v>2.9416666666666651</v>
      </c>
      <c r="AY10" s="66" t="str">
        <f t="shared" ref="AY10:AY179" si="7">IF(AX10&lt;=1,"UN AÑO",IF(AX10&gt;=1,"DOS AÑOS"))</f>
        <v>DOS AÑOS</v>
      </c>
      <c r="AZ10" s="436" t="s">
        <v>9</v>
      </c>
      <c r="BA10" s="630" t="s">
        <v>35</v>
      </c>
      <c r="BB10" s="627" t="s">
        <v>34</v>
      </c>
      <c r="BC10" s="624" t="e">
        <f>MIN(AX10:AX25)</f>
        <v>#DIV/0!</v>
      </c>
      <c r="BD10" s="621" t="e">
        <f>#REF!</f>
        <v>#REF!</v>
      </c>
    </row>
    <row r="11" spans="2:56" ht="15.75" customHeight="1" x14ac:dyDescent="0.25">
      <c r="B11" s="658"/>
      <c r="C11" s="452"/>
      <c r="D11" s="662"/>
      <c r="E11" s="662"/>
      <c r="F11" s="664"/>
      <c r="G11" s="539"/>
      <c r="H11" s="527"/>
      <c r="I11" s="250">
        <v>0.15</v>
      </c>
      <c r="J11" s="87" t="s">
        <v>44</v>
      </c>
      <c r="K11" s="271" t="s">
        <v>69</v>
      </c>
      <c r="L11" s="272" t="s">
        <v>69</v>
      </c>
      <c r="M11" s="251">
        <v>0.06</v>
      </c>
      <c r="N11" s="89" t="s">
        <v>44</v>
      </c>
      <c r="O11" s="252">
        <v>0.08</v>
      </c>
      <c r="P11" s="91" t="s">
        <v>44</v>
      </c>
      <c r="Q11" s="254">
        <v>4</v>
      </c>
      <c r="R11" s="254">
        <v>4.01</v>
      </c>
      <c r="S11" s="255">
        <v>44063</v>
      </c>
      <c r="T11" s="565"/>
      <c r="U11" s="256">
        <v>3.9</v>
      </c>
      <c r="V11" s="93">
        <f t="shared" si="0"/>
        <v>-0.10000000000000009</v>
      </c>
      <c r="W11" s="256" t="s">
        <v>69</v>
      </c>
      <c r="X11" s="256" t="s">
        <v>69</v>
      </c>
      <c r="Y11" s="256" t="s">
        <v>69</v>
      </c>
      <c r="Z11" s="256">
        <v>0</v>
      </c>
      <c r="AA11" s="256">
        <v>0</v>
      </c>
      <c r="AB11" s="256">
        <v>4.1000000000000002E-2</v>
      </c>
      <c r="AC11" s="256"/>
      <c r="AD11" s="40">
        <f t="shared" ref="AD11:AD24" si="8">(V11+AB11)</f>
        <v>-5.9000000000000087E-2</v>
      </c>
      <c r="AE11" s="40">
        <f t="shared" ref="AE11:AE24" si="9">(V11-AB11)</f>
        <v>-0.1410000000000001</v>
      </c>
      <c r="AF11" s="40">
        <f t="shared" ref="AF11:AF24" si="10">MAX(AD11:AE11)</f>
        <v>-5.9000000000000087E-2</v>
      </c>
      <c r="AG11" s="258">
        <v>44421</v>
      </c>
      <c r="AH11" s="456"/>
      <c r="AI11" s="259">
        <v>3.96</v>
      </c>
      <c r="AJ11" s="94">
        <f>AI11-R11</f>
        <v>-4.9999999999999822E-2</v>
      </c>
      <c r="AK11" s="259"/>
      <c r="AL11" s="259"/>
      <c r="AM11" s="259"/>
      <c r="AN11" s="259">
        <v>7.0000000000000001E-3</v>
      </c>
      <c r="AO11" s="259">
        <v>0</v>
      </c>
      <c r="AP11" s="259">
        <v>0.09</v>
      </c>
      <c r="AQ11" s="259"/>
      <c r="AR11" s="40">
        <f t="shared" si="1"/>
        <v>4.0000000000000174E-2</v>
      </c>
      <c r="AS11" s="40">
        <f t="shared" si="2"/>
        <v>-0.13999999999999982</v>
      </c>
      <c r="AT11" s="40">
        <f t="shared" si="3"/>
        <v>4.0000000000000174E-2</v>
      </c>
      <c r="AU11" s="43">
        <f t="shared" ref="AU11:AU18" si="11">YEARFRAC(S11,AG11)</f>
        <v>0.98055555555555551</v>
      </c>
      <c r="AV11" s="44">
        <f t="shared" ref="AV11:AV18" si="12">ABS(AT11-AF11)</f>
        <v>9.9000000000000254E-2</v>
      </c>
      <c r="AW11" s="95">
        <f t="shared" ref="AW11:AW13" si="13">(AV11/AU11)</f>
        <v>0.10096317280453285</v>
      </c>
      <c r="AX11" s="46">
        <f t="shared" ref="AX11:AX13" si="14">(I11/AW11)</f>
        <v>1.4856902356902317</v>
      </c>
      <c r="AY11" s="72" t="str">
        <f t="shared" ref="AY11:AY21" si="15">IF(AX11&lt;=1,"UN AÑO",IF(AX11&gt;=1,"DOS AÑOS"))</f>
        <v>DOS AÑOS</v>
      </c>
      <c r="AZ11" s="566"/>
      <c r="BA11" s="631"/>
      <c r="BB11" s="628"/>
      <c r="BC11" s="625"/>
      <c r="BD11" s="622"/>
    </row>
    <row r="12" spans="2:56" ht="15.75" customHeight="1" x14ac:dyDescent="0.25">
      <c r="B12" s="658"/>
      <c r="C12" s="452"/>
      <c r="D12" s="662"/>
      <c r="E12" s="662"/>
      <c r="F12" s="664"/>
      <c r="G12" s="539"/>
      <c r="H12" s="527"/>
      <c r="I12" s="250">
        <v>0.4</v>
      </c>
      <c r="J12" s="87" t="s">
        <v>44</v>
      </c>
      <c r="K12" s="271" t="s">
        <v>69</v>
      </c>
      <c r="L12" s="272" t="s">
        <v>69</v>
      </c>
      <c r="M12" s="251">
        <v>0.1</v>
      </c>
      <c r="N12" s="89" t="s">
        <v>44</v>
      </c>
      <c r="O12" s="252">
        <v>0.15</v>
      </c>
      <c r="P12" s="91" t="s">
        <v>44</v>
      </c>
      <c r="Q12" s="254">
        <v>8</v>
      </c>
      <c r="R12" s="254">
        <v>7.97</v>
      </c>
      <c r="S12" s="255">
        <v>44063</v>
      </c>
      <c r="T12" s="565"/>
      <c r="U12" s="256">
        <v>7.95</v>
      </c>
      <c r="V12" s="93">
        <f t="shared" si="0"/>
        <v>-4.9999999999999822E-2</v>
      </c>
      <c r="W12" s="256" t="s">
        <v>69</v>
      </c>
      <c r="X12" s="256" t="s">
        <v>69</v>
      </c>
      <c r="Y12" s="256" t="s">
        <v>69</v>
      </c>
      <c r="Z12" s="256">
        <v>0.05</v>
      </c>
      <c r="AA12" s="256">
        <v>0.1</v>
      </c>
      <c r="AB12" s="256">
        <v>0.11</v>
      </c>
      <c r="AC12" s="256"/>
      <c r="AD12" s="40">
        <f t="shared" si="8"/>
        <v>6.0000000000000178E-2</v>
      </c>
      <c r="AE12" s="40">
        <f t="shared" si="9"/>
        <v>-0.15999999999999981</v>
      </c>
      <c r="AF12" s="40">
        <f t="shared" si="10"/>
        <v>6.0000000000000178E-2</v>
      </c>
      <c r="AG12" s="258">
        <v>44421</v>
      </c>
      <c r="AH12" s="456"/>
      <c r="AI12" s="259">
        <v>7.94</v>
      </c>
      <c r="AJ12" s="94">
        <f t="shared" ref="AJ12:AJ37" si="16">AI12-R12</f>
        <v>-2.9999999999999361E-2</v>
      </c>
      <c r="AK12" s="259"/>
      <c r="AL12" s="259"/>
      <c r="AM12" s="259"/>
      <c r="AN12" s="259">
        <v>0</v>
      </c>
      <c r="AO12" s="259">
        <v>0</v>
      </c>
      <c r="AP12" s="259">
        <v>0.17</v>
      </c>
      <c r="AQ12" s="259"/>
      <c r="AR12" s="40">
        <f t="shared" si="1"/>
        <v>0.14000000000000065</v>
      </c>
      <c r="AS12" s="40">
        <f t="shared" si="2"/>
        <v>-0.19999999999999937</v>
      </c>
      <c r="AT12" s="40">
        <f t="shared" si="3"/>
        <v>0.14000000000000065</v>
      </c>
      <c r="AU12" s="43">
        <f t="shared" si="11"/>
        <v>0.98055555555555551</v>
      </c>
      <c r="AV12" s="44">
        <f t="shared" si="12"/>
        <v>8.0000000000000474E-2</v>
      </c>
      <c r="AW12" s="95">
        <f t="shared" si="13"/>
        <v>8.1586402266289437E-2</v>
      </c>
      <c r="AX12" s="46">
        <f t="shared" si="14"/>
        <v>4.9027777777777493</v>
      </c>
      <c r="AY12" s="72" t="str">
        <f t="shared" si="15"/>
        <v>DOS AÑOS</v>
      </c>
      <c r="AZ12" s="566"/>
      <c r="BA12" s="631"/>
      <c r="BB12" s="628"/>
      <c r="BC12" s="625"/>
      <c r="BD12" s="622"/>
    </row>
    <row r="13" spans="2:56" x14ac:dyDescent="0.25">
      <c r="B13" s="659"/>
      <c r="C13" s="453"/>
      <c r="D13" s="505"/>
      <c r="E13" s="505"/>
      <c r="F13" s="665"/>
      <c r="G13" s="537"/>
      <c r="H13" s="528"/>
      <c r="I13" s="86">
        <v>0.06</v>
      </c>
      <c r="J13" s="87" t="s">
        <v>44</v>
      </c>
      <c r="K13" s="273" t="s">
        <v>69</v>
      </c>
      <c r="L13" s="284" t="s">
        <v>69</v>
      </c>
      <c r="M13" s="88">
        <v>0.02</v>
      </c>
      <c r="N13" s="89" t="s">
        <v>44</v>
      </c>
      <c r="O13" s="90">
        <v>0.03</v>
      </c>
      <c r="P13" s="91" t="s">
        <v>44</v>
      </c>
      <c r="Q13" s="92">
        <v>0</v>
      </c>
      <c r="R13" s="92">
        <v>0</v>
      </c>
      <c r="S13" s="38">
        <v>44063</v>
      </c>
      <c r="T13" s="447"/>
      <c r="U13" s="93">
        <v>0</v>
      </c>
      <c r="V13" s="93">
        <f t="shared" si="0"/>
        <v>0</v>
      </c>
      <c r="W13" s="93" t="s">
        <v>69</v>
      </c>
      <c r="X13" s="93" t="s">
        <v>69</v>
      </c>
      <c r="Y13" s="93" t="s">
        <v>69</v>
      </c>
      <c r="Z13" s="93">
        <v>0</v>
      </c>
      <c r="AA13" s="93">
        <v>0</v>
      </c>
      <c r="AB13" s="93">
        <v>6.0000000000000001E-3</v>
      </c>
      <c r="AC13" s="93" t="s">
        <v>69</v>
      </c>
      <c r="AD13" s="40">
        <f t="shared" si="8"/>
        <v>6.0000000000000001E-3</v>
      </c>
      <c r="AE13" s="40">
        <f t="shared" si="9"/>
        <v>-6.0000000000000001E-3</v>
      </c>
      <c r="AF13" s="40">
        <f t="shared" si="10"/>
        <v>6.0000000000000001E-3</v>
      </c>
      <c r="AG13" s="41">
        <v>44421</v>
      </c>
      <c r="AH13" s="461"/>
      <c r="AI13" s="94">
        <v>0</v>
      </c>
      <c r="AJ13" s="94">
        <f t="shared" si="16"/>
        <v>0</v>
      </c>
      <c r="AK13" s="94"/>
      <c r="AL13" s="94" t="s">
        <v>69</v>
      </c>
      <c r="AM13" s="94" t="s">
        <v>69</v>
      </c>
      <c r="AN13" s="94">
        <v>0</v>
      </c>
      <c r="AO13" s="94">
        <v>0</v>
      </c>
      <c r="AP13" s="94">
        <v>6.0000000000000001E-3</v>
      </c>
      <c r="AQ13" s="94"/>
      <c r="AR13" s="40">
        <f t="shared" si="1"/>
        <v>6.0000000000000001E-3</v>
      </c>
      <c r="AS13" s="40">
        <f t="shared" si="2"/>
        <v>-6.0000000000000001E-3</v>
      </c>
      <c r="AT13" s="40">
        <f t="shared" si="3"/>
        <v>6.0000000000000001E-3</v>
      </c>
      <c r="AU13" s="43">
        <f t="shared" si="11"/>
        <v>0.98055555555555551</v>
      </c>
      <c r="AV13" s="44">
        <f t="shared" si="12"/>
        <v>0</v>
      </c>
      <c r="AW13" s="95">
        <f t="shared" si="13"/>
        <v>0</v>
      </c>
      <c r="AX13" s="46" t="e">
        <f t="shared" si="14"/>
        <v>#DIV/0!</v>
      </c>
      <c r="AY13" s="72" t="e">
        <f t="shared" si="15"/>
        <v>#DIV/0!</v>
      </c>
      <c r="AZ13" s="437"/>
      <c r="BA13" s="631"/>
      <c r="BB13" s="628"/>
      <c r="BC13" s="625"/>
      <c r="BD13" s="622"/>
    </row>
    <row r="14" spans="2:56" x14ac:dyDescent="0.25">
      <c r="B14" s="659"/>
      <c r="C14" s="519" t="s">
        <v>6</v>
      </c>
      <c r="D14" s="505"/>
      <c r="E14" s="505"/>
      <c r="F14" s="665"/>
      <c r="G14" s="522">
        <v>1E-3</v>
      </c>
      <c r="H14" s="516" t="s">
        <v>46</v>
      </c>
      <c r="I14" s="86">
        <v>0.6</v>
      </c>
      <c r="J14" s="87" t="s">
        <v>44</v>
      </c>
      <c r="K14" s="273" t="s">
        <v>69</v>
      </c>
      <c r="L14" s="284" t="s">
        <v>69</v>
      </c>
      <c r="M14" s="88">
        <v>0.2</v>
      </c>
      <c r="N14" s="89" t="s">
        <v>44</v>
      </c>
      <c r="O14" s="90">
        <v>0.3</v>
      </c>
      <c r="P14" s="91" t="s">
        <v>44</v>
      </c>
      <c r="Q14" s="92">
        <v>6</v>
      </c>
      <c r="R14" s="92">
        <v>5.98</v>
      </c>
      <c r="S14" s="38">
        <v>44063</v>
      </c>
      <c r="T14" s="447"/>
      <c r="U14" s="96">
        <v>6.15</v>
      </c>
      <c r="V14" s="93">
        <f t="shared" si="0"/>
        <v>0.15000000000000036</v>
      </c>
      <c r="W14" s="96" t="s">
        <v>69</v>
      </c>
      <c r="X14" s="96" t="s">
        <v>69</v>
      </c>
      <c r="Y14" s="96" t="s">
        <v>69</v>
      </c>
      <c r="Z14" s="96">
        <v>0.05</v>
      </c>
      <c r="AA14" s="96">
        <v>0.1</v>
      </c>
      <c r="AB14" s="96">
        <v>0.1</v>
      </c>
      <c r="AC14" s="96" t="s">
        <v>69</v>
      </c>
      <c r="AD14" s="40">
        <f t="shared" si="8"/>
        <v>0.25000000000000033</v>
      </c>
      <c r="AE14" s="40">
        <f t="shared" si="9"/>
        <v>5.000000000000035E-2</v>
      </c>
      <c r="AF14" s="40">
        <f t="shared" si="10"/>
        <v>0.25000000000000033</v>
      </c>
      <c r="AG14" s="41">
        <v>44421</v>
      </c>
      <c r="AH14" s="461"/>
      <c r="AI14" s="94">
        <v>5.98</v>
      </c>
      <c r="AJ14" s="94">
        <f t="shared" si="16"/>
        <v>0</v>
      </c>
      <c r="AK14" s="94"/>
      <c r="AL14" s="94"/>
      <c r="AM14" s="94"/>
      <c r="AN14" s="94">
        <v>0</v>
      </c>
      <c r="AO14" s="94">
        <v>0</v>
      </c>
      <c r="AP14" s="94">
        <v>0.12</v>
      </c>
      <c r="AQ14" s="94"/>
      <c r="AR14" s="40">
        <f t="shared" si="1"/>
        <v>0.12</v>
      </c>
      <c r="AS14" s="40">
        <f t="shared" si="2"/>
        <v>-0.12</v>
      </c>
      <c r="AT14" s="40">
        <f t="shared" si="3"/>
        <v>0.12</v>
      </c>
      <c r="AU14" s="43">
        <f t="shared" si="11"/>
        <v>0.98055555555555551</v>
      </c>
      <c r="AV14" s="44">
        <f t="shared" si="12"/>
        <v>0.13000000000000034</v>
      </c>
      <c r="AW14" s="95">
        <f t="shared" ref="AW14:AW22" si="17">(AV14/AU14)</f>
        <v>0.13257790368271991</v>
      </c>
      <c r="AX14" s="46">
        <f t="shared" ref="AX14:AX22" si="18">(I14/AW14)</f>
        <v>4.5256410256410131</v>
      </c>
      <c r="AY14" s="72" t="str">
        <f t="shared" si="15"/>
        <v>DOS AÑOS</v>
      </c>
      <c r="AZ14" s="437"/>
      <c r="BA14" s="631"/>
      <c r="BB14" s="628"/>
      <c r="BC14" s="625"/>
      <c r="BD14" s="622"/>
    </row>
    <row r="15" spans="2:56" x14ac:dyDescent="0.25">
      <c r="B15" s="659"/>
      <c r="C15" s="520"/>
      <c r="D15" s="505"/>
      <c r="E15" s="505"/>
      <c r="F15" s="665"/>
      <c r="G15" s="523"/>
      <c r="H15" s="517"/>
      <c r="I15" s="86">
        <v>0.6</v>
      </c>
      <c r="J15" s="87" t="s">
        <v>44</v>
      </c>
      <c r="K15" s="273" t="s">
        <v>69</v>
      </c>
      <c r="L15" s="274" t="s">
        <v>69</v>
      </c>
      <c r="M15" s="88">
        <v>0.2</v>
      </c>
      <c r="N15" s="89" t="s">
        <v>44</v>
      </c>
      <c r="O15" s="90">
        <v>0.3</v>
      </c>
      <c r="P15" s="91" t="s">
        <v>44</v>
      </c>
      <c r="Q15" s="92">
        <v>12</v>
      </c>
      <c r="R15" s="92">
        <v>10.5</v>
      </c>
      <c r="S15" s="38">
        <v>44063</v>
      </c>
      <c r="T15" s="447"/>
      <c r="U15" s="96">
        <v>12.22</v>
      </c>
      <c r="V15" s="93">
        <f t="shared" si="0"/>
        <v>0.22000000000000064</v>
      </c>
      <c r="W15" s="96"/>
      <c r="X15" s="96"/>
      <c r="Y15" s="96"/>
      <c r="Z15" s="96">
        <v>0.08</v>
      </c>
      <c r="AA15" s="96">
        <v>0.2</v>
      </c>
      <c r="AB15" s="96">
        <v>0.13</v>
      </c>
      <c r="AC15" s="96"/>
      <c r="AD15" s="40">
        <f t="shared" si="8"/>
        <v>0.35000000000000064</v>
      </c>
      <c r="AE15" s="40">
        <f t="shared" si="9"/>
        <v>9.0000000000000635E-2</v>
      </c>
      <c r="AF15" s="40">
        <f t="shared" si="10"/>
        <v>0.35000000000000064</v>
      </c>
      <c r="AG15" s="41">
        <v>44421</v>
      </c>
      <c r="AH15" s="461"/>
      <c r="AI15" s="94">
        <v>10.6</v>
      </c>
      <c r="AJ15" s="94">
        <f t="shared" si="16"/>
        <v>9.9999999999999645E-2</v>
      </c>
      <c r="AK15" s="94"/>
      <c r="AL15" s="94"/>
      <c r="AM15" s="94"/>
      <c r="AN15" s="94">
        <v>0</v>
      </c>
      <c r="AO15" s="94">
        <v>0</v>
      </c>
      <c r="AP15" s="94">
        <v>0.2</v>
      </c>
      <c r="AQ15" s="94"/>
      <c r="AR15" s="40">
        <f t="shared" si="1"/>
        <v>0.29999999999999966</v>
      </c>
      <c r="AS15" s="40">
        <f t="shared" si="2"/>
        <v>-0.10000000000000037</v>
      </c>
      <c r="AT15" s="40">
        <f t="shared" si="3"/>
        <v>0.29999999999999966</v>
      </c>
      <c r="AU15" s="43">
        <f t="shared" si="11"/>
        <v>0.98055555555555551</v>
      </c>
      <c r="AV15" s="44">
        <f t="shared" si="12"/>
        <v>5.0000000000000988E-2</v>
      </c>
      <c r="AW15" s="95">
        <f t="shared" si="17"/>
        <v>5.0991501416431606E-2</v>
      </c>
      <c r="AX15" s="46">
        <f t="shared" si="18"/>
        <v>11.766666666666433</v>
      </c>
      <c r="AY15" s="72" t="str">
        <f t="shared" si="15"/>
        <v>DOS AÑOS</v>
      </c>
      <c r="AZ15" s="437"/>
      <c r="BA15" s="631"/>
      <c r="BB15" s="628"/>
      <c r="BC15" s="625"/>
      <c r="BD15" s="622"/>
    </row>
    <row r="16" spans="2:56" x14ac:dyDescent="0.25">
      <c r="B16" s="659"/>
      <c r="C16" s="520"/>
      <c r="D16" s="505"/>
      <c r="E16" s="505"/>
      <c r="F16" s="665"/>
      <c r="G16" s="523"/>
      <c r="H16" s="517"/>
      <c r="I16" s="86">
        <v>0.6</v>
      </c>
      <c r="J16" s="87" t="s">
        <v>44</v>
      </c>
      <c r="K16" s="273" t="s">
        <v>69</v>
      </c>
      <c r="L16" s="274" t="s">
        <v>69</v>
      </c>
      <c r="M16" s="88">
        <v>0.2</v>
      </c>
      <c r="N16" s="89" t="s">
        <v>44</v>
      </c>
      <c r="O16" s="90">
        <v>0.3</v>
      </c>
      <c r="P16" s="91" t="s">
        <v>44</v>
      </c>
      <c r="Q16" s="92">
        <v>14</v>
      </c>
      <c r="R16" s="92">
        <v>13.02</v>
      </c>
      <c r="S16" s="38">
        <v>44063</v>
      </c>
      <c r="T16" s="447"/>
      <c r="U16" s="96">
        <v>14.12</v>
      </c>
      <c r="V16" s="93">
        <f t="shared" si="0"/>
        <v>0.11999999999999922</v>
      </c>
      <c r="W16" s="96"/>
      <c r="X16" s="96"/>
      <c r="Y16" s="96"/>
      <c r="Z16" s="96">
        <v>0.08</v>
      </c>
      <c r="AA16" s="96">
        <v>0.2</v>
      </c>
      <c r="AB16" s="96">
        <v>0.13</v>
      </c>
      <c r="AC16" s="96"/>
      <c r="AD16" s="40">
        <f t="shared" si="8"/>
        <v>0.24999999999999922</v>
      </c>
      <c r="AE16" s="40">
        <f t="shared" si="9"/>
        <v>-1.0000000000000786E-2</v>
      </c>
      <c r="AF16" s="40">
        <f t="shared" si="10"/>
        <v>0.24999999999999922</v>
      </c>
      <c r="AG16" s="41">
        <v>44421</v>
      </c>
      <c r="AH16" s="461"/>
      <c r="AI16" s="94">
        <v>13</v>
      </c>
      <c r="AJ16" s="94">
        <f t="shared" si="16"/>
        <v>-1.9999999999999574E-2</v>
      </c>
      <c r="AK16" s="94"/>
      <c r="AL16" s="94" t="s">
        <v>69</v>
      </c>
      <c r="AM16" s="94" t="s">
        <v>69</v>
      </c>
      <c r="AN16" s="94">
        <v>0</v>
      </c>
      <c r="AO16" s="94">
        <v>0</v>
      </c>
      <c r="AP16" s="94">
        <v>0.15</v>
      </c>
      <c r="AQ16" s="94"/>
      <c r="AR16" s="40">
        <f t="shared" ref="AR16:AR18" si="19">(AK16+AP16)</f>
        <v>0.15</v>
      </c>
      <c r="AS16" s="40">
        <f t="shared" ref="AS16:AS18" si="20">(AK16-AP16)</f>
        <v>-0.15</v>
      </c>
      <c r="AT16" s="40">
        <f t="shared" si="3"/>
        <v>0.15</v>
      </c>
      <c r="AU16" s="43">
        <f t="shared" si="11"/>
        <v>0.98055555555555551</v>
      </c>
      <c r="AV16" s="44">
        <f t="shared" si="12"/>
        <v>9.9999999999999228E-2</v>
      </c>
      <c r="AW16" s="95">
        <f t="shared" si="17"/>
        <v>0.10198300283286041</v>
      </c>
      <c r="AX16" s="46">
        <f t="shared" si="18"/>
        <v>5.8833333333333782</v>
      </c>
      <c r="AY16" s="72" t="str">
        <f t="shared" si="15"/>
        <v>DOS AÑOS</v>
      </c>
      <c r="AZ16" s="437"/>
      <c r="BA16" s="631"/>
      <c r="BB16" s="628"/>
      <c r="BC16" s="625"/>
      <c r="BD16" s="622"/>
    </row>
    <row r="17" spans="2:56" x14ac:dyDescent="0.25">
      <c r="B17" s="659"/>
      <c r="C17" s="452"/>
      <c r="D17" s="505"/>
      <c r="E17" s="505"/>
      <c r="F17" s="665"/>
      <c r="G17" s="524"/>
      <c r="H17" s="525"/>
      <c r="I17" s="86">
        <v>0.6</v>
      </c>
      <c r="J17" s="87" t="s">
        <v>44</v>
      </c>
      <c r="K17" s="273" t="s">
        <v>69</v>
      </c>
      <c r="L17" s="284" t="s">
        <v>69</v>
      </c>
      <c r="M17" s="88">
        <v>0.2</v>
      </c>
      <c r="N17" s="89" t="s">
        <v>44</v>
      </c>
      <c r="O17" s="90">
        <v>0.3</v>
      </c>
      <c r="P17" s="91" t="s">
        <v>44</v>
      </c>
      <c r="Q17" s="92">
        <v>0</v>
      </c>
      <c r="R17" s="92">
        <v>0</v>
      </c>
      <c r="S17" s="38">
        <v>44063</v>
      </c>
      <c r="T17" s="447"/>
      <c r="U17" s="96">
        <v>0</v>
      </c>
      <c r="V17" s="93">
        <f t="shared" si="0"/>
        <v>0</v>
      </c>
      <c r="W17" s="96" t="s">
        <v>69</v>
      </c>
      <c r="X17" s="96" t="s">
        <v>69</v>
      </c>
      <c r="Y17" s="96" t="s">
        <v>69</v>
      </c>
      <c r="Z17" s="96">
        <v>0</v>
      </c>
      <c r="AA17" s="96">
        <v>0</v>
      </c>
      <c r="AB17" s="96">
        <v>5.8000000000000003E-2</v>
      </c>
      <c r="AC17" s="96" t="s">
        <v>69</v>
      </c>
      <c r="AD17" s="40">
        <f t="shared" si="8"/>
        <v>5.8000000000000003E-2</v>
      </c>
      <c r="AE17" s="40">
        <f t="shared" si="9"/>
        <v>-5.8000000000000003E-2</v>
      </c>
      <c r="AF17" s="40">
        <f t="shared" si="10"/>
        <v>5.8000000000000003E-2</v>
      </c>
      <c r="AG17" s="41">
        <v>44421</v>
      </c>
      <c r="AH17" s="461"/>
      <c r="AI17" s="94">
        <v>0</v>
      </c>
      <c r="AJ17" s="94">
        <f t="shared" si="16"/>
        <v>0</v>
      </c>
      <c r="AK17" s="94"/>
      <c r="AL17" s="94" t="s">
        <v>69</v>
      </c>
      <c r="AM17" s="94" t="s">
        <v>69</v>
      </c>
      <c r="AN17" s="94">
        <v>0</v>
      </c>
      <c r="AO17" s="94">
        <v>0</v>
      </c>
      <c r="AP17" s="94">
        <v>5.8000000000000003E-2</v>
      </c>
      <c r="AQ17" s="94"/>
      <c r="AR17" s="40">
        <f t="shared" si="19"/>
        <v>5.8000000000000003E-2</v>
      </c>
      <c r="AS17" s="40">
        <f t="shared" si="20"/>
        <v>-5.8000000000000003E-2</v>
      </c>
      <c r="AT17" s="40">
        <f t="shared" ref="AT17" si="21">MAX(AR17:AS17)</f>
        <v>5.8000000000000003E-2</v>
      </c>
      <c r="AU17" s="43">
        <f t="shared" si="11"/>
        <v>0.98055555555555551</v>
      </c>
      <c r="AV17" s="44">
        <f t="shared" si="12"/>
        <v>0</v>
      </c>
      <c r="AW17" s="95">
        <f t="shared" si="17"/>
        <v>0</v>
      </c>
      <c r="AX17" s="46" t="e">
        <f>(I17/AW17)</f>
        <v>#DIV/0!</v>
      </c>
      <c r="AY17" s="72" t="e">
        <f t="shared" si="15"/>
        <v>#DIV/0!</v>
      </c>
      <c r="AZ17" s="437"/>
      <c r="BA17" s="631"/>
      <c r="BB17" s="628"/>
      <c r="BC17" s="625"/>
      <c r="BD17" s="622"/>
    </row>
    <row r="18" spans="2:56" x14ac:dyDescent="0.25">
      <c r="B18" s="659"/>
      <c r="C18" s="453" t="s">
        <v>7</v>
      </c>
      <c r="D18" s="505"/>
      <c r="E18" s="505"/>
      <c r="F18" s="665"/>
      <c r="G18" s="435" t="s">
        <v>14</v>
      </c>
      <c r="H18" s="435" t="s">
        <v>49</v>
      </c>
      <c r="I18" s="97">
        <v>12</v>
      </c>
      <c r="J18" s="98" t="s">
        <v>47</v>
      </c>
      <c r="K18" s="275" t="s">
        <v>69</v>
      </c>
      <c r="L18" s="282" t="s">
        <v>69</v>
      </c>
      <c r="M18" s="99">
        <v>6</v>
      </c>
      <c r="N18" s="100" t="s">
        <v>47</v>
      </c>
      <c r="O18" s="101">
        <v>8</v>
      </c>
      <c r="P18" s="102" t="s">
        <v>47</v>
      </c>
      <c r="Q18" s="37">
        <v>146.9</v>
      </c>
      <c r="R18" s="37">
        <v>145.9</v>
      </c>
      <c r="S18" s="38">
        <v>44063</v>
      </c>
      <c r="T18" s="447"/>
      <c r="U18" s="96">
        <v>153.30000000000001</v>
      </c>
      <c r="V18" s="93">
        <f t="shared" ref="V18:V24" si="22">U18-Q18</f>
        <v>6.4000000000000057</v>
      </c>
      <c r="W18" s="96" t="s">
        <v>69</v>
      </c>
      <c r="X18" s="96" t="s">
        <v>69</v>
      </c>
      <c r="Y18" s="96" t="s">
        <v>69</v>
      </c>
      <c r="Z18" s="96">
        <v>0.52</v>
      </c>
      <c r="AA18" s="96">
        <v>1</v>
      </c>
      <c r="AB18" s="96">
        <v>2.1</v>
      </c>
      <c r="AC18" s="96" t="s">
        <v>69</v>
      </c>
      <c r="AD18" s="40">
        <f t="shared" si="8"/>
        <v>8.5000000000000053</v>
      </c>
      <c r="AE18" s="40">
        <f t="shared" si="9"/>
        <v>4.300000000000006</v>
      </c>
      <c r="AF18" s="40">
        <f t="shared" si="10"/>
        <v>8.5000000000000053</v>
      </c>
      <c r="AG18" s="41">
        <v>44421</v>
      </c>
      <c r="AH18" s="461"/>
      <c r="AI18" s="94">
        <v>145</v>
      </c>
      <c r="AJ18" s="94">
        <f t="shared" si="16"/>
        <v>-0.90000000000000568</v>
      </c>
      <c r="AK18" s="94"/>
      <c r="AL18" s="94" t="s">
        <v>69</v>
      </c>
      <c r="AM18" s="94" t="s">
        <v>69</v>
      </c>
      <c r="AN18" s="94">
        <v>0</v>
      </c>
      <c r="AO18" s="94">
        <v>0</v>
      </c>
      <c r="AP18" s="94">
        <v>3</v>
      </c>
      <c r="AQ18" s="94"/>
      <c r="AR18" s="40">
        <f t="shared" si="19"/>
        <v>3</v>
      </c>
      <c r="AS18" s="40">
        <f t="shared" si="20"/>
        <v>-3</v>
      </c>
      <c r="AT18" s="40">
        <f t="shared" ref="AT18:AT46" si="23">MAX(AR18:AS18)</f>
        <v>3</v>
      </c>
      <c r="AU18" s="43">
        <f t="shared" si="11"/>
        <v>0.98055555555555551</v>
      </c>
      <c r="AV18" s="44">
        <f t="shared" si="12"/>
        <v>5.5000000000000053</v>
      </c>
      <c r="AW18" s="95">
        <f t="shared" si="17"/>
        <v>5.6090651558073708</v>
      </c>
      <c r="AX18" s="46">
        <f t="shared" si="18"/>
        <v>2.1393939393939374</v>
      </c>
      <c r="AY18" s="72" t="str">
        <f t="shared" si="15"/>
        <v>DOS AÑOS</v>
      </c>
      <c r="AZ18" s="437"/>
      <c r="BA18" s="631"/>
      <c r="BB18" s="628"/>
      <c r="BC18" s="625"/>
      <c r="BD18" s="622"/>
    </row>
    <row r="19" spans="2:56" x14ac:dyDescent="0.25">
      <c r="B19" s="659"/>
      <c r="C19" s="453"/>
      <c r="D19" s="505"/>
      <c r="E19" s="505"/>
      <c r="F19" s="665"/>
      <c r="G19" s="435"/>
      <c r="H19" s="435"/>
      <c r="I19" s="97">
        <v>30</v>
      </c>
      <c r="J19" s="98" t="s">
        <v>47</v>
      </c>
      <c r="K19" s="275" t="s">
        <v>69</v>
      </c>
      <c r="L19" s="276" t="s">
        <v>69</v>
      </c>
      <c r="M19" s="99">
        <v>10</v>
      </c>
      <c r="N19" s="105" t="s">
        <v>19</v>
      </c>
      <c r="O19" s="101">
        <v>15</v>
      </c>
      <c r="P19" s="102" t="s">
        <v>47</v>
      </c>
      <c r="Q19" s="37">
        <v>585</v>
      </c>
      <c r="R19" s="37">
        <v>589</v>
      </c>
      <c r="S19" s="38">
        <v>44063</v>
      </c>
      <c r="T19" s="447"/>
      <c r="U19" s="96">
        <v>576</v>
      </c>
      <c r="V19" s="93">
        <f t="shared" si="22"/>
        <v>-9</v>
      </c>
      <c r="W19" s="96"/>
      <c r="X19" s="96"/>
      <c r="Y19" s="96"/>
      <c r="Z19" s="96">
        <v>2.19</v>
      </c>
      <c r="AA19" s="96">
        <v>6</v>
      </c>
      <c r="AB19" s="96">
        <v>6</v>
      </c>
      <c r="AC19" s="96"/>
      <c r="AD19" s="40">
        <f t="shared" si="8"/>
        <v>-3</v>
      </c>
      <c r="AE19" s="40">
        <f t="shared" si="9"/>
        <v>-15</v>
      </c>
      <c r="AF19" s="40">
        <f t="shared" si="10"/>
        <v>-3</v>
      </c>
      <c r="AG19" s="41">
        <v>44421</v>
      </c>
      <c r="AH19" s="461"/>
      <c r="AI19" s="94">
        <v>592</v>
      </c>
      <c r="AJ19" s="94">
        <f t="shared" si="16"/>
        <v>3</v>
      </c>
      <c r="AK19" s="94"/>
      <c r="AL19" s="94"/>
      <c r="AM19" s="94"/>
      <c r="AN19" s="94">
        <v>0</v>
      </c>
      <c r="AO19" s="94">
        <v>0</v>
      </c>
      <c r="AP19" s="94">
        <v>13</v>
      </c>
      <c r="AQ19" s="94"/>
      <c r="AR19" s="40">
        <f t="shared" ref="AR19:AR21" si="24">(AK19+AP19)</f>
        <v>13</v>
      </c>
      <c r="AS19" s="40">
        <f t="shared" ref="AS19:AS21" si="25">(AK19-AP19)</f>
        <v>-13</v>
      </c>
      <c r="AT19" s="40">
        <f t="shared" si="23"/>
        <v>13</v>
      </c>
      <c r="AU19" s="43">
        <f t="shared" ref="AU19:AU21" si="26">YEARFRAC(S19,AG19)</f>
        <v>0.98055555555555551</v>
      </c>
      <c r="AV19" s="44">
        <f t="shared" ref="AV19:AV21" si="27">ABS(AT19-AF19)</f>
        <v>16</v>
      </c>
      <c r="AW19" s="95">
        <f t="shared" si="17"/>
        <v>16.317280453257791</v>
      </c>
      <c r="AX19" s="46">
        <f t="shared" si="18"/>
        <v>1.8385416666666667</v>
      </c>
      <c r="AY19" s="72" t="str">
        <f t="shared" si="15"/>
        <v>DOS AÑOS</v>
      </c>
      <c r="AZ19" s="437"/>
      <c r="BA19" s="631"/>
      <c r="BB19" s="628"/>
      <c r="BC19" s="625"/>
      <c r="BD19" s="622"/>
    </row>
    <row r="20" spans="2:56" x14ac:dyDescent="0.25">
      <c r="B20" s="659"/>
      <c r="C20" s="453"/>
      <c r="D20" s="505"/>
      <c r="E20" s="505"/>
      <c r="F20" s="665"/>
      <c r="G20" s="435"/>
      <c r="H20" s="435"/>
      <c r="I20" s="97">
        <v>80</v>
      </c>
      <c r="J20" s="98" t="s">
        <v>47</v>
      </c>
      <c r="K20" s="275" t="s">
        <v>69</v>
      </c>
      <c r="L20" s="276" t="s">
        <v>69</v>
      </c>
      <c r="M20" s="99">
        <v>20</v>
      </c>
      <c r="N20" s="105" t="s">
        <v>19</v>
      </c>
      <c r="O20" s="101">
        <v>30</v>
      </c>
      <c r="P20" s="102" t="s">
        <v>47</v>
      </c>
      <c r="Q20" s="37">
        <v>1557</v>
      </c>
      <c r="R20" s="37">
        <v>1573</v>
      </c>
      <c r="S20" s="38">
        <v>44063</v>
      </c>
      <c r="T20" s="447"/>
      <c r="U20" s="96">
        <v>1604</v>
      </c>
      <c r="V20" s="93">
        <f t="shared" si="22"/>
        <v>47</v>
      </c>
      <c r="W20" s="96"/>
      <c r="X20" s="96"/>
      <c r="Y20" s="96"/>
      <c r="Z20" s="96">
        <v>0.89</v>
      </c>
      <c r="AA20" s="96">
        <v>2</v>
      </c>
      <c r="AB20" s="96">
        <v>15</v>
      </c>
      <c r="AC20" s="96"/>
      <c r="AD20" s="40">
        <f t="shared" si="8"/>
        <v>62</v>
      </c>
      <c r="AE20" s="40">
        <f t="shared" si="9"/>
        <v>32</v>
      </c>
      <c r="AF20" s="40">
        <f t="shared" si="10"/>
        <v>62</v>
      </c>
      <c r="AG20" s="41">
        <v>44421</v>
      </c>
      <c r="AH20" s="461"/>
      <c r="AI20" s="94">
        <v>1586</v>
      </c>
      <c r="AJ20" s="94">
        <f t="shared" si="16"/>
        <v>13</v>
      </c>
      <c r="AK20" s="94"/>
      <c r="AL20" s="94"/>
      <c r="AM20" s="94"/>
      <c r="AN20" s="94">
        <v>0</v>
      </c>
      <c r="AO20" s="94">
        <v>0</v>
      </c>
      <c r="AP20" s="94">
        <v>33</v>
      </c>
      <c r="AQ20" s="94"/>
      <c r="AR20" s="40">
        <f t="shared" si="24"/>
        <v>33</v>
      </c>
      <c r="AS20" s="40">
        <f t="shared" si="25"/>
        <v>-33</v>
      </c>
      <c r="AT20" s="40">
        <f t="shared" ref="AT20:AT25" si="28">MAX(AR20:AS20)</f>
        <v>33</v>
      </c>
      <c r="AU20" s="43">
        <f t="shared" si="26"/>
        <v>0.98055555555555551</v>
      </c>
      <c r="AV20" s="44">
        <f t="shared" si="27"/>
        <v>29</v>
      </c>
      <c r="AW20" s="95">
        <f t="shared" si="17"/>
        <v>29.575070821529746</v>
      </c>
      <c r="AX20" s="46">
        <f t="shared" si="18"/>
        <v>2.7049808429118771</v>
      </c>
      <c r="AY20" s="72" t="str">
        <f t="shared" si="15"/>
        <v>DOS AÑOS</v>
      </c>
      <c r="AZ20" s="437"/>
      <c r="BA20" s="631"/>
      <c r="BB20" s="628"/>
      <c r="BC20" s="625"/>
      <c r="BD20" s="622"/>
    </row>
    <row r="21" spans="2:56" x14ac:dyDescent="0.25">
      <c r="B21" s="659"/>
      <c r="C21" s="453"/>
      <c r="D21" s="505"/>
      <c r="E21" s="505"/>
      <c r="F21" s="665"/>
      <c r="G21" s="435"/>
      <c r="H21" s="435"/>
      <c r="I21" s="245">
        <v>12</v>
      </c>
      <c r="J21" s="103" t="s">
        <v>19</v>
      </c>
      <c r="K21" s="277" t="s">
        <v>69</v>
      </c>
      <c r="L21" s="282" t="s">
        <v>69</v>
      </c>
      <c r="M21" s="104">
        <v>6</v>
      </c>
      <c r="N21" s="105" t="s">
        <v>19</v>
      </c>
      <c r="O21" s="106">
        <v>8</v>
      </c>
      <c r="P21" s="107" t="s">
        <v>19</v>
      </c>
      <c r="Q21" s="37">
        <v>0</v>
      </c>
      <c r="R21" s="37">
        <v>0</v>
      </c>
      <c r="S21" s="38">
        <v>44063</v>
      </c>
      <c r="T21" s="447"/>
      <c r="U21" s="96">
        <v>0</v>
      </c>
      <c r="V21" s="93">
        <f t="shared" si="22"/>
        <v>0</v>
      </c>
      <c r="W21" s="96" t="s">
        <v>69</v>
      </c>
      <c r="X21" s="96" t="s">
        <v>69</v>
      </c>
      <c r="Y21" s="96" t="s">
        <v>69</v>
      </c>
      <c r="Z21" s="96">
        <v>0</v>
      </c>
      <c r="AA21" s="96">
        <v>0</v>
      </c>
      <c r="AB21" s="96">
        <v>1.2</v>
      </c>
      <c r="AC21" s="96" t="s">
        <v>69</v>
      </c>
      <c r="AD21" s="40">
        <f t="shared" si="8"/>
        <v>1.2</v>
      </c>
      <c r="AE21" s="40">
        <f t="shared" si="9"/>
        <v>-1.2</v>
      </c>
      <c r="AF21" s="40">
        <f t="shared" si="10"/>
        <v>1.2</v>
      </c>
      <c r="AG21" s="41">
        <v>44421</v>
      </c>
      <c r="AH21" s="461"/>
      <c r="AI21" s="94">
        <v>0</v>
      </c>
      <c r="AJ21" s="94">
        <f t="shared" si="16"/>
        <v>0</v>
      </c>
      <c r="AK21" s="94"/>
      <c r="AL21" s="94" t="s">
        <v>69</v>
      </c>
      <c r="AM21" s="94" t="s">
        <v>69</v>
      </c>
      <c r="AN21" s="94">
        <v>0</v>
      </c>
      <c r="AO21" s="94">
        <v>0</v>
      </c>
      <c r="AP21" s="94">
        <v>0.57999999999999996</v>
      </c>
      <c r="AQ21" s="94"/>
      <c r="AR21" s="40">
        <f t="shared" si="24"/>
        <v>0.57999999999999996</v>
      </c>
      <c r="AS21" s="40">
        <f t="shared" si="25"/>
        <v>-0.57999999999999996</v>
      </c>
      <c r="AT21" s="40">
        <f t="shared" si="28"/>
        <v>0.57999999999999996</v>
      </c>
      <c r="AU21" s="43">
        <f t="shared" si="26"/>
        <v>0.98055555555555551</v>
      </c>
      <c r="AV21" s="44">
        <f t="shared" si="27"/>
        <v>0.62</v>
      </c>
      <c r="AW21" s="95">
        <f t="shared" si="17"/>
        <v>0.63229461756373939</v>
      </c>
      <c r="AX21" s="46">
        <f t="shared" si="18"/>
        <v>18.978494623655912</v>
      </c>
      <c r="AY21" s="72" t="str">
        <f t="shared" si="15"/>
        <v>DOS AÑOS</v>
      </c>
      <c r="AZ21" s="437"/>
      <c r="BA21" s="631"/>
      <c r="BB21" s="628"/>
      <c r="BC21" s="625"/>
      <c r="BD21" s="622"/>
    </row>
    <row r="22" spans="2:56" x14ac:dyDescent="0.25">
      <c r="B22" s="659"/>
      <c r="C22" s="453" t="s">
        <v>8</v>
      </c>
      <c r="D22" s="505"/>
      <c r="E22" s="505"/>
      <c r="F22" s="665"/>
      <c r="G22" s="537">
        <v>1E-3</v>
      </c>
      <c r="H22" s="435" t="s">
        <v>48</v>
      </c>
      <c r="I22" s="245">
        <v>0.5</v>
      </c>
      <c r="J22" s="103" t="s">
        <v>20</v>
      </c>
      <c r="K22" s="277" t="s">
        <v>69</v>
      </c>
      <c r="L22" s="282" t="s">
        <v>69</v>
      </c>
      <c r="M22" s="104">
        <v>0.3</v>
      </c>
      <c r="N22" s="105" t="s">
        <v>20</v>
      </c>
      <c r="O22" s="106">
        <v>0.4</v>
      </c>
      <c r="P22" s="107" t="s">
        <v>20</v>
      </c>
      <c r="Q22" s="37">
        <v>0</v>
      </c>
      <c r="R22" s="92">
        <v>0</v>
      </c>
      <c r="S22" s="38">
        <v>44063</v>
      </c>
      <c r="T22" s="447"/>
      <c r="U22" s="96">
        <v>0.15</v>
      </c>
      <c r="V22" s="93">
        <f t="shared" si="22"/>
        <v>0.15</v>
      </c>
      <c r="W22" s="96" t="s">
        <v>69</v>
      </c>
      <c r="X22" s="96" t="s">
        <v>69</v>
      </c>
      <c r="Y22" s="96" t="s">
        <v>69</v>
      </c>
      <c r="Z22" s="96">
        <v>0.05</v>
      </c>
      <c r="AA22" s="96">
        <v>0.1</v>
      </c>
      <c r="AB22" s="96">
        <v>5.7000000000000002E-2</v>
      </c>
      <c r="AC22" s="96" t="s">
        <v>69</v>
      </c>
      <c r="AD22" s="40">
        <f t="shared" si="8"/>
        <v>0.20699999999999999</v>
      </c>
      <c r="AE22" s="40">
        <f t="shared" si="9"/>
        <v>9.2999999999999999E-2</v>
      </c>
      <c r="AF22" s="40">
        <f t="shared" si="10"/>
        <v>0.20699999999999999</v>
      </c>
      <c r="AG22" s="41">
        <v>44421</v>
      </c>
      <c r="AH22" s="461"/>
      <c r="AI22" s="94">
        <v>-0.02</v>
      </c>
      <c r="AJ22" s="94">
        <f t="shared" si="16"/>
        <v>-0.02</v>
      </c>
      <c r="AK22" s="94"/>
      <c r="AL22" s="94"/>
      <c r="AM22" s="94"/>
      <c r="AN22" s="94">
        <v>0</v>
      </c>
      <c r="AO22" s="94">
        <v>0</v>
      </c>
      <c r="AP22" s="94">
        <v>5.8000000000000003E-2</v>
      </c>
      <c r="AQ22" s="94"/>
      <c r="AR22" s="40">
        <f t="shared" ref="AR22:AR32" si="29">(AK22+AP22)</f>
        <v>5.8000000000000003E-2</v>
      </c>
      <c r="AS22" s="40">
        <f t="shared" ref="AS22:AS32" si="30">(AK22-AP22)</f>
        <v>-5.8000000000000003E-2</v>
      </c>
      <c r="AT22" s="40">
        <f t="shared" si="28"/>
        <v>5.8000000000000003E-2</v>
      </c>
      <c r="AU22" s="43">
        <f t="shared" ref="AU22:AU23" si="31">YEARFRAC(S22,AG22)</f>
        <v>0.98055555555555551</v>
      </c>
      <c r="AV22" s="44">
        <f t="shared" ref="AV22:AV23" si="32">ABS(AT22-AF22)</f>
        <v>0.14899999999999999</v>
      </c>
      <c r="AW22" s="95">
        <f t="shared" si="17"/>
        <v>0.15195467422096318</v>
      </c>
      <c r="AX22" s="46">
        <f t="shared" si="18"/>
        <v>3.2904548844146158</v>
      </c>
      <c r="AY22" s="72" t="str">
        <f t="shared" ref="AY22:AY23" si="33">IF(AX22&lt;=1,"UN AÑO",IF(AX22&gt;=1,"DOS AÑOS"))</f>
        <v>DOS AÑOS</v>
      </c>
      <c r="AZ22" s="437"/>
      <c r="BA22" s="631"/>
      <c r="BB22" s="628"/>
      <c r="BC22" s="625"/>
      <c r="BD22" s="622"/>
    </row>
    <row r="23" spans="2:56" x14ac:dyDescent="0.25">
      <c r="B23" s="659"/>
      <c r="C23" s="453"/>
      <c r="D23" s="505"/>
      <c r="E23" s="505"/>
      <c r="F23" s="665"/>
      <c r="G23" s="537"/>
      <c r="H23" s="435"/>
      <c r="I23" s="245">
        <v>0.5</v>
      </c>
      <c r="J23" s="103" t="s">
        <v>20</v>
      </c>
      <c r="K23" s="277" t="s">
        <v>69</v>
      </c>
      <c r="L23" s="282" t="s">
        <v>69</v>
      </c>
      <c r="M23" s="104">
        <v>0.3</v>
      </c>
      <c r="N23" s="105" t="s">
        <v>20</v>
      </c>
      <c r="O23" s="106">
        <v>0.4</v>
      </c>
      <c r="P23" s="107" t="s">
        <v>20</v>
      </c>
      <c r="Q23" s="37">
        <v>0</v>
      </c>
      <c r="R23" s="92">
        <v>0</v>
      </c>
      <c r="S23" s="38">
        <v>44063</v>
      </c>
      <c r="T23" s="447"/>
      <c r="U23" s="96">
        <v>0.15</v>
      </c>
      <c r="V23" s="93">
        <f t="shared" si="22"/>
        <v>0.15</v>
      </c>
      <c r="W23" s="96"/>
      <c r="X23" s="96"/>
      <c r="Y23" s="96"/>
      <c r="Z23" s="96">
        <v>0.05</v>
      </c>
      <c r="AA23" s="96">
        <v>0.1</v>
      </c>
      <c r="AB23" s="96">
        <v>5.7000000000000002E-2</v>
      </c>
      <c r="AC23" s="96"/>
      <c r="AD23" s="40">
        <f t="shared" si="8"/>
        <v>0.20699999999999999</v>
      </c>
      <c r="AE23" s="40">
        <f t="shared" si="9"/>
        <v>9.2999999999999999E-2</v>
      </c>
      <c r="AF23" s="40">
        <f t="shared" si="10"/>
        <v>0.20699999999999999</v>
      </c>
      <c r="AG23" s="41">
        <v>44421</v>
      </c>
      <c r="AH23" s="461"/>
      <c r="AI23" s="94">
        <v>0.01</v>
      </c>
      <c r="AJ23" s="94">
        <f t="shared" si="16"/>
        <v>0.01</v>
      </c>
      <c r="AK23" s="94"/>
      <c r="AL23" s="94"/>
      <c r="AM23" s="94"/>
      <c r="AN23" s="94">
        <v>1E-3</v>
      </c>
      <c r="AO23" s="94">
        <v>0</v>
      </c>
      <c r="AP23" s="94">
        <v>5.8000000000000003E-2</v>
      </c>
      <c r="AQ23" s="94"/>
      <c r="AR23" s="40">
        <f t="shared" si="29"/>
        <v>5.8000000000000003E-2</v>
      </c>
      <c r="AS23" s="40">
        <f t="shared" si="30"/>
        <v>-5.8000000000000003E-2</v>
      </c>
      <c r="AT23" s="40">
        <f t="shared" si="28"/>
        <v>5.8000000000000003E-2</v>
      </c>
      <c r="AU23" s="43">
        <f t="shared" si="31"/>
        <v>0.98055555555555551</v>
      </c>
      <c r="AV23" s="44">
        <f t="shared" si="32"/>
        <v>0.14899999999999999</v>
      </c>
      <c r="AW23" s="95">
        <f t="shared" ref="AW23:AW24" si="34">(AV23/AU23)</f>
        <v>0.15195467422096318</v>
      </c>
      <c r="AX23" s="46">
        <f t="shared" ref="AX23:AX24" si="35">(I23/AW23)</f>
        <v>3.2904548844146158</v>
      </c>
      <c r="AY23" s="72" t="str">
        <f t="shared" si="33"/>
        <v>DOS AÑOS</v>
      </c>
      <c r="AZ23" s="437"/>
      <c r="BA23" s="631"/>
      <c r="BB23" s="628"/>
      <c r="BC23" s="625"/>
      <c r="BD23" s="622"/>
    </row>
    <row r="24" spans="2:56" x14ac:dyDescent="0.25">
      <c r="B24" s="659"/>
      <c r="C24" s="453"/>
      <c r="D24" s="505"/>
      <c r="E24" s="505"/>
      <c r="F24" s="665"/>
      <c r="G24" s="537"/>
      <c r="H24" s="435"/>
      <c r="I24" s="245">
        <v>0.5</v>
      </c>
      <c r="J24" s="103" t="s">
        <v>20</v>
      </c>
      <c r="K24" s="277" t="s">
        <v>69</v>
      </c>
      <c r="L24" s="282" t="s">
        <v>69</v>
      </c>
      <c r="M24" s="104">
        <v>0.3</v>
      </c>
      <c r="N24" s="105" t="s">
        <v>20</v>
      </c>
      <c r="O24" s="106">
        <v>0.4</v>
      </c>
      <c r="P24" s="107" t="s">
        <v>20</v>
      </c>
      <c r="Q24" s="37">
        <v>0</v>
      </c>
      <c r="R24" s="92">
        <v>0</v>
      </c>
      <c r="S24" s="38">
        <v>44063</v>
      </c>
      <c r="T24" s="447"/>
      <c r="U24" s="96">
        <v>0.15</v>
      </c>
      <c r="V24" s="93">
        <f t="shared" si="22"/>
        <v>0.15</v>
      </c>
      <c r="W24" s="96"/>
      <c r="X24" s="96"/>
      <c r="Y24" s="96"/>
      <c r="Z24" s="96">
        <v>0.05</v>
      </c>
      <c r="AA24" s="96">
        <v>0.1</v>
      </c>
      <c r="AB24" s="96">
        <v>5.7000000000000002E-2</v>
      </c>
      <c r="AC24" s="96"/>
      <c r="AD24" s="40">
        <f t="shared" si="8"/>
        <v>0.20699999999999999</v>
      </c>
      <c r="AE24" s="40">
        <f t="shared" si="9"/>
        <v>9.2999999999999999E-2</v>
      </c>
      <c r="AF24" s="40">
        <f t="shared" si="10"/>
        <v>0.20699999999999999</v>
      </c>
      <c r="AG24" s="41">
        <v>44421</v>
      </c>
      <c r="AH24" s="461"/>
      <c r="AI24" s="94">
        <v>-0.01</v>
      </c>
      <c r="AJ24" s="94">
        <f t="shared" si="16"/>
        <v>-0.01</v>
      </c>
      <c r="AK24" s="94"/>
      <c r="AL24" s="94"/>
      <c r="AM24" s="94"/>
      <c r="AN24" s="94">
        <v>0</v>
      </c>
      <c r="AO24" s="94">
        <v>0</v>
      </c>
      <c r="AP24" s="94">
        <v>5.8000000000000003E-2</v>
      </c>
      <c r="AQ24" s="94"/>
      <c r="AR24" s="40">
        <f t="shared" si="29"/>
        <v>5.8000000000000003E-2</v>
      </c>
      <c r="AS24" s="40">
        <f t="shared" si="30"/>
        <v>-5.8000000000000003E-2</v>
      </c>
      <c r="AT24" s="40">
        <f t="shared" si="28"/>
        <v>5.8000000000000003E-2</v>
      </c>
      <c r="AU24" s="43">
        <f t="shared" ref="AU24:AU25" si="36">YEARFRAC(S24,AG24)</f>
        <v>0.98055555555555551</v>
      </c>
      <c r="AV24" s="44">
        <f t="shared" ref="AV24:AV25" si="37">ABS(AT24-AF24)</f>
        <v>0.14899999999999999</v>
      </c>
      <c r="AW24" s="95">
        <f t="shared" si="34"/>
        <v>0.15195467422096318</v>
      </c>
      <c r="AX24" s="46">
        <f t="shared" si="35"/>
        <v>3.2904548844146158</v>
      </c>
      <c r="AY24" s="72" t="str">
        <f t="shared" ref="AY24:AY25" si="38">IF(AX24&lt;=1,"UN AÑO",IF(AX24&gt;=1,"DOS AÑOS"))</f>
        <v>DOS AÑOS</v>
      </c>
      <c r="AZ24" s="437"/>
      <c r="BA24" s="631"/>
      <c r="BB24" s="628"/>
      <c r="BC24" s="625"/>
      <c r="BD24" s="622"/>
    </row>
    <row r="25" spans="2:56" ht="15.75" thickBot="1" x14ac:dyDescent="0.3">
      <c r="B25" s="659"/>
      <c r="C25" s="453"/>
      <c r="D25" s="505"/>
      <c r="E25" s="505"/>
      <c r="F25" s="665"/>
      <c r="G25" s="537"/>
      <c r="H25" s="435"/>
      <c r="I25" s="245">
        <v>0.5</v>
      </c>
      <c r="J25" s="103" t="s">
        <v>20</v>
      </c>
      <c r="K25" s="277" t="s">
        <v>69</v>
      </c>
      <c r="L25" s="282" t="s">
        <v>69</v>
      </c>
      <c r="M25" s="104">
        <v>0.3</v>
      </c>
      <c r="N25" s="105" t="s">
        <v>20</v>
      </c>
      <c r="O25" s="106">
        <v>0.4</v>
      </c>
      <c r="P25" s="107" t="s">
        <v>20</v>
      </c>
      <c r="Q25" s="37" t="s">
        <v>69</v>
      </c>
      <c r="R25" s="92">
        <v>0</v>
      </c>
      <c r="S25" s="38">
        <v>44063</v>
      </c>
      <c r="T25" s="447"/>
      <c r="U25" s="96"/>
      <c r="V25" s="93"/>
      <c r="W25" s="96"/>
      <c r="X25" s="96" t="s">
        <v>69</v>
      </c>
      <c r="Y25" s="96" t="s">
        <v>69</v>
      </c>
      <c r="Z25" s="96"/>
      <c r="AA25" s="96"/>
      <c r="AB25" s="96" t="s">
        <v>69</v>
      </c>
      <c r="AC25" s="96"/>
      <c r="AD25" s="40"/>
      <c r="AE25" s="40"/>
      <c r="AF25" s="40"/>
      <c r="AG25" s="41">
        <v>44421</v>
      </c>
      <c r="AH25" s="461"/>
      <c r="AI25" s="94">
        <v>0.06</v>
      </c>
      <c r="AJ25" s="94">
        <f t="shared" si="16"/>
        <v>0.06</v>
      </c>
      <c r="AK25" s="94"/>
      <c r="AL25" s="94" t="s">
        <v>69</v>
      </c>
      <c r="AM25" s="94" t="s">
        <v>69</v>
      </c>
      <c r="AN25" s="94">
        <v>0</v>
      </c>
      <c r="AO25" s="94">
        <v>0</v>
      </c>
      <c r="AP25" s="94">
        <v>5.8000000000000003E-2</v>
      </c>
      <c r="AQ25" s="94"/>
      <c r="AR25" s="40">
        <f t="shared" si="29"/>
        <v>5.8000000000000003E-2</v>
      </c>
      <c r="AS25" s="40">
        <f t="shared" si="30"/>
        <v>-5.8000000000000003E-2</v>
      </c>
      <c r="AT25" s="40">
        <f t="shared" si="28"/>
        <v>5.8000000000000003E-2</v>
      </c>
      <c r="AU25" s="43">
        <f t="shared" si="36"/>
        <v>0.98055555555555551</v>
      </c>
      <c r="AV25" s="44">
        <f t="shared" si="37"/>
        <v>5.8000000000000003E-2</v>
      </c>
      <c r="AW25" s="95">
        <f t="shared" ref="AW25:AW41" si="39">(AV25/AU25)</f>
        <v>5.9150141643059498E-2</v>
      </c>
      <c r="AX25" s="46">
        <f t="shared" ref="AX25:AX41" si="40">(I25/AW25)</f>
        <v>8.4530651340996155</v>
      </c>
      <c r="AY25" s="72" t="str">
        <f t="shared" si="38"/>
        <v>DOS AÑOS</v>
      </c>
      <c r="AZ25" s="437"/>
      <c r="BA25" s="631"/>
      <c r="BB25" s="628"/>
      <c r="BC25" s="625"/>
      <c r="BD25" s="622"/>
    </row>
    <row r="26" spans="2:56" ht="15.75" customHeight="1" x14ac:dyDescent="0.25">
      <c r="B26" s="659"/>
      <c r="C26" s="453" t="s">
        <v>165</v>
      </c>
      <c r="D26" s="505"/>
      <c r="E26" s="505"/>
      <c r="F26" s="665"/>
      <c r="G26" s="537">
        <v>1E-4</v>
      </c>
      <c r="H26" s="435" t="s">
        <v>45</v>
      </c>
      <c r="I26" s="76">
        <v>0.06</v>
      </c>
      <c r="J26" s="77" t="s">
        <v>44</v>
      </c>
      <c r="K26" s="270" t="s">
        <v>69</v>
      </c>
      <c r="L26" s="283" t="s">
        <v>69</v>
      </c>
      <c r="M26" s="78">
        <v>0.04</v>
      </c>
      <c r="N26" s="79" t="s">
        <v>44</v>
      </c>
      <c r="O26" s="80">
        <v>0.03</v>
      </c>
      <c r="P26" s="81" t="s">
        <v>44</v>
      </c>
      <c r="Q26" s="82"/>
      <c r="R26" s="82">
        <v>0.99399999999999999</v>
      </c>
      <c r="S26" s="38">
        <v>44063</v>
      </c>
      <c r="T26" s="447"/>
      <c r="U26" s="93"/>
      <c r="V26" s="93"/>
      <c r="W26" s="93"/>
      <c r="X26" s="93"/>
      <c r="Y26" s="93"/>
      <c r="Z26" s="93"/>
      <c r="AA26" s="93"/>
      <c r="AB26" s="93"/>
      <c r="AC26" s="93"/>
      <c r="AD26" s="40"/>
      <c r="AE26" s="40"/>
      <c r="AF26" s="40"/>
      <c r="AG26" s="41">
        <v>44421</v>
      </c>
      <c r="AH26" s="461"/>
      <c r="AI26" s="94">
        <v>0.98</v>
      </c>
      <c r="AJ26" s="94">
        <f t="shared" si="16"/>
        <v>-1.4000000000000012E-2</v>
      </c>
      <c r="AK26" s="94"/>
      <c r="AL26" s="94" t="s">
        <v>69</v>
      </c>
      <c r="AM26" s="94" t="s">
        <v>69</v>
      </c>
      <c r="AN26" s="94" t="s">
        <v>69</v>
      </c>
      <c r="AO26" s="94">
        <v>0</v>
      </c>
      <c r="AP26" s="94">
        <v>2.4E-2</v>
      </c>
      <c r="AQ26" s="94"/>
      <c r="AR26" s="40">
        <f t="shared" si="29"/>
        <v>2.4E-2</v>
      </c>
      <c r="AS26" s="40">
        <f t="shared" si="30"/>
        <v>-2.4E-2</v>
      </c>
      <c r="AT26" s="40">
        <f t="shared" si="23"/>
        <v>2.4E-2</v>
      </c>
      <c r="AU26" s="43">
        <f t="shared" ref="AU26:AU41" si="41">YEARFRAC(S26,AG26)</f>
        <v>0.98055555555555551</v>
      </c>
      <c r="AV26" s="44">
        <f t="shared" ref="AV26:AV41" si="42">ABS(AT26-AF26)</f>
        <v>2.4E-2</v>
      </c>
      <c r="AW26" s="95">
        <f t="shared" si="39"/>
        <v>2.4475920679886687E-2</v>
      </c>
      <c r="AX26" s="46">
        <f t="shared" si="40"/>
        <v>2.4513888888888888</v>
      </c>
      <c r="AY26" s="72" t="str">
        <f t="shared" ref="AY26:AY41" si="43">IF(AX26&lt;=1,"UN AÑO",IF(AX26&gt;=1,"DOS AÑOS"))</f>
        <v>DOS AÑOS</v>
      </c>
      <c r="AZ26" s="437" t="s">
        <v>9</v>
      </c>
      <c r="BA26" s="631"/>
      <c r="BB26" s="628"/>
      <c r="BC26" s="625"/>
      <c r="BD26" s="622"/>
    </row>
    <row r="27" spans="2:56" ht="15.75" customHeight="1" x14ac:dyDescent="0.25">
      <c r="B27" s="659"/>
      <c r="C27" s="453"/>
      <c r="D27" s="505"/>
      <c r="E27" s="505"/>
      <c r="F27" s="665"/>
      <c r="G27" s="537"/>
      <c r="H27" s="435"/>
      <c r="I27" s="250">
        <v>0.15</v>
      </c>
      <c r="J27" s="87" t="s">
        <v>44</v>
      </c>
      <c r="K27" s="271" t="s">
        <v>69</v>
      </c>
      <c r="L27" s="272" t="s">
        <v>69</v>
      </c>
      <c r="M27" s="251">
        <v>0.08</v>
      </c>
      <c r="N27" s="89" t="s">
        <v>44</v>
      </c>
      <c r="O27" s="252">
        <v>0.08</v>
      </c>
      <c r="P27" s="91" t="s">
        <v>44</v>
      </c>
      <c r="Q27" s="254"/>
      <c r="R27" s="254">
        <v>4.01</v>
      </c>
      <c r="S27" s="38">
        <v>44063</v>
      </c>
      <c r="T27" s="447"/>
      <c r="U27" s="93"/>
      <c r="V27" s="93"/>
      <c r="W27" s="93"/>
      <c r="X27" s="93"/>
      <c r="Y27" s="93"/>
      <c r="Z27" s="93"/>
      <c r="AA27" s="93"/>
      <c r="AB27" s="93"/>
      <c r="AC27" s="93"/>
      <c r="AD27" s="40"/>
      <c r="AE27" s="40"/>
      <c r="AF27" s="40"/>
      <c r="AG27" s="41">
        <v>44421</v>
      </c>
      <c r="AH27" s="461"/>
      <c r="AI27" s="94">
        <v>3.97</v>
      </c>
      <c r="AJ27" s="94">
        <f t="shared" si="16"/>
        <v>-3.9999999999999591E-2</v>
      </c>
      <c r="AK27" s="94"/>
      <c r="AL27" s="94"/>
      <c r="AM27" s="94"/>
      <c r="AN27" s="94" t="s">
        <v>69</v>
      </c>
      <c r="AO27" s="94">
        <v>0</v>
      </c>
      <c r="AP27" s="94">
        <v>9.0999999999999998E-2</v>
      </c>
      <c r="AQ27" s="94"/>
      <c r="AR27" s="40">
        <f t="shared" si="29"/>
        <v>9.0999999999999998E-2</v>
      </c>
      <c r="AS27" s="40">
        <f t="shared" si="30"/>
        <v>-9.0999999999999998E-2</v>
      </c>
      <c r="AT27" s="40">
        <f t="shared" si="23"/>
        <v>9.0999999999999998E-2</v>
      </c>
      <c r="AU27" s="43">
        <f t="shared" si="41"/>
        <v>0.98055555555555551</v>
      </c>
      <c r="AV27" s="44">
        <f t="shared" si="42"/>
        <v>9.0999999999999998E-2</v>
      </c>
      <c r="AW27" s="95">
        <f t="shared" si="39"/>
        <v>9.2804532577903678E-2</v>
      </c>
      <c r="AX27" s="46">
        <f t="shared" si="40"/>
        <v>1.6163003663003663</v>
      </c>
      <c r="AY27" s="72" t="str">
        <f t="shared" si="43"/>
        <v>DOS AÑOS</v>
      </c>
      <c r="AZ27" s="437"/>
      <c r="BA27" s="631"/>
      <c r="BB27" s="628"/>
      <c r="BC27" s="625"/>
      <c r="BD27" s="622"/>
    </row>
    <row r="28" spans="2:56" ht="15.75" customHeight="1" x14ac:dyDescent="0.25">
      <c r="B28" s="659"/>
      <c r="C28" s="453"/>
      <c r="D28" s="505"/>
      <c r="E28" s="505"/>
      <c r="F28" s="665"/>
      <c r="G28" s="537"/>
      <c r="H28" s="435"/>
      <c r="I28" s="250">
        <v>0.4</v>
      </c>
      <c r="J28" s="87" t="s">
        <v>44</v>
      </c>
      <c r="K28" s="271" t="s">
        <v>69</v>
      </c>
      <c r="L28" s="272" t="s">
        <v>69</v>
      </c>
      <c r="M28" s="251">
        <v>0.16</v>
      </c>
      <c r="N28" s="89" t="s">
        <v>44</v>
      </c>
      <c r="O28" s="252">
        <v>0.15</v>
      </c>
      <c r="P28" s="91" t="s">
        <v>44</v>
      </c>
      <c r="Q28" s="254"/>
      <c r="R28" s="254">
        <v>7.97</v>
      </c>
      <c r="S28" s="38">
        <v>44063</v>
      </c>
      <c r="T28" s="447"/>
      <c r="U28" s="93"/>
      <c r="V28" s="93"/>
      <c r="W28" s="93"/>
      <c r="X28" s="93"/>
      <c r="Y28" s="93"/>
      <c r="Z28" s="93"/>
      <c r="AA28" s="93"/>
      <c r="AB28" s="93"/>
      <c r="AC28" s="93"/>
      <c r="AD28" s="40"/>
      <c r="AE28" s="40"/>
      <c r="AF28" s="40"/>
      <c r="AG28" s="41">
        <v>44421</v>
      </c>
      <c r="AH28" s="461"/>
      <c r="AI28" s="94">
        <v>7.95</v>
      </c>
      <c r="AJ28" s="94">
        <f t="shared" si="16"/>
        <v>-1.9999999999999574E-2</v>
      </c>
      <c r="AK28" s="94"/>
      <c r="AL28" s="94"/>
      <c r="AM28" s="94"/>
      <c r="AN28" s="94" t="s">
        <v>69</v>
      </c>
      <c r="AO28" s="94">
        <v>0</v>
      </c>
      <c r="AP28" s="94">
        <v>0.19</v>
      </c>
      <c r="AQ28" s="94"/>
      <c r="AR28" s="40">
        <f t="shared" si="29"/>
        <v>0.19</v>
      </c>
      <c r="AS28" s="40">
        <f t="shared" si="30"/>
        <v>-0.19</v>
      </c>
      <c r="AT28" s="40">
        <f t="shared" si="23"/>
        <v>0.19</v>
      </c>
      <c r="AU28" s="43">
        <f t="shared" si="41"/>
        <v>0.98055555555555551</v>
      </c>
      <c r="AV28" s="44">
        <f t="shared" si="42"/>
        <v>0.19</v>
      </c>
      <c r="AW28" s="95">
        <f t="shared" si="39"/>
        <v>0.19376770538243626</v>
      </c>
      <c r="AX28" s="46">
        <f t="shared" si="40"/>
        <v>2.064327485380117</v>
      </c>
      <c r="AY28" s="72" t="str">
        <f t="shared" si="43"/>
        <v>DOS AÑOS</v>
      </c>
      <c r="AZ28" s="437"/>
      <c r="BA28" s="631"/>
      <c r="BB28" s="628"/>
      <c r="BC28" s="625"/>
      <c r="BD28" s="622"/>
    </row>
    <row r="29" spans="2:56" x14ac:dyDescent="0.25">
      <c r="B29" s="659"/>
      <c r="C29" s="453"/>
      <c r="D29" s="505"/>
      <c r="E29" s="505"/>
      <c r="F29" s="665"/>
      <c r="G29" s="537"/>
      <c r="H29" s="435"/>
      <c r="I29" s="86">
        <v>0.06</v>
      </c>
      <c r="J29" s="87" t="s">
        <v>44</v>
      </c>
      <c r="K29" s="273" t="s">
        <v>69</v>
      </c>
      <c r="L29" s="284" t="s">
        <v>69</v>
      </c>
      <c r="M29" s="88">
        <v>0.02</v>
      </c>
      <c r="N29" s="89" t="s">
        <v>44</v>
      </c>
      <c r="O29" s="90">
        <v>0.03</v>
      </c>
      <c r="P29" s="91" t="s">
        <v>44</v>
      </c>
      <c r="Q29" s="92"/>
      <c r="R29" s="92">
        <v>0</v>
      </c>
      <c r="S29" s="38">
        <v>44063</v>
      </c>
      <c r="T29" s="447"/>
      <c r="U29" s="93"/>
      <c r="V29" s="93"/>
      <c r="W29" s="93"/>
      <c r="X29" s="93"/>
      <c r="Y29" s="93"/>
      <c r="Z29" s="93"/>
      <c r="AA29" s="93"/>
      <c r="AB29" s="93"/>
      <c r="AC29" s="93"/>
      <c r="AD29" s="40"/>
      <c r="AE29" s="40"/>
      <c r="AF29" s="40"/>
      <c r="AG29" s="41">
        <v>44421</v>
      </c>
      <c r="AH29" s="461"/>
      <c r="AI29" s="94">
        <v>0</v>
      </c>
      <c r="AJ29" s="94">
        <f t="shared" si="16"/>
        <v>0</v>
      </c>
      <c r="AK29" s="94"/>
      <c r="AL29" s="94" t="s">
        <v>69</v>
      </c>
      <c r="AM29" s="94" t="s">
        <v>69</v>
      </c>
      <c r="AN29" s="94" t="s">
        <v>69</v>
      </c>
      <c r="AO29" s="94">
        <v>0</v>
      </c>
      <c r="AP29" s="94">
        <v>6.0000000000000001E-3</v>
      </c>
      <c r="AQ29" s="94"/>
      <c r="AR29" s="40">
        <f t="shared" si="29"/>
        <v>6.0000000000000001E-3</v>
      </c>
      <c r="AS29" s="40">
        <f t="shared" si="30"/>
        <v>-6.0000000000000001E-3</v>
      </c>
      <c r="AT29" s="40">
        <f t="shared" si="23"/>
        <v>6.0000000000000001E-3</v>
      </c>
      <c r="AU29" s="43">
        <f t="shared" si="41"/>
        <v>0.98055555555555551</v>
      </c>
      <c r="AV29" s="44">
        <f t="shared" si="42"/>
        <v>6.0000000000000001E-3</v>
      </c>
      <c r="AW29" s="95">
        <f t="shared" si="39"/>
        <v>6.1189801699716717E-3</v>
      </c>
      <c r="AX29" s="46">
        <f t="shared" si="40"/>
        <v>9.8055555555555554</v>
      </c>
      <c r="AY29" s="72" t="str">
        <f t="shared" si="43"/>
        <v>DOS AÑOS</v>
      </c>
      <c r="AZ29" s="437"/>
      <c r="BA29" s="631"/>
      <c r="BB29" s="628"/>
      <c r="BC29" s="625"/>
      <c r="BD29" s="622"/>
    </row>
    <row r="30" spans="2:56" x14ac:dyDescent="0.25">
      <c r="B30" s="659"/>
      <c r="C30" s="453" t="s">
        <v>6</v>
      </c>
      <c r="D30" s="505"/>
      <c r="E30" s="505"/>
      <c r="F30" s="665"/>
      <c r="G30" s="643">
        <v>1E-3</v>
      </c>
      <c r="H30" s="435" t="s">
        <v>46</v>
      </c>
      <c r="I30" s="86">
        <v>0.6</v>
      </c>
      <c r="J30" s="87" t="s">
        <v>44</v>
      </c>
      <c r="K30" s="273" t="s">
        <v>69</v>
      </c>
      <c r="L30" s="284" t="s">
        <v>69</v>
      </c>
      <c r="M30" s="88">
        <v>0.2</v>
      </c>
      <c r="N30" s="89" t="s">
        <v>44</v>
      </c>
      <c r="O30" s="90">
        <v>0.3</v>
      </c>
      <c r="P30" s="91" t="s">
        <v>44</v>
      </c>
      <c r="Q30" s="92"/>
      <c r="R30" s="92">
        <v>5.98</v>
      </c>
      <c r="S30" s="38">
        <v>44063</v>
      </c>
      <c r="T30" s="447"/>
      <c r="U30" s="96"/>
      <c r="V30" s="93"/>
      <c r="W30" s="96"/>
      <c r="X30" s="96"/>
      <c r="Y30" s="96"/>
      <c r="Z30" s="96"/>
      <c r="AA30" s="96"/>
      <c r="AB30" s="96"/>
      <c r="AC30" s="96"/>
      <c r="AD30" s="40"/>
      <c r="AE30" s="40"/>
      <c r="AF30" s="40"/>
      <c r="AG30" s="41">
        <v>44421</v>
      </c>
      <c r="AH30" s="461"/>
      <c r="AI30" s="94">
        <v>5.98</v>
      </c>
      <c r="AJ30" s="94">
        <f t="shared" si="16"/>
        <v>0</v>
      </c>
      <c r="AK30" s="94"/>
      <c r="AL30" s="94" t="s">
        <v>69</v>
      </c>
      <c r="AM30" s="94" t="s">
        <v>69</v>
      </c>
      <c r="AN30" s="94" t="s">
        <v>69</v>
      </c>
      <c r="AO30" s="94">
        <v>0</v>
      </c>
      <c r="AP30" s="94">
        <v>0.12</v>
      </c>
      <c r="AQ30" s="94"/>
      <c r="AR30" s="40">
        <f t="shared" si="29"/>
        <v>0.12</v>
      </c>
      <c r="AS30" s="40">
        <f t="shared" si="30"/>
        <v>-0.12</v>
      </c>
      <c r="AT30" s="40">
        <f t="shared" si="23"/>
        <v>0.12</v>
      </c>
      <c r="AU30" s="43">
        <f t="shared" si="41"/>
        <v>0.98055555555555551</v>
      </c>
      <c r="AV30" s="44">
        <f t="shared" si="42"/>
        <v>0.12</v>
      </c>
      <c r="AW30" s="95">
        <f t="shared" si="39"/>
        <v>0.12237960339943343</v>
      </c>
      <c r="AX30" s="46">
        <f t="shared" si="40"/>
        <v>4.9027777777777777</v>
      </c>
      <c r="AY30" s="72" t="str">
        <f t="shared" si="43"/>
        <v>DOS AÑOS</v>
      </c>
      <c r="AZ30" s="437"/>
      <c r="BA30" s="631"/>
      <c r="BB30" s="628"/>
      <c r="BC30" s="625"/>
      <c r="BD30" s="622"/>
    </row>
    <row r="31" spans="2:56" x14ac:dyDescent="0.25">
      <c r="B31" s="659"/>
      <c r="C31" s="453"/>
      <c r="D31" s="505"/>
      <c r="E31" s="505"/>
      <c r="F31" s="665"/>
      <c r="G31" s="643"/>
      <c r="H31" s="435"/>
      <c r="I31" s="86">
        <v>0.6</v>
      </c>
      <c r="J31" s="87" t="s">
        <v>44</v>
      </c>
      <c r="K31" s="273" t="s">
        <v>69</v>
      </c>
      <c r="L31" s="274" t="s">
        <v>69</v>
      </c>
      <c r="M31" s="88">
        <v>0.2</v>
      </c>
      <c r="N31" s="89" t="s">
        <v>44</v>
      </c>
      <c r="O31" s="90">
        <v>0.3</v>
      </c>
      <c r="P31" s="91" t="s">
        <v>44</v>
      </c>
      <c r="Q31" s="92"/>
      <c r="R31" s="92">
        <v>10.5</v>
      </c>
      <c r="S31" s="38">
        <v>44063</v>
      </c>
      <c r="T31" s="447"/>
      <c r="U31" s="96"/>
      <c r="V31" s="93"/>
      <c r="W31" s="96"/>
      <c r="X31" s="96"/>
      <c r="Y31" s="96"/>
      <c r="Z31" s="96"/>
      <c r="AA31" s="96"/>
      <c r="AB31" s="96"/>
      <c r="AC31" s="96"/>
      <c r="AD31" s="40"/>
      <c r="AE31" s="40"/>
      <c r="AF31" s="40"/>
      <c r="AG31" s="41">
        <v>44421</v>
      </c>
      <c r="AH31" s="461"/>
      <c r="AI31" s="94">
        <v>10.6</v>
      </c>
      <c r="AJ31" s="94">
        <f t="shared" si="16"/>
        <v>9.9999999999999645E-2</v>
      </c>
      <c r="AK31" s="94"/>
      <c r="AL31" s="94"/>
      <c r="AM31" s="94"/>
      <c r="AN31" s="94" t="s">
        <v>69</v>
      </c>
      <c r="AO31" s="94">
        <v>0</v>
      </c>
      <c r="AP31" s="94">
        <v>0.2</v>
      </c>
      <c r="AQ31" s="94"/>
      <c r="AR31" s="40">
        <f t="shared" si="29"/>
        <v>0.2</v>
      </c>
      <c r="AS31" s="40">
        <f t="shared" si="30"/>
        <v>-0.2</v>
      </c>
      <c r="AT31" s="40">
        <f t="shared" si="23"/>
        <v>0.2</v>
      </c>
      <c r="AU31" s="43">
        <f t="shared" si="41"/>
        <v>0.98055555555555551</v>
      </c>
      <c r="AV31" s="44">
        <f t="shared" si="42"/>
        <v>0.2</v>
      </c>
      <c r="AW31" s="95">
        <f t="shared" si="39"/>
        <v>0.2039660056657224</v>
      </c>
      <c r="AX31" s="46">
        <f t="shared" si="40"/>
        <v>2.9416666666666664</v>
      </c>
      <c r="AY31" s="72" t="str">
        <f t="shared" si="43"/>
        <v>DOS AÑOS</v>
      </c>
      <c r="AZ31" s="437"/>
      <c r="BA31" s="631"/>
      <c r="BB31" s="628"/>
      <c r="BC31" s="625"/>
      <c r="BD31" s="622"/>
    </row>
    <row r="32" spans="2:56" x14ac:dyDescent="0.25">
      <c r="B32" s="659"/>
      <c r="C32" s="453"/>
      <c r="D32" s="505"/>
      <c r="E32" s="505"/>
      <c r="F32" s="665"/>
      <c r="G32" s="643"/>
      <c r="H32" s="435"/>
      <c r="I32" s="86">
        <v>0.6</v>
      </c>
      <c r="J32" s="87" t="s">
        <v>44</v>
      </c>
      <c r="K32" s="273" t="s">
        <v>69</v>
      </c>
      <c r="L32" s="274" t="s">
        <v>69</v>
      </c>
      <c r="M32" s="88">
        <v>0.2</v>
      </c>
      <c r="N32" s="89" t="s">
        <v>44</v>
      </c>
      <c r="O32" s="90">
        <v>0.3</v>
      </c>
      <c r="P32" s="91" t="s">
        <v>44</v>
      </c>
      <c r="Q32" s="92"/>
      <c r="R32" s="92">
        <v>13.02</v>
      </c>
      <c r="S32" s="38">
        <v>44063</v>
      </c>
      <c r="T32" s="447"/>
      <c r="U32" s="96"/>
      <c r="V32" s="93"/>
      <c r="W32" s="96"/>
      <c r="X32" s="96"/>
      <c r="Y32" s="96"/>
      <c r="Z32" s="96"/>
      <c r="AA32" s="96"/>
      <c r="AB32" s="96"/>
      <c r="AC32" s="96"/>
      <c r="AD32" s="40"/>
      <c r="AE32" s="40"/>
      <c r="AF32" s="40"/>
      <c r="AG32" s="41">
        <v>44421</v>
      </c>
      <c r="AH32" s="461"/>
      <c r="AI32" s="94">
        <v>13</v>
      </c>
      <c r="AJ32" s="94">
        <f t="shared" si="16"/>
        <v>-1.9999999999999574E-2</v>
      </c>
      <c r="AK32" s="94"/>
      <c r="AL32" s="94"/>
      <c r="AM32" s="94"/>
      <c r="AN32" s="94" t="s">
        <v>69</v>
      </c>
      <c r="AO32" s="94">
        <v>0</v>
      </c>
      <c r="AP32" s="94">
        <v>0.15</v>
      </c>
      <c r="AQ32" s="94"/>
      <c r="AR32" s="40">
        <f t="shared" si="29"/>
        <v>0.15</v>
      </c>
      <c r="AS32" s="40">
        <f t="shared" si="30"/>
        <v>-0.15</v>
      </c>
      <c r="AT32" s="40">
        <f t="shared" si="23"/>
        <v>0.15</v>
      </c>
      <c r="AU32" s="43">
        <f t="shared" si="41"/>
        <v>0.98055555555555551</v>
      </c>
      <c r="AV32" s="44">
        <f t="shared" si="42"/>
        <v>0.15</v>
      </c>
      <c r="AW32" s="95">
        <f t="shared" si="39"/>
        <v>0.15297450424929179</v>
      </c>
      <c r="AX32" s="46">
        <f t="shared" si="40"/>
        <v>3.9222222222222221</v>
      </c>
      <c r="AY32" s="72" t="str">
        <f t="shared" si="43"/>
        <v>DOS AÑOS</v>
      </c>
      <c r="AZ32" s="437"/>
      <c r="BA32" s="631"/>
      <c r="BB32" s="628"/>
      <c r="BC32" s="625"/>
      <c r="BD32" s="622"/>
    </row>
    <row r="33" spans="1:56" x14ac:dyDescent="0.25">
      <c r="B33" s="659"/>
      <c r="C33" s="453"/>
      <c r="D33" s="505"/>
      <c r="E33" s="505"/>
      <c r="F33" s="665"/>
      <c r="G33" s="643"/>
      <c r="H33" s="435"/>
      <c r="I33" s="86">
        <v>0.6</v>
      </c>
      <c r="J33" s="87" t="s">
        <v>44</v>
      </c>
      <c r="K33" s="273" t="s">
        <v>69</v>
      </c>
      <c r="L33" s="284" t="s">
        <v>69</v>
      </c>
      <c r="M33" s="88">
        <v>0.02</v>
      </c>
      <c r="N33" s="89" t="s">
        <v>44</v>
      </c>
      <c r="O33" s="90">
        <v>0.3</v>
      </c>
      <c r="P33" s="91" t="s">
        <v>44</v>
      </c>
      <c r="Q33" s="92"/>
      <c r="R33" s="92">
        <v>0</v>
      </c>
      <c r="S33" s="38">
        <v>44063</v>
      </c>
      <c r="T33" s="447"/>
      <c r="U33" s="96"/>
      <c r="V33" s="93"/>
      <c r="W33" s="96"/>
      <c r="X33" s="96"/>
      <c r="Y33" s="96"/>
      <c r="Z33" s="96"/>
      <c r="AA33" s="96"/>
      <c r="AB33" s="96"/>
      <c r="AC33" s="96"/>
      <c r="AD33" s="40"/>
      <c r="AE33" s="40"/>
      <c r="AF33" s="40"/>
      <c r="AG33" s="41">
        <v>44421</v>
      </c>
      <c r="AH33" s="461"/>
      <c r="AI33" s="94">
        <v>0</v>
      </c>
      <c r="AJ33" s="94">
        <f t="shared" si="16"/>
        <v>0</v>
      </c>
      <c r="AK33" s="94"/>
      <c r="AL33" s="94" t="s">
        <v>69</v>
      </c>
      <c r="AM33" s="94" t="s">
        <v>69</v>
      </c>
      <c r="AN33" s="94" t="s">
        <v>69</v>
      </c>
      <c r="AO33" s="94">
        <v>0</v>
      </c>
      <c r="AP33" s="94">
        <v>5.8000000000000003E-2</v>
      </c>
      <c r="AQ33" s="94"/>
      <c r="AR33" s="40">
        <f t="shared" ref="AR33:AR41" si="44">(AK33+AP33)</f>
        <v>5.8000000000000003E-2</v>
      </c>
      <c r="AS33" s="40">
        <f t="shared" ref="AS33:AS41" si="45">(AK33-AP33)</f>
        <v>-5.8000000000000003E-2</v>
      </c>
      <c r="AT33" s="40">
        <f t="shared" si="23"/>
        <v>5.8000000000000003E-2</v>
      </c>
      <c r="AU33" s="43">
        <f t="shared" si="41"/>
        <v>0.98055555555555551</v>
      </c>
      <c r="AV33" s="44">
        <f t="shared" si="42"/>
        <v>5.8000000000000003E-2</v>
      </c>
      <c r="AW33" s="95">
        <f t="shared" si="39"/>
        <v>5.9150141643059498E-2</v>
      </c>
      <c r="AX33" s="46">
        <f t="shared" si="40"/>
        <v>10.143678160919539</v>
      </c>
      <c r="AY33" s="72" t="str">
        <f t="shared" si="43"/>
        <v>DOS AÑOS</v>
      </c>
      <c r="AZ33" s="437"/>
      <c r="BA33" s="631"/>
      <c r="BB33" s="628"/>
      <c r="BC33" s="625"/>
      <c r="BD33" s="622"/>
    </row>
    <row r="34" spans="1:56" x14ac:dyDescent="0.25">
      <c r="B34" s="659"/>
      <c r="C34" s="453" t="s">
        <v>7</v>
      </c>
      <c r="D34" s="505"/>
      <c r="E34" s="505"/>
      <c r="F34" s="665"/>
      <c r="G34" s="435" t="s">
        <v>14</v>
      </c>
      <c r="H34" s="435" t="s">
        <v>49</v>
      </c>
      <c r="I34" s="97">
        <v>12</v>
      </c>
      <c r="J34" s="98" t="s">
        <v>47</v>
      </c>
      <c r="K34" s="275" t="s">
        <v>69</v>
      </c>
      <c r="L34" s="282" t="s">
        <v>69</v>
      </c>
      <c r="M34" s="99">
        <v>8</v>
      </c>
      <c r="N34" s="100" t="s">
        <v>47</v>
      </c>
      <c r="O34" s="101">
        <v>8</v>
      </c>
      <c r="P34" s="102" t="s">
        <v>47</v>
      </c>
      <c r="Q34" s="37"/>
      <c r="R34" s="37">
        <v>145.9</v>
      </c>
      <c r="S34" s="38">
        <v>44063</v>
      </c>
      <c r="T34" s="447"/>
      <c r="U34" s="96"/>
      <c r="V34" s="93"/>
      <c r="W34" s="96"/>
      <c r="X34" s="96"/>
      <c r="Y34" s="96"/>
      <c r="Z34" s="96"/>
      <c r="AA34" s="96"/>
      <c r="AB34" s="96"/>
      <c r="AC34" s="96"/>
      <c r="AD34" s="40"/>
      <c r="AE34" s="40"/>
      <c r="AF34" s="40"/>
      <c r="AG34" s="41">
        <v>44421</v>
      </c>
      <c r="AH34" s="461"/>
      <c r="AI34" s="94">
        <v>146</v>
      </c>
      <c r="AJ34" s="94">
        <f t="shared" si="16"/>
        <v>9.9999999999994316E-2</v>
      </c>
      <c r="AK34" s="94"/>
      <c r="AL34" s="94" t="s">
        <v>69</v>
      </c>
      <c r="AM34" s="94" t="s">
        <v>69</v>
      </c>
      <c r="AN34" s="94" t="s">
        <v>69</v>
      </c>
      <c r="AO34" s="94">
        <v>0</v>
      </c>
      <c r="AP34" s="94">
        <v>3.3</v>
      </c>
      <c r="AQ34" s="94"/>
      <c r="AR34" s="40">
        <f t="shared" si="44"/>
        <v>3.3</v>
      </c>
      <c r="AS34" s="40">
        <f t="shared" si="45"/>
        <v>-3.3</v>
      </c>
      <c r="AT34" s="40">
        <f t="shared" ref="AT34:AT41" si="46">MAX(AR34:AS34)</f>
        <v>3.3</v>
      </c>
      <c r="AU34" s="43">
        <f t="shared" si="41"/>
        <v>0.98055555555555551</v>
      </c>
      <c r="AV34" s="44">
        <f t="shared" si="42"/>
        <v>3.3</v>
      </c>
      <c r="AW34" s="95">
        <f t="shared" si="39"/>
        <v>3.3654390934844192</v>
      </c>
      <c r="AX34" s="46">
        <f t="shared" si="40"/>
        <v>3.5656565656565657</v>
      </c>
      <c r="AY34" s="72" t="str">
        <f t="shared" si="43"/>
        <v>DOS AÑOS</v>
      </c>
      <c r="AZ34" s="437"/>
      <c r="BA34" s="631"/>
      <c r="BB34" s="628"/>
      <c r="BC34" s="625"/>
      <c r="BD34" s="622"/>
    </row>
    <row r="35" spans="1:56" x14ac:dyDescent="0.25">
      <c r="B35" s="659"/>
      <c r="C35" s="453"/>
      <c r="D35" s="505"/>
      <c r="E35" s="505"/>
      <c r="F35" s="665"/>
      <c r="G35" s="435"/>
      <c r="H35" s="435"/>
      <c r="I35" s="97">
        <v>30</v>
      </c>
      <c r="J35" s="98" t="s">
        <v>47</v>
      </c>
      <c r="K35" s="275" t="s">
        <v>69</v>
      </c>
      <c r="L35" s="276" t="s">
        <v>69</v>
      </c>
      <c r="M35" s="99">
        <v>8</v>
      </c>
      <c r="N35" s="105" t="s">
        <v>19</v>
      </c>
      <c r="O35" s="101">
        <v>15</v>
      </c>
      <c r="P35" s="102" t="s">
        <v>47</v>
      </c>
      <c r="Q35" s="37"/>
      <c r="R35" s="37">
        <v>589</v>
      </c>
      <c r="S35" s="38">
        <v>44063</v>
      </c>
      <c r="T35" s="447"/>
      <c r="U35" s="96"/>
      <c r="V35" s="93"/>
      <c r="W35" s="96"/>
      <c r="X35" s="96"/>
      <c r="Y35" s="96"/>
      <c r="Z35" s="96"/>
      <c r="AA35" s="96"/>
      <c r="AB35" s="96"/>
      <c r="AC35" s="96"/>
      <c r="AD35" s="40"/>
      <c r="AE35" s="40"/>
      <c r="AF35" s="40"/>
      <c r="AG35" s="41">
        <v>44421</v>
      </c>
      <c r="AH35" s="461"/>
      <c r="AI35" s="94">
        <v>593</v>
      </c>
      <c r="AJ35" s="94">
        <f t="shared" si="16"/>
        <v>4</v>
      </c>
      <c r="AK35" s="94"/>
      <c r="AL35" s="94"/>
      <c r="AM35" s="94"/>
      <c r="AN35" s="94" t="s">
        <v>69</v>
      </c>
      <c r="AO35" s="94">
        <v>0</v>
      </c>
      <c r="AP35" s="94">
        <v>13</v>
      </c>
      <c r="AQ35" s="94"/>
      <c r="AR35" s="40">
        <f t="shared" si="44"/>
        <v>13</v>
      </c>
      <c r="AS35" s="40">
        <f t="shared" si="45"/>
        <v>-13</v>
      </c>
      <c r="AT35" s="40">
        <f t="shared" si="46"/>
        <v>13</v>
      </c>
      <c r="AU35" s="43">
        <f t="shared" si="41"/>
        <v>0.98055555555555551</v>
      </c>
      <c r="AV35" s="44">
        <f t="shared" si="42"/>
        <v>13</v>
      </c>
      <c r="AW35" s="95">
        <f t="shared" si="39"/>
        <v>13.257790368271955</v>
      </c>
      <c r="AX35" s="46">
        <f t="shared" si="40"/>
        <v>2.2628205128205128</v>
      </c>
      <c r="AY35" s="72" t="str">
        <f t="shared" si="43"/>
        <v>DOS AÑOS</v>
      </c>
      <c r="AZ35" s="437"/>
      <c r="BA35" s="631"/>
      <c r="BB35" s="628"/>
      <c r="BC35" s="625"/>
      <c r="BD35" s="622"/>
    </row>
    <row r="36" spans="1:56" x14ac:dyDescent="0.25">
      <c r="B36" s="659"/>
      <c r="C36" s="453"/>
      <c r="D36" s="505"/>
      <c r="E36" s="505"/>
      <c r="F36" s="665"/>
      <c r="G36" s="435"/>
      <c r="H36" s="435"/>
      <c r="I36" s="97">
        <v>80</v>
      </c>
      <c r="J36" s="98" t="s">
        <v>47</v>
      </c>
      <c r="K36" s="275" t="s">
        <v>69</v>
      </c>
      <c r="L36" s="276" t="s">
        <v>69</v>
      </c>
      <c r="M36" s="99">
        <v>16</v>
      </c>
      <c r="N36" s="105" t="s">
        <v>19</v>
      </c>
      <c r="O36" s="101">
        <v>30</v>
      </c>
      <c r="P36" s="102" t="s">
        <v>47</v>
      </c>
      <c r="Q36" s="37"/>
      <c r="R36" s="37">
        <v>1573</v>
      </c>
      <c r="S36" s="38">
        <v>44063</v>
      </c>
      <c r="T36" s="447"/>
      <c r="U36" s="96"/>
      <c r="V36" s="93"/>
      <c r="W36" s="96"/>
      <c r="X36" s="96"/>
      <c r="Y36" s="96"/>
      <c r="Z36" s="96"/>
      <c r="AA36" s="96"/>
      <c r="AB36" s="96"/>
      <c r="AC36" s="96"/>
      <c r="AD36" s="40"/>
      <c r="AE36" s="40"/>
      <c r="AF36" s="40"/>
      <c r="AG36" s="41">
        <v>44421</v>
      </c>
      <c r="AH36" s="461"/>
      <c r="AI36" s="94">
        <v>1587</v>
      </c>
      <c r="AJ36" s="94">
        <f t="shared" si="16"/>
        <v>14</v>
      </c>
      <c r="AK36" s="94"/>
      <c r="AL36" s="94"/>
      <c r="AM36" s="94"/>
      <c r="AN36" s="94" t="s">
        <v>69</v>
      </c>
      <c r="AO36" s="94">
        <v>0</v>
      </c>
      <c r="AP36" s="94">
        <v>33</v>
      </c>
      <c r="AQ36" s="94"/>
      <c r="AR36" s="40">
        <f t="shared" si="44"/>
        <v>33</v>
      </c>
      <c r="AS36" s="40">
        <f t="shared" si="45"/>
        <v>-33</v>
      </c>
      <c r="AT36" s="40">
        <f t="shared" si="46"/>
        <v>33</v>
      </c>
      <c r="AU36" s="43">
        <f t="shared" si="41"/>
        <v>0.98055555555555551</v>
      </c>
      <c r="AV36" s="44">
        <f t="shared" si="42"/>
        <v>33</v>
      </c>
      <c r="AW36" s="95">
        <f t="shared" si="39"/>
        <v>33.654390934844194</v>
      </c>
      <c r="AX36" s="46">
        <f t="shared" si="40"/>
        <v>2.3771043771043772</v>
      </c>
      <c r="AY36" s="72" t="str">
        <f t="shared" si="43"/>
        <v>DOS AÑOS</v>
      </c>
      <c r="AZ36" s="437"/>
      <c r="BA36" s="631"/>
      <c r="BB36" s="628"/>
      <c r="BC36" s="625"/>
      <c r="BD36" s="622"/>
    </row>
    <row r="37" spans="1:56" x14ac:dyDescent="0.25">
      <c r="B37" s="659"/>
      <c r="C37" s="453"/>
      <c r="D37" s="505"/>
      <c r="E37" s="505"/>
      <c r="F37" s="665"/>
      <c r="G37" s="435"/>
      <c r="H37" s="435"/>
      <c r="I37" s="339">
        <v>12</v>
      </c>
      <c r="J37" s="103" t="s">
        <v>19</v>
      </c>
      <c r="K37" s="277" t="s">
        <v>69</v>
      </c>
      <c r="L37" s="282" t="s">
        <v>69</v>
      </c>
      <c r="M37" s="104">
        <v>8</v>
      </c>
      <c r="N37" s="105" t="s">
        <v>19</v>
      </c>
      <c r="O37" s="106">
        <v>8</v>
      </c>
      <c r="P37" s="107" t="s">
        <v>19</v>
      </c>
      <c r="Q37" s="37"/>
      <c r="R37" s="37">
        <v>0</v>
      </c>
      <c r="S37" s="38">
        <v>44063</v>
      </c>
      <c r="T37" s="447"/>
      <c r="U37" s="96"/>
      <c r="V37" s="93"/>
      <c r="W37" s="96"/>
      <c r="X37" s="96"/>
      <c r="Y37" s="96"/>
      <c r="Z37" s="96"/>
      <c r="AA37" s="96"/>
      <c r="AB37" s="96"/>
      <c r="AC37" s="96"/>
      <c r="AD37" s="40"/>
      <c r="AE37" s="40"/>
      <c r="AF37" s="40"/>
      <c r="AG37" s="41">
        <v>44421</v>
      </c>
      <c r="AH37" s="461"/>
      <c r="AI37" s="94">
        <v>2</v>
      </c>
      <c r="AJ37" s="94">
        <f t="shared" si="16"/>
        <v>2</v>
      </c>
      <c r="AK37" s="94"/>
      <c r="AL37" s="94" t="s">
        <v>69</v>
      </c>
      <c r="AM37" s="94" t="s">
        <v>69</v>
      </c>
      <c r="AN37" s="94" t="s">
        <v>69</v>
      </c>
      <c r="AO37" s="94">
        <v>0</v>
      </c>
      <c r="AP37" s="94">
        <v>0.57999999999999996</v>
      </c>
      <c r="AQ37" s="94"/>
      <c r="AR37" s="40">
        <f t="shared" si="44"/>
        <v>0.57999999999999996</v>
      </c>
      <c r="AS37" s="40">
        <f t="shared" si="45"/>
        <v>-0.57999999999999996</v>
      </c>
      <c r="AT37" s="40">
        <f t="shared" si="46"/>
        <v>0.57999999999999996</v>
      </c>
      <c r="AU37" s="43">
        <f t="shared" si="41"/>
        <v>0.98055555555555551</v>
      </c>
      <c r="AV37" s="44">
        <f t="shared" si="42"/>
        <v>0.57999999999999996</v>
      </c>
      <c r="AW37" s="95">
        <f t="shared" si="39"/>
        <v>0.59150141643059484</v>
      </c>
      <c r="AX37" s="46">
        <f t="shared" si="40"/>
        <v>20.287356321839084</v>
      </c>
      <c r="AY37" s="72" t="str">
        <f t="shared" si="43"/>
        <v>DOS AÑOS</v>
      </c>
      <c r="AZ37" s="437"/>
      <c r="BA37" s="631"/>
      <c r="BB37" s="628"/>
      <c r="BC37" s="625"/>
      <c r="BD37" s="622"/>
    </row>
    <row r="38" spans="1:56" x14ac:dyDescent="0.25">
      <c r="B38" s="659"/>
      <c r="C38" s="519" t="s">
        <v>8</v>
      </c>
      <c r="D38" s="505"/>
      <c r="E38" s="505"/>
      <c r="F38" s="665"/>
      <c r="G38" s="468">
        <v>1E-3</v>
      </c>
      <c r="H38" s="516" t="s">
        <v>48</v>
      </c>
      <c r="I38" s="339">
        <v>0.5</v>
      </c>
      <c r="J38" s="103" t="s">
        <v>20</v>
      </c>
      <c r="K38" s="277" t="s">
        <v>69</v>
      </c>
      <c r="L38" s="282" t="s">
        <v>69</v>
      </c>
      <c r="M38" s="104">
        <v>0.3</v>
      </c>
      <c r="N38" s="105" t="s">
        <v>20</v>
      </c>
      <c r="O38" s="106">
        <v>0.4</v>
      </c>
      <c r="P38" s="107" t="s">
        <v>20</v>
      </c>
      <c r="Q38" s="37"/>
      <c r="R38" s="92">
        <v>0</v>
      </c>
      <c r="S38" s="38">
        <v>44063</v>
      </c>
      <c r="T38" s="447"/>
      <c r="U38" s="96"/>
      <c r="V38" s="93"/>
      <c r="W38" s="96"/>
      <c r="X38" s="96"/>
      <c r="Y38" s="96"/>
      <c r="Z38" s="96"/>
      <c r="AA38" s="96"/>
      <c r="AB38" s="96"/>
      <c r="AC38" s="96"/>
      <c r="AD38" s="40"/>
      <c r="AE38" s="40"/>
      <c r="AF38" s="40"/>
      <c r="AG38" s="41">
        <v>44421</v>
      </c>
      <c r="AH38" s="461"/>
      <c r="AI38" s="94">
        <v>0.01</v>
      </c>
      <c r="AJ38" s="94">
        <v>0.01</v>
      </c>
      <c r="AK38" s="94"/>
      <c r="AL38" s="94"/>
      <c r="AM38" s="94"/>
      <c r="AN38" s="94" t="s">
        <v>69</v>
      </c>
      <c r="AO38" s="94">
        <v>0</v>
      </c>
      <c r="AP38" s="94">
        <v>5.8000000000000003E-2</v>
      </c>
      <c r="AQ38" s="94"/>
      <c r="AR38" s="40">
        <f t="shared" si="44"/>
        <v>5.8000000000000003E-2</v>
      </c>
      <c r="AS38" s="40">
        <f t="shared" si="45"/>
        <v>-5.8000000000000003E-2</v>
      </c>
      <c r="AT38" s="40">
        <f t="shared" si="46"/>
        <v>5.8000000000000003E-2</v>
      </c>
      <c r="AU38" s="43">
        <f t="shared" si="41"/>
        <v>0.98055555555555551</v>
      </c>
      <c r="AV38" s="44">
        <f t="shared" si="42"/>
        <v>5.8000000000000003E-2</v>
      </c>
      <c r="AW38" s="95">
        <f t="shared" si="39"/>
        <v>5.9150141643059498E-2</v>
      </c>
      <c r="AX38" s="46">
        <f t="shared" si="40"/>
        <v>8.4530651340996155</v>
      </c>
      <c r="AY38" s="72" t="str">
        <f t="shared" si="43"/>
        <v>DOS AÑOS</v>
      </c>
      <c r="AZ38" s="437"/>
      <c r="BA38" s="631"/>
      <c r="BB38" s="628"/>
      <c r="BC38" s="625"/>
      <c r="BD38" s="622"/>
    </row>
    <row r="39" spans="1:56" x14ac:dyDescent="0.25">
      <c r="B39" s="659"/>
      <c r="C39" s="520"/>
      <c r="D39" s="505"/>
      <c r="E39" s="505"/>
      <c r="F39" s="665"/>
      <c r="G39" s="469"/>
      <c r="H39" s="517"/>
      <c r="I39" s="339">
        <v>0.5</v>
      </c>
      <c r="J39" s="103" t="s">
        <v>20</v>
      </c>
      <c r="K39" s="277" t="s">
        <v>69</v>
      </c>
      <c r="L39" s="282" t="s">
        <v>69</v>
      </c>
      <c r="M39" s="104">
        <v>0.3</v>
      </c>
      <c r="N39" s="105" t="s">
        <v>20</v>
      </c>
      <c r="O39" s="106">
        <v>0.4</v>
      </c>
      <c r="P39" s="107" t="s">
        <v>20</v>
      </c>
      <c r="Q39" s="37"/>
      <c r="R39" s="92">
        <v>0</v>
      </c>
      <c r="S39" s="38">
        <v>44063</v>
      </c>
      <c r="T39" s="447"/>
      <c r="U39" s="96"/>
      <c r="V39" s="93"/>
      <c r="W39" s="96"/>
      <c r="X39" s="96"/>
      <c r="Y39" s="96"/>
      <c r="Z39" s="96"/>
      <c r="AA39" s="96"/>
      <c r="AB39" s="96"/>
      <c r="AC39" s="96"/>
      <c r="AD39" s="40"/>
      <c r="AE39" s="40"/>
      <c r="AF39" s="40"/>
      <c r="AG39" s="41">
        <v>44421</v>
      </c>
      <c r="AH39" s="461"/>
      <c r="AI39" s="94">
        <v>-0.01</v>
      </c>
      <c r="AJ39" s="94">
        <v>-0.03</v>
      </c>
      <c r="AK39" s="94"/>
      <c r="AL39" s="94"/>
      <c r="AM39" s="94"/>
      <c r="AN39" s="94" t="s">
        <v>69</v>
      </c>
      <c r="AO39" s="94">
        <v>0</v>
      </c>
      <c r="AP39" s="94">
        <v>5.8000000000000003E-2</v>
      </c>
      <c r="AQ39" s="94"/>
      <c r="AR39" s="40">
        <f t="shared" si="44"/>
        <v>5.8000000000000003E-2</v>
      </c>
      <c r="AS39" s="40">
        <f t="shared" si="45"/>
        <v>-5.8000000000000003E-2</v>
      </c>
      <c r="AT39" s="40">
        <f t="shared" si="46"/>
        <v>5.8000000000000003E-2</v>
      </c>
      <c r="AU39" s="43">
        <f t="shared" si="41"/>
        <v>0.98055555555555551</v>
      </c>
      <c r="AV39" s="44">
        <f t="shared" si="42"/>
        <v>5.8000000000000003E-2</v>
      </c>
      <c r="AW39" s="95">
        <f t="shared" si="39"/>
        <v>5.9150141643059498E-2</v>
      </c>
      <c r="AX39" s="46">
        <f t="shared" si="40"/>
        <v>8.4530651340996155</v>
      </c>
      <c r="AY39" s="72" t="str">
        <f t="shared" si="43"/>
        <v>DOS AÑOS</v>
      </c>
      <c r="AZ39" s="437"/>
      <c r="BA39" s="631"/>
      <c r="BB39" s="628"/>
      <c r="BC39" s="625"/>
      <c r="BD39" s="622"/>
    </row>
    <row r="40" spans="1:56" x14ac:dyDescent="0.25">
      <c r="B40" s="660"/>
      <c r="C40" s="520"/>
      <c r="D40" s="506"/>
      <c r="E40" s="506"/>
      <c r="F40" s="666"/>
      <c r="G40" s="469"/>
      <c r="H40" s="517"/>
      <c r="I40" s="339">
        <v>0.5</v>
      </c>
      <c r="J40" s="103" t="s">
        <v>20</v>
      </c>
      <c r="K40" s="277" t="s">
        <v>69</v>
      </c>
      <c r="L40" s="282" t="s">
        <v>69</v>
      </c>
      <c r="M40" s="104">
        <v>0.3</v>
      </c>
      <c r="N40" s="105" t="s">
        <v>20</v>
      </c>
      <c r="O40" s="106">
        <v>0.4</v>
      </c>
      <c r="P40" s="107" t="s">
        <v>20</v>
      </c>
      <c r="Q40" s="37"/>
      <c r="R40" s="92">
        <v>0</v>
      </c>
      <c r="S40" s="264">
        <v>44063</v>
      </c>
      <c r="T40" s="674"/>
      <c r="U40" s="265"/>
      <c r="V40" s="266"/>
      <c r="W40" s="265"/>
      <c r="X40" s="265"/>
      <c r="Y40" s="265"/>
      <c r="Z40" s="265"/>
      <c r="AA40" s="265"/>
      <c r="AB40" s="265"/>
      <c r="AC40" s="265"/>
      <c r="AD40" s="267"/>
      <c r="AE40" s="267"/>
      <c r="AF40" s="267"/>
      <c r="AG40" s="268">
        <v>44421</v>
      </c>
      <c r="AH40" s="454"/>
      <c r="AI40" s="269">
        <v>-0.01</v>
      </c>
      <c r="AJ40" s="94">
        <v>0.05</v>
      </c>
      <c r="AK40" s="269"/>
      <c r="AL40" s="269"/>
      <c r="AM40" s="269"/>
      <c r="AN40" s="269" t="s">
        <v>69</v>
      </c>
      <c r="AO40" s="269">
        <v>0</v>
      </c>
      <c r="AP40" s="269">
        <v>5.8000000000000003E-2</v>
      </c>
      <c r="AQ40" s="269"/>
      <c r="AR40" s="267">
        <f t="shared" si="44"/>
        <v>5.8000000000000003E-2</v>
      </c>
      <c r="AS40" s="267">
        <f t="shared" si="45"/>
        <v>-5.8000000000000003E-2</v>
      </c>
      <c r="AT40" s="267">
        <f t="shared" si="46"/>
        <v>5.8000000000000003E-2</v>
      </c>
      <c r="AU40" s="43">
        <f t="shared" si="41"/>
        <v>0.98055555555555551</v>
      </c>
      <c r="AV40" s="44">
        <f t="shared" si="42"/>
        <v>5.8000000000000003E-2</v>
      </c>
      <c r="AW40" s="95">
        <f t="shared" si="39"/>
        <v>5.9150141643059498E-2</v>
      </c>
      <c r="AX40" s="46">
        <f t="shared" si="40"/>
        <v>8.4530651340996155</v>
      </c>
      <c r="AY40" s="72" t="str">
        <f t="shared" si="43"/>
        <v>DOS AÑOS</v>
      </c>
      <c r="AZ40" s="576"/>
      <c r="BA40" s="631"/>
      <c r="BB40" s="628"/>
      <c r="BC40" s="625"/>
      <c r="BD40" s="622"/>
    </row>
    <row r="41" spans="1:56" ht="15.75" thickBot="1" x14ac:dyDescent="0.3">
      <c r="B41" s="661"/>
      <c r="C41" s="521"/>
      <c r="D41" s="507"/>
      <c r="E41" s="507"/>
      <c r="F41" s="667"/>
      <c r="G41" s="470"/>
      <c r="H41" s="518"/>
      <c r="I41" s="339">
        <v>0.5</v>
      </c>
      <c r="J41" s="103" t="s">
        <v>20</v>
      </c>
      <c r="K41" s="277" t="s">
        <v>69</v>
      </c>
      <c r="L41" s="282" t="s">
        <v>69</v>
      </c>
      <c r="M41" s="104">
        <v>0.3</v>
      </c>
      <c r="N41" s="105" t="s">
        <v>20</v>
      </c>
      <c r="O41" s="106">
        <v>0.4</v>
      </c>
      <c r="P41" s="107" t="s">
        <v>20</v>
      </c>
      <c r="Q41" s="37"/>
      <c r="R41" s="92">
        <v>0</v>
      </c>
      <c r="S41" s="111">
        <v>44063</v>
      </c>
      <c r="T41" s="448"/>
      <c r="U41" s="112"/>
      <c r="V41" s="113"/>
      <c r="W41" s="112"/>
      <c r="X41" s="112"/>
      <c r="Y41" s="112"/>
      <c r="Z41" s="112"/>
      <c r="AA41" s="112"/>
      <c r="AB41" s="112"/>
      <c r="AC41" s="112"/>
      <c r="AD41" s="49"/>
      <c r="AE41" s="49"/>
      <c r="AF41" s="49"/>
      <c r="AG41" s="114">
        <v>44421</v>
      </c>
      <c r="AH41" s="462"/>
      <c r="AI41" s="115">
        <v>0</v>
      </c>
      <c r="AJ41" s="269">
        <v>-1.6E-2</v>
      </c>
      <c r="AK41" s="115"/>
      <c r="AL41" s="115" t="s">
        <v>69</v>
      </c>
      <c r="AM41" s="115" t="s">
        <v>69</v>
      </c>
      <c r="AN41" s="115" t="s">
        <v>69</v>
      </c>
      <c r="AO41" s="115">
        <v>0.01</v>
      </c>
      <c r="AP41" s="115">
        <v>5.8000000000000003E-2</v>
      </c>
      <c r="AQ41" s="115"/>
      <c r="AR41" s="49">
        <f t="shared" si="44"/>
        <v>5.8000000000000003E-2</v>
      </c>
      <c r="AS41" s="49">
        <f t="shared" si="45"/>
        <v>-5.8000000000000003E-2</v>
      </c>
      <c r="AT41" s="49">
        <f t="shared" si="46"/>
        <v>5.8000000000000003E-2</v>
      </c>
      <c r="AU41" s="43">
        <f t="shared" si="41"/>
        <v>0.98055555555555551</v>
      </c>
      <c r="AV41" s="44">
        <f t="shared" si="42"/>
        <v>5.8000000000000003E-2</v>
      </c>
      <c r="AW41" s="95">
        <f t="shared" si="39"/>
        <v>5.9150141643059498E-2</v>
      </c>
      <c r="AX41" s="46">
        <f t="shared" si="40"/>
        <v>8.4530651340996155</v>
      </c>
      <c r="AY41" s="72" t="str">
        <f t="shared" si="43"/>
        <v>DOS AÑOS</v>
      </c>
      <c r="AZ41" s="438"/>
      <c r="BA41" s="632"/>
      <c r="BB41" s="629"/>
      <c r="BC41" s="626"/>
      <c r="BD41" s="623"/>
    </row>
    <row r="42" spans="1:56" x14ac:dyDescent="0.25">
      <c r="B42" s="483" t="s">
        <v>58</v>
      </c>
      <c r="C42" s="582" t="s">
        <v>59</v>
      </c>
      <c r="D42" s="585" t="s">
        <v>50</v>
      </c>
      <c r="E42" s="585" t="s">
        <v>55</v>
      </c>
      <c r="F42" s="588">
        <v>170228000011</v>
      </c>
      <c r="G42" s="465" t="s">
        <v>60</v>
      </c>
      <c r="H42" s="465" t="s">
        <v>61</v>
      </c>
      <c r="I42" s="140">
        <v>5</v>
      </c>
      <c r="J42" s="668" t="s">
        <v>20</v>
      </c>
      <c r="K42" s="281" t="s">
        <v>69</v>
      </c>
      <c r="L42" s="675" t="s">
        <v>20</v>
      </c>
      <c r="M42" s="141" t="s">
        <v>69</v>
      </c>
      <c r="N42" s="471" t="s">
        <v>20</v>
      </c>
      <c r="O42" s="141" t="s">
        <v>69</v>
      </c>
      <c r="P42" s="471" t="s">
        <v>20</v>
      </c>
      <c r="Q42" s="142">
        <v>40.89</v>
      </c>
      <c r="R42" s="143">
        <v>39.799999999999997</v>
      </c>
      <c r="S42" s="144">
        <v>44063</v>
      </c>
      <c r="T42" s="671" t="s">
        <v>178</v>
      </c>
      <c r="U42" s="145">
        <v>41</v>
      </c>
      <c r="V42" s="145">
        <f>Q42-U42</f>
        <v>-0.10999999999999943</v>
      </c>
      <c r="W42" s="145">
        <f>V42*100/Q42</f>
        <v>-0.26901442895573352</v>
      </c>
      <c r="X42" s="145" t="s">
        <v>69</v>
      </c>
      <c r="Y42" s="145" t="s">
        <v>69</v>
      </c>
      <c r="Z42" s="145" t="s">
        <v>69</v>
      </c>
      <c r="AA42" s="145" t="s">
        <v>69</v>
      </c>
      <c r="AB42" s="145">
        <v>0.59</v>
      </c>
      <c r="AC42" s="145">
        <f>AB42*100/Q42</f>
        <v>1.4428955734898508</v>
      </c>
      <c r="AD42" s="146">
        <f>(V42+AC42)</f>
        <v>1.3328955734898513</v>
      </c>
      <c r="AE42" s="146">
        <f>(V42-AC42)</f>
        <v>-1.5528955734898502</v>
      </c>
      <c r="AF42" s="146">
        <f t="shared" ref="AF42:AF44" si="47">MAX(AD42:AE42)</f>
        <v>1.3328955734898513</v>
      </c>
      <c r="AG42" s="147">
        <v>44422</v>
      </c>
      <c r="AH42" s="457">
        <v>66143</v>
      </c>
      <c r="AI42" s="364">
        <v>40</v>
      </c>
      <c r="AJ42" s="134">
        <f>AI42-R42</f>
        <v>0.20000000000000284</v>
      </c>
      <c r="AK42" s="367">
        <f>AJ42*100/Q42</f>
        <v>0.48911714355588859</v>
      </c>
      <c r="AL42" s="134" t="s">
        <v>69</v>
      </c>
      <c r="AM42" s="134" t="s">
        <v>69</v>
      </c>
      <c r="AN42" s="134" t="s">
        <v>69</v>
      </c>
      <c r="AO42" s="134" t="s">
        <v>69</v>
      </c>
      <c r="AP42" s="134">
        <v>0.89</v>
      </c>
      <c r="AQ42" s="134">
        <f>AP42*100/Q42</f>
        <v>2.1765712888236735</v>
      </c>
      <c r="AR42" s="146">
        <f>(AJ42+AQ42)</f>
        <v>2.3765712888236763</v>
      </c>
      <c r="AS42" s="146">
        <f>(AJ42-AQ42)</f>
        <v>-1.9765712888236706</v>
      </c>
      <c r="AT42" s="146">
        <f t="shared" ref="AT42:AT44" si="48">MAX(AR42:AS42)</f>
        <v>2.3765712888236763</v>
      </c>
      <c r="AU42" s="148">
        <f t="shared" si="4"/>
        <v>0.98333333333333328</v>
      </c>
      <c r="AV42" s="149">
        <f t="shared" si="5"/>
        <v>1.043675715333825</v>
      </c>
      <c r="AW42" s="150">
        <f t="shared" ref="AW42:AW44" si="49">(AV42/AU42)</f>
        <v>1.0613651342377881</v>
      </c>
      <c r="AX42" s="151">
        <f t="shared" si="6"/>
        <v>4.7109141224906681</v>
      </c>
      <c r="AY42" s="152" t="str">
        <f t="shared" ref="AY42:AY44" si="50">IF(AX42&lt;=1,"UN AÑO",IF(AX42&gt;=1,"DOS AÑOS"))</f>
        <v>DOS AÑOS</v>
      </c>
      <c r="AZ42" s="638" t="s">
        <v>59</v>
      </c>
      <c r="BA42" s="640" t="s">
        <v>56</v>
      </c>
      <c r="BB42" s="554" t="s">
        <v>34</v>
      </c>
      <c r="BC42" s="153"/>
      <c r="BD42" s="573" t="e">
        <f>BC199</f>
        <v>#DIV/0!</v>
      </c>
    </row>
    <row r="43" spans="1:56" x14ac:dyDescent="0.25">
      <c r="B43" s="484"/>
      <c r="C43" s="583"/>
      <c r="D43" s="586"/>
      <c r="E43" s="586"/>
      <c r="F43" s="589"/>
      <c r="G43" s="466"/>
      <c r="H43" s="466"/>
      <c r="I43" s="154">
        <v>5</v>
      </c>
      <c r="J43" s="669"/>
      <c r="K43" s="278" t="s">
        <v>69</v>
      </c>
      <c r="L43" s="676"/>
      <c r="M43" s="155" t="s">
        <v>69</v>
      </c>
      <c r="N43" s="472"/>
      <c r="O43" s="155" t="s">
        <v>69</v>
      </c>
      <c r="P43" s="472"/>
      <c r="Q43" s="156">
        <v>59.84</v>
      </c>
      <c r="R43" s="157">
        <v>59.71</v>
      </c>
      <c r="S43" s="158">
        <v>44063</v>
      </c>
      <c r="T43" s="672"/>
      <c r="U43" s="159">
        <v>60</v>
      </c>
      <c r="V43" s="159">
        <f t="shared" ref="V43:V44" si="51">Q43-U43</f>
        <v>-0.15999999999999659</v>
      </c>
      <c r="W43" s="159">
        <f t="shared" ref="W43:W44" si="52">V43*100/Q43</f>
        <v>-0.26737967914437932</v>
      </c>
      <c r="X43" s="159" t="s">
        <v>69</v>
      </c>
      <c r="Y43" s="159" t="s">
        <v>69</v>
      </c>
      <c r="Z43" s="159" t="s">
        <v>69</v>
      </c>
      <c r="AA43" s="159" t="s">
        <v>69</v>
      </c>
      <c r="AB43" s="159">
        <v>0.6</v>
      </c>
      <c r="AC43" s="159">
        <f t="shared" ref="AC43:AC44" si="53">AB43*100/Q43</f>
        <v>1.0026737967914439</v>
      </c>
      <c r="AD43" s="160">
        <f t="shared" ref="AD43:AD44" si="54">(V43+AC43)</f>
        <v>0.84267379679144727</v>
      </c>
      <c r="AE43" s="160">
        <f t="shared" ref="AE43:AE44" si="55">(V43-AC43)</f>
        <v>-1.1626737967914405</v>
      </c>
      <c r="AF43" s="160">
        <f t="shared" si="47"/>
        <v>0.84267379679144727</v>
      </c>
      <c r="AG43" s="161">
        <v>44422</v>
      </c>
      <c r="AH43" s="458"/>
      <c r="AI43" s="365">
        <v>60</v>
      </c>
      <c r="AJ43" s="135">
        <f t="shared" ref="AJ43:AJ44" si="56">AI43-R43</f>
        <v>0.28999999999999915</v>
      </c>
      <c r="AK43" s="368">
        <f t="shared" ref="AK43:AK44" si="57">AJ43*100/Q43</f>
        <v>0.48462566844919641</v>
      </c>
      <c r="AL43" s="135" t="s">
        <v>69</v>
      </c>
      <c r="AM43" s="135" t="s">
        <v>69</v>
      </c>
      <c r="AN43" s="135" t="s">
        <v>69</v>
      </c>
      <c r="AO43" s="135" t="s">
        <v>69</v>
      </c>
      <c r="AP43" s="135">
        <v>0.95</v>
      </c>
      <c r="AQ43" s="135">
        <f t="shared" ref="AQ43:AQ44" si="58">AP43*100/Q43</f>
        <v>1.5875668449197859</v>
      </c>
      <c r="AR43" s="160">
        <f t="shared" ref="AR43:AR181" si="59">(AJ43+AQ43)</f>
        <v>1.8775668449197851</v>
      </c>
      <c r="AS43" s="160">
        <f t="shared" ref="AS43:AS44" si="60">(AJ43-AQ43)</f>
        <v>-1.2975668449197868</v>
      </c>
      <c r="AT43" s="160">
        <f t="shared" si="48"/>
        <v>1.8775668449197851</v>
      </c>
      <c r="AU43" s="162">
        <f t="shared" si="4"/>
        <v>0.98333333333333328</v>
      </c>
      <c r="AV43" s="163">
        <f t="shared" si="5"/>
        <v>1.0348930481283378</v>
      </c>
      <c r="AW43" s="164">
        <f t="shared" si="49"/>
        <v>1.0524336082661063</v>
      </c>
      <c r="AX43" s="165">
        <f t="shared" si="6"/>
        <v>4.7508935107436789</v>
      </c>
      <c r="AY43" s="166" t="str">
        <f t="shared" si="50"/>
        <v>DOS AÑOS</v>
      </c>
      <c r="AZ43" s="515"/>
      <c r="BA43" s="641"/>
      <c r="BB43" s="555"/>
      <c r="BC43" s="167" t="e">
        <f>MIN(AX16:AX56)</f>
        <v>#DIV/0!</v>
      </c>
      <c r="BD43" s="574"/>
    </row>
    <row r="44" spans="1:56" ht="15.75" thickBot="1" x14ac:dyDescent="0.3">
      <c r="B44" s="485"/>
      <c r="C44" s="584"/>
      <c r="D44" s="587"/>
      <c r="E44" s="587"/>
      <c r="F44" s="590"/>
      <c r="G44" s="467"/>
      <c r="H44" s="467"/>
      <c r="I44" s="296">
        <v>5</v>
      </c>
      <c r="J44" s="670"/>
      <c r="K44" s="279" t="s">
        <v>69</v>
      </c>
      <c r="L44" s="677"/>
      <c r="M44" s="297" t="s">
        <v>69</v>
      </c>
      <c r="N44" s="473"/>
      <c r="O44" s="297" t="s">
        <v>69</v>
      </c>
      <c r="P44" s="473"/>
      <c r="Q44" s="298">
        <v>99.79</v>
      </c>
      <c r="R44" s="299">
        <v>99.5</v>
      </c>
      <c r="S44" s="300">
        <v>44063</v>
      </c>
      <c r="T44" s="673"/>
      <c r="U44" s="301">
        <v>99</v>
      </c>
      <c r="V44" s="301">
        <f t="shared" si="51"/>
        <v>0.79000000000000625</v>
      </c>
      <c r="W44" s="301">
        <f t="shared" si="52"/>
        <v>0.7916624912315926</v>
      </c>
      <c r="X44" s="301" t="s">
        <v>69</v>
      </c>
      <c r="Y44" s="301" t="s">
        <v>69</v>
      </c>
      <c r="Z44" s="301" t="s">
        <v>69</v>
      </c>
      <c r="AA44" s="301" t="s">
        <v>69</v>
      </c>
      <c r="AB44" s="301">
        <v>0.59</v>
      </c>
      <c r="AC44" s="301">
        <f t="shared" si="53"/>
        <v>0.59124160737548848</v>
      </c>
      <c r="AD44" s="302">
        <f t="shared" si="54"/>
        <v>1.3812416073754947</v>
      </c>
      <c r="AE44" s="302">
        <f t="shared" si="55"/>
        <v>0.19875839262451778</v>
      </c>
      <c r="AF44" s="302">
        <f t="shared" si="47"/>
        <v>1.3812416073754947</v>
      </c>
      <c r="AG44" s="303">
        <v>44422</v>
      </c>
      <c r="AH44" s="459"/>
      <c r="AI44" s="366">
        <v>100</v>
      </c>
      <c r="AJ44" s="138">
        <f t="shared" si="56"/>
        <v>0.5</v>
      </c>
      <c r="AK44" s="369">
        <f t="shared" si="57"/>
        <v>0.50105220964024444</v>
      </c>
      <c r="AL44" s="304" t="s">
        <v>69</v>
      </c>
      <c r="AM44" s="304" t="s">
        <v>69</v>
      </c>
      <c r="AN44" s="304" t="s">
        <v>69</v>
      </c>
      <c r="AO44" s="304" t="s">
        <v>69</v>
      </c>
      <c r="AP44" s="304">
        <v>1.3</v>
      </c>
      <c r="AQ44" s="304">
        <f t="shared" si="58"/>
        <v>1.3027357450646357</v>
      </c>
      <c r="AR44" s="302">
        <f t="shared" si="59"/>
        <v>1.8027357450646357</v>
      </c>
      <c r="AS44" s="302">
        <f t="shared" si="60"/>
        <v>-0.80273574506463574</v>
      </c>
      <c r="AT44" s="302">
        <f t="shared" si="48"/>
        <v>1.8027357450646357</v>
      </c>
      <c r="AU44" s="305">
        <f t="shared" si="4"/>
        <v>0.98333333333333328</v>
      </c>
      <c r="AV44" s="306">
        <f t="shared" si="5"/>
        <v>0.42149413768914101</v>
      </c>
      <c r="AW44" s="307">
        <f t="shared" si="49"/>
        <v>0.42863810612455022</v>
      </c>
      <c r="AX44" s="308">
        <f t="shared" si="6"/>
        <v>11.66485183785116</v>
      </c>
      <c r="AY44" s="309" t="str">
        <f t="shared" si="50"/>
        <v>DOS AÑOS</v>
      </c>
      <c r="AZ44" s="639"/>
      <c r="BA44" s="642"/>
      <c r="BB44" s="556"/>
      <c r="BC44" s="310"/>
      <c r="BD44" s="575"/>
    </row>
    <row r="45" spans="1:56" s="68" customFormat="1" x14ac:dyDescent="0.25">
      <c r="A45" s="333"/>
      <c r="B45" s="598" t="s">
        <v>180</v>
      </c>
      <c r="C45" s="680" t="s">
        <v>10</v>
      </c>
      <c r="D45" s="489" t="s">
        <v>50</v>
      </c>
      <c r="E45" s="489" t="s">
        <v>55</v>
      </c>
      <c r="F45" s="492">
        <v>170228000011</v>
      </c>
      <c r="G45" s="434" t="s">
        <v>15</v>
      </c>
      <c r="H45" s="434" t="s">
        <v>22</v>
      </c>
      <c r="I45" s="328">
        <v>2</v>
      </c>
      <c r="J45" s="443" t="s">
        <v>20</v>
      </c>
      <c r="K45" s="318" t="s">
        <v>69</v>
      </c>
      <c r="L45" s="561" t="s">
        <v>20</v>
      </c>
      <c r="M45" s="247" t="s">
        <v>69</v>
      </c>
      <c r="N45" s="495" t="s">
        <v>20</v>
      </c>
      <c r="O45" s="247" t="s">
        <v>69</v>
      </c>
      <c r="P45" s="495" t="s">
        <v>20</v>
      </c>
      <c r="Q45" s="57">
        <v>0</v>
      </c>
      <c r="R45" s="57">
        <v>399.4</v>
      </c>
      <c r="S45" s="58">
        <v>44063</v>
      </c>
      <c r="T45" s="446" t="s">
        <v>179</v>
      </c>
      <c r="U45" s="133"/>
      <c r="V45" s="133"/>
      <c r="W45" s="133"/>
      <c r="X45" s="133" t="s">
        <v>69</v>
      </c>
      <c r="Y45" s="133" t="s">
        <v>69</v>
      </c>
      <c r="Z45" s="133" t="s">
        <v>69</v>
      </c>
      <c r="AA45" s="133" t="s">
        <v>69</v>
      </c>
      <c r="AB45" s="133"/>
      <c r="AC45" s="133"/>
      <c r="AD45" s="59"/>
      <c r="AE45" s="59"/>
      <c r="AF45" s="59"/>
      <c r="AG45" s="60">
        <v>44422</v>
      </c>
      <c r="AH45" s="460">
        <v>66145</v>
      </c>
      <c r="AI45" s="84">
        <v>400</v>
      </c>
      <c r="AJ45" s="370">
        <f>AI45-R45</f>
        <v>0.60000000000002274</v>
      </c>
      <c r="AK45" s="84">
        <f>(AJ45*100)/R45</f>
        <v>0.15022533800701621</v>
      </c>
      <c r="AL45" s="84" t="s">
        <v>69</v>
      </c>
      <c r="AM45" s="84" t="s">
        <v>69</v>
      </c>
      <c r="AN45" s="84" t="s">
        <v>69</v>
      </c>
      <c r="AO45" s="84" t="s">
        <v>69</v>
      </c>
      <c r="AP45" s="134">
        <v>5.9</v>
      </c>
      <c r="AQ45" s="134">
        <f>(AP45*100)/R45</f>
        <v>1.4772158237356035</v>
      </c>
      <c r="AR45" s="59">
        <f>(AK45+AQ45)</f>
        <v>1.6274411617426197</v>
      </c>
      <c r="AS45" s="59">
        <f>(AK45-AQ45)</f>
        <v>-1.3269904857285872</v>
      </c>
      <c r="AT45" s="59">
        <f t="shared" si="23"/>
        <v>1.6274411617426197</v>
      </c>
      <c r="AU45" s="62">
        <f t="shared" si="4"/>
        <v>0.98333333333333328</v>
      </c>
      <c r="AV45" s="63">
        <f>ABS(AT45+AF45)</f>
        <v>1.6274411617426197</v>
      </c>
      <c r="AW45" s="85">
        <f t="shared" ref="AW45:AW57" si="61">(AV45/AU45)</f>
        <v>1.655024910246732</v>
      </c>
      <c r="AX45" s="65">
        <f t="shared" si="6"/>
        <v>1.2084410256410212</v>
      </c>
      <c r="AY45" s="66" t="str">
        <f t="shared" si="7"/>
        <v>DOS AÑOS</v>
      </c>
      <c r="AZ45" s="436" t="s">
        <v>10</v>
      </c>
      <c r="BA45" s="439" t="s">
        <v>56</v>
      </c>
      <c r="BB45" s="477" t="s">
        <v>34</v>
      </c>
      <c r="BC45" s="124"/>
      <c r="BD45" s="634" t="e">
        <f>#REF!</f>
        <v>#REF!</v>
      </c>
    </row>
    <row r="46" spans="1:56" s="311" customFormat="1" x14ac:dyDescent="0.25">
      <c r="A46" s="333"/>
      <c r="B46" s="599"/>
      <c r="C46" s="681"/>
      <c r="D46" s="606"/>
      <c r="E46" s="606"/>
      <c r="F46" s="610"/>
      <c r="G46" s="525"/>
      <c r="H46" s="525"/>
      <c r="I46" s="329">
        <v>2.4</v>
      </c>
      <c r="J46" s="560"/>
      <c r="K46" s="325"/>
      <c r="L46" s="562"/>
      <c r="M46" s="314"/>
      <c r="N46" s="550"/>
      <c r="O46" s="314"/>
      <c r="P46" s="550"/>
      <c r="Q46" s="253">
        <v>500</v>
      </c>
      <c r="R46" s="37">
        <v>498.8</v>
      </c>
      <c r="S46" s="255">
        <v>44063</v>
      </c>
      <c r="T46" s="565"/>
      <c r="U46" s="326">
        <v>500</v>
      </c>
      <c r="V46" s="326">
        <f>U46-Q46</f>
        <v>0</v>
      </c>
      <c r="W46" s="326">
        <f>V46*100/Q46</f>
        <v>0</v>
      </c>
      <c r="X46" s="326"/>
      <c r="Y46" s="326"/>
      <c r="Z46" s="326"/>
      <c r="AA46" s="326"/>
      <c r="AB46" s="326">
        <v>5.8</v>
      </c>
      <c r="AC46" s="326">
        <f>AB46*100/Q46</f>
        <v>1.1599999999999999</v>
      </c>
      <c r="AD46" s="257">
        <f>(W46+AC46)</f>
        <v>1.1599999999999999</v>
      </c>
      <c r="AE46" s="257">
        <f>(W46-AC46)</f>
        <v>-1.1599999999999999</v>
      </c>
      <c r="AF46" s="257">
        <f t="shared" ref="AF46" si="62">MAX(AD46:AE46)</f>
        <v>1.1599999999999999</v>
      </c>
      <c r="AG46" s="41">
        <v>44422</v>
      </c>
      <c r="AH46" s="456"/>
      <c r="AI46" s="94">
        <v>500</v>
      </c>
      <c r="AJ46" s="135">
        <f t="shared" ref="AJ46" si="63">AI46-R46</f>
        <v>1.1999999999999886</v>
      </c>
      <c r="AK46" s="94">
        <f>(AJ46*100)/R46</f>
        <v>0.2405773857257395</v>
      </c>
      <c r="AL46" s="259"/>
      <c r="AM46" s="259"/>
      <c r="AN46" s="259"/>
      <c r="AO46" s="259"/>
      <c r="AP46" s="135">
        <v>6</v>
      </c>
      <c r="AQ46" s="135">
        <f t="shared" ref="AQ46" si="64">(AP46*100)/R46</f>
        <v>1.2028869286287089</v>
      </c>
      <c r="AR46" s="40">
        <f t="shared" ref="AR46" si="65">(AK46+AQ46)</f>
        <v>1.4434643143544483</v>
      </c>
      <c r="AS46" s="40">
        <f t="shared" ref="AS46" si="66">(AK46-AQ46)</f>
        <v>-0.96230954290296944</v>
      </c>
      <c r="AT46" s="40">
        <f t="shared" si="23"/>
        <v>1.4434643143544483</v>
      </c>
      <c r="AU46" s="260">
        <f t="shared" si="4"/>
        <v>0.98333333333333328</v>
      </c>
      <c r="AV46" s="261">
        <f>ABS(AT46+AF46)</f>
        <v>2.603464314354448</v>
      </c>
      <c r="AW46" s="262">
        <f t="shared" ref="AW46" si="67">(AV46/AU46)</f>
        <v>2.6475908281570661</v>
      </c>
      <c r="AX46" s="330">
        <f>(I46/AW46)</f>
        <v>0.90648448184517649</v>
      </c>
      <c r="AY46" s="295" t="str">
        <f t="shared" si="7"/>
        <v>UN AÑO</v>
      </c>
      <c r="AZ46" s="566"/>
      <c r="BA46" s="567"/>
      <c r="BB46" s="568"/>
      <c r="BC46" s="327"/>
      <c r="BD46" s="635"/>
    </row>
    <row r="47" spans="1:56" s="73" customFormat="1" x14ac:dyDescent="0.25">
      <c r="A47" s="333"/>
      <c r="B47" s="600"/>
      <c r="C47" s="682"/>
      <c r="D47" s="490"/>
      <c r="E47" s="490"/>
      <c r="F47" s="493"/>
      <c r="G47" s="435"/>
      <c r="H47" s="435"/>
      <c r="I47" s="245">
        <v>2</v>
      </c>
      <c r="J47" s="444"/>
      <c r="K47" s="277" t="s">
        <v>69</v>
      </c>
      <c r="L47" s="563"/>
      <c r="M47" s="248"/>
      <c r="N47" s="496"/>
      <c r="O47" s="248"/>
      <c r="P47" s="496"/>
      <c r="Q47" s="37">
        <v>700</v>
      </c>
      <c r="R47" s="37"/>
      <c r="S47" s="38">
        <v>44063</v>
      </c>
      <c r="T47" s="447"/>
      <c r="U47" s="96">
        <v>700</v>
      </c>
      <c r="V47" s="96">
        <f>U47-Q47</f>
        <v>0</v>
      </c>
      <c r="W47" s="96">
        <f>V47*100/Q47</f>
        <v>0</v>
      </c>
      <c r="X47" s="96"/>
      <c r="Y47" s="96"/>
      <c r="Z47" s="96"/>
      <c r="AA47" s="96"/>
      <c r="AB47" s="96">
        <v>5.8</v>
      </c>
      <c r="AC47" s="96">
        <f>AB47*100/Q47</f>
        <v>0.82857142857142863</v>
      </c>
      <c r="AD47" s="40">
        <f t="shared" ref="AD47:AD55" si="68">(W47+AC47)</f>
        <v>0.82857142857142863</v>
      </c>
      <c r="AE47" s="40">
        <f t="shared" ref="AE47:AE55" si="69">(W47-AC47)</f>
        <v>-0.82857142857142863</v>
      </c>
      <c r="AF47" s="40">
        <f t="shared" ref="AF47:AF55" si="70">MAX(AD47:AE47)</f>
        <v>0.82857142857142863</v>
      </c>
      <c r="AG47" s="41">
        <v>44422</v>
      </c>
      <c r="AH47" s="461"/>
      <c r="AI47" s="94"/>
      <c r="AJ47" s="135"/>
      <c r="AK47" s="94"/>
      <c r="AL47" s="94"/>
      <c r="AM47" s="94"/>
      <c r="AN47" s="94"/>
      <c r="AO47" s="94"/>
      <c r="AP47" s="135"/>
      <c r="AQ47" s="135"/>
      <c r="AR47" s="40"/>
      <c r="AS47" s="40"/>
      <c r="AT47" s="40"/>
      <c r="AU47" s="43">
        <f t="shared" ref="AU47:AU54" si="71">YEARFRAC(S47,AG47)</f>
        <v>0.98333333333333328</v>
      </c>
      <c r="AV47" s="44">
        <f t="shared" ref="AV47:AV54" si="72">ABS(AT47+AF47)</f>
        <v>0.82857142857142863</v>
      </c>
      <c r="AW47" s="95">
        <f t="shared" ref="AW47:AW54" si="73">(AV47/AU47)</f>
        <v>0.84261501210653766</v>
      </c>
      <c r="AX47" s="46">
        <f t="shared" ref="AX47:AX54" si="74">(I47/AW47)</f>
        <v>2.3735632183908044</v>
      </c>
      <c r="AY47" s="72" t="str">
        <f t="shared" ref="AY47:AY54" si="75">IF(AX47&lt;=1,"UN AÑO",IF(AX47&gt;=1,"DOS AÑOS"))</f>
        <v>DOS AÑOS</v>
      </c>
      <c r="AZ47" s="437"/>
      <c r="BA47" s="440"/>
      <c r="BB47" s="478"/>
      <c r="BC47" s="119"/>
      <c r="BD47" s="636"/>
    </row>
    <row r="48" spans="1:56" s="73" customFormat="1" x14ac:dyDescent="0.25">
      <c r="A48" s="333"/>
      <c r="B48" s="600"/>
      <c r="C48" s="682"/>
      <c r="D48" s="490"/>
      <c r="E48" s="490"/>
      <c r="F48" s="493"/>
      <c r="G48" s="435"/>
      <c r="H48" s="435"/>
      <c r="I48" s="245">
        <v>2</v>
      </c>
      <c r="J48" s="444"/>
      <c r="K48" s="277" t="s">
        <v>69</v>
      </c>
      <c r="L48" s="563"/>
      <c r="M48" s="248"/>
      <c r="N48" s="496"/>
      <c r="O48" s="248"/>
      <c r="P48" s="496"/>
      <c r="Q48" s="37">
        <v>900.1</v>
      </c>
      <c r="R48" s="37">
        <v>800.7</v>
      </c>
      <c r="S48" s="38">
        <v>44063</v>
      </c>
      <c r="T48" s="447"/>
      <c r="U48" s="96">
        <v>900</v>
      </c>
      <c r="V48" s="96">
        <f t="shared" ref="V48:V57" si="76">U48-Q48</f>
        <v>-0.10000000000002274</v>
      </c>
      <c r="W48" s="96">
        <f t="shared" ref="W48:W57" si="77">V48*100/Q48</f>
        <v>-1.1109876680371373E-2</v>
      </c>
      <c r="X48" s="96"/>
      <c r="Y48" s="96"/>
      <c r="Z48" s="96"/>
      <c r="AA48" s="96"/>
      <c r="AB48" s="96">
        <v>5.8</v>
      </c>
      <c r="AC48" s="96">
        <f t="shared" ref="AC48:AC57" si="78">AB48*100/Q48</f>
        <v>0.64437284746139312</v>
      </c>
      <c r="AD48" s="40">
        <f t="shared" si="68"/>
        <v>0.63326297078102178</v>
      </c>
      <c r="AE48" s="40">
        <f t="shared" si="69"/>
        <v>-0.65548272414176445</v>
      </c>
      <c r="AF48" s="40">
        <f t="shared" si="70"/>
        <v>0.63326297078102178</v>
      </c>
      <c r="AG48" s="41">
        <v>44422</v>
      </c>
      <c r="AH48" s="461"/>
      <c r="AI48" s="94">
        <v>800</v>
      </c>
      <c r="AJ48" s="135">
        <f t="shared" ref="AJ48:AJ56" si="79">AI48-R48</f>
        <v>-0.70000000000004547</v>
      </c>
      <c r="AK48" s="94">
        <f t="shared" ref="AK48:AK56" si="80">(AJ48*100)/R48</f>
        <v>-8.7423504433626259E-2</v>
      </c>
      <c r="AL48" s="94"/>
      <c r="AM48" s="94"/>
      <c r="AN48" s="94"/>
      <c r="AO48" s="94"/>
      <c r="AP48" s="135">
        <v>6.5</v>
      </c>
      <c r="AQ48" s="135">
        <f t="shared" ref="AQ48:AQ56" si="81">(AP48*100)/R48</f>
        <v>0.81178968402647678</v>
      </c>
      <c r="AR48" s="257">
        <f t="shared" ref="AR48:AR54" si="82">(AK48+AQ48)</f>
        <v>0.72436617959285055</v>
      </c>
      <c r="AS48" s="257">
        <f t="shared" ref="AS48:AS54" si="83">(AK48-AQ48)</f>
        <v>-0.89921318846010301</v>
      </c>
      <c r="AT48" s="257">
        <f t="shared" ref="AT48:AT54" si="84">MAX(AR48:AS48)</f>
        <v>0.72436617959285055</v>
      </c>
      <c r="AU48" s="260">
        <f t="shared" si="71"/>
        <v>0.98333333333333328</v>
      </c>
      <c r="AV48" s="261">
        <f t="shared" si="72"/>
        <v>1.3576291503738722</v>
      </c>
      <c r="AW48" s="262">
        <f t="shared" si="73"/>
        <v>1.3806398139395311</v>
      </c>
      <c r="AX48" s="263">
        <f t="shared" si="74"/>
        <v>1.4486037414010107</v>
      </c>
      <c r="AY48" s="295" t="str">
        <f t="shared" si="75"/>
        <v>DOS AÑOS</v>
      </c>
      <c r="AZ48" s="437"/>
      <c r="BA48" s="440"/>
      <c r="BB48" s="478"/>
      <c r="BC48" s="119"/>
      <c r="BD48" s="636"/>
    </row>
    <row r="49" spans="1:56" s="73" customFormat="1" x14ac:dyDescent="0.25">
      <c r="A49" s="333"/>
      <c r="B49" s="600"/>
      <c r="C49" s="682"/>
      <c r="D49" s="490"/>
      <c r="E49" s="490"/>
      <c r="F49" s="493"/>
      <c r="G49" s="435"/>
      <c r="H49" s="435"/>
      <c r="I49" s="245">
        <v>2</v>
      </c>
      <c r="J49" s="444"/>
      <c r="K49" s="277" t="s">
        <v>69</v>
      </c>
      <c r="L49" s="563"/>
      <c r="M49" s="248"/>
      <c r="N49" s="496"/>
      <c r="O49" s="248"/>
      <c r="P49" s="496"/>
      <c r="Q49" s="37">
        <v>1799.7</v>
      </c>
      <c r="R49" s="37">
        <v>997.5</v>
      </c>
      <c r="S49" s="38">
        <v>44063</v>
      </c>
      <c r="T49" s="447"/>
      <c r="U49" s="96">
        <v>1800</v>
      </c>
      <c r="V49" s="96">
        <f t="shared" si="76"/>
        <v>0.29999999999995453</v>
      </c>
      <c r="W49" s="96">
        <f t="shared" si="77"/>
        <v>1.6669444907482053E-2</v>
      </c>
      <c r="X49" s="96"/>
      <c r="Y49" s="96"/>
      <c r="Z49" s="96"/>
      <c r="AA49" s="96"/>
      <c r="AB49" s="96">
        <v>5.8</v>
      </c>
      <c r="AC49" s="96">
        <f t="shared" si="78"/>
        <v>0.32227593487803524</v>
      </c>
      <c r="AD49" s="40">
        <f t="shared" si="68"/>
        <v>0.33894537978551731</v>
      </c>
      <c r="AE49" s="40">
        <f t="shared" si="69"/>
        <v>-0.30560648997055317</v>
      </c>
      <c r="AF49" s="40">
        <f t="shared" si="70"/>
        <v>0.33894537978551731</v>
      </c>
      <c r="AG49" s="41">
        <v>44422</v>
      </c>
      <c r="AH49" s="461"/>
      <c r="AI49" s="94">
        <v>1000</v>
      </c>
      <c r="AJ49" s="135">
        <f t="shared" si="79"/>
        <v>2.5</v>
      </c>
      <c r="AK49" s="94">
        <f t="shared" si="80"/>
        <v>0.25062656641604009</v>
      </c>
      <c r="AL49" s="94"/>
      <c r="AM49" s="94"/>
      <c r="AN49" s="94"/>
      <c r="AO49" s="94"/>
      <c r="AP49" s="135">
        <v>7</v>
      </c>
      <c r="AQ49" s="135">
        <f t="shared" si="81"/>
        <v>0.70175438596491224</v>
      </c>
      <c r="AR49" s="40">
        <f t="shared" si="82"/>
        <v>0.95238095238095233</v>
      </c>
      <c r="AS49" s="40">
        <f t="shared" si="83"/>
        <v>-0.45112781954887216</v>
      </c>
      <c r="AT49" s="40">
        <f t="shared" si="84"/>
        <v>0.95238095238095233</v>
      </c>
      <c r="AU49" s="43">
        <f t="shared" si="71"/>
        <v>0.98333333333333328</v>
      </c>
      <c r="AV49" s="44">
        <f t="shared" si="72"/>
        <v>1.2913263321664696</v>
      </c>
      <c r="AW49" s="95">
        <f t="shared" si="73"/>
        <v>1.313213219152342</v>
      </c>
      <c r="AX49" s="46">
        <f t="shared" si="74"/>
        <v>1.5229819277108463</v>
      </c>
      <c r="AY49" s="72" t="str">
        <f t="shared" si="75"/>
        <v>DOS AÑOS</v>
      </c>
      <c r="AZ49" s="437"/>
      <c r="BA49" s="440"/>
      <c r="BB49" s="478"/>
      <c r="BC49" s="119"/>
      <c r="BD49" s="636"/>
    </row>
    <row r="50" spans="1:56" s="73" customFormat="1" x14ac:dyDescent="0.25">
      <c r="A50" s="333"/>
      <c r="B50" s="600"/>
      <c r="C50" s="682"/>
      <c r="D50" s="490"/>
      <c r="E50" s="490"/>
      <c r="F50" s="493"/>
      <c r="G50" s="435"/>
      <c r="H50" s="435"/>
      <c r="I50" s="245">
        <v>2</v>
      </c>
      <c r="J50" s="444"/>
      <c r="K50" s="277" t="s">
        <v>69</v>
      </c>
      <c r="L50" s="563"/>
      <c r="M50" s="248"/>
      <c r="N50" s="496"/>
      <c r="O50" s="248"/>
      <c r="P50" s="496"/>
      <c r="Q50" s="37">
        <v>2801.2</v>
      </c>
      <c r="R50" s="37">
        <v>1800</v>
      </c>
      <c r="S50" s="38">
        <v>44063</v>
      </c>
      <c r="T50" s="447"/>
      <c r="U50" s="96">
        <v>2800</v>
      </c>
      <c r="V50" s="96">
        <f t="shared" si="76"/>
        <v>-1.1999999999998181</v>
      </c>
      <c r="W50" s="96">
        <f t="shared" si="77"/>
        <v>-4.2838783378545561E-2</v>
      </c>
      <c r="X50" s="96"/>
      <c r="Y50" s="96"/>
      <c r="Z50" s="96"/>
      <c r="AA50" s="96"/>
      <c r="AB50" s="96">
        <v>5.8</v>
      </c>
      <c r="AC50" s="96">
        <f t="shared" si="78"/>
        <v>0.20705411966300158</v>
      </c>
      <c r="AD50" s="40">
        <f t="shared" si="68"/>
        <v>0.164215336284456</v>
      </c>
      <c r="AE50" s="40">
        <f t="shared" si="69"/>
        <v>-0.24989290304154715</v>
      </c>
      <c r="AF50" s="40">
        <f t="shared" si="70"/>
        <v>0.164215336284456</v>
      </c>
      <c r="AG50" s="41">
        <v>44422</v>
      </c>
      <c r="AH50" s="461"/>
      <c r="AI50" s="94">
        <v>1800</v>
      </c>
      <c r="AJ50" s="135">
        <f t="shared" si="79"/>
        <v>0</v>
      </c>
      <c r="AK50" s="94">
        <f t="shared" si="80"/>
        <v>0</v>
      </c>
      <c r="AL50" s="94"/>
      <c r="AM50" s="94"/>
      <c r="AN50" s="94"/>
      <c r="AO50" s="94"/>
      <c r="AP50" s="135">
        <v>9.1999999999999993</v>
      </c>
      <c r="AQ50" s="135">
        <f t="shared" si="81"/>
        <v>0.51111111111111107</v>
      </c>
      <c r="AR50" s="40">
        <f t="shared" si="82"/>
        <v>0.51111111111111107</v>
      </c>
      <c r="AS50" s="40">
        <f t="shared" si="83"/>
        <v>-0.51111111111111107</v>
      </c>
      <c r="AT50" s="40">
        <f t="shared" si="84"/>
        <v>0.51111111111111107</v>
      </c>
      <c r="AU50" s="43">
        <f t="shared" si="71"/>
        <v>0.98333333333333328</v>
      </c>
      <c r="AV50" s="44">
        <f t="shared" si="72"/>
        <v>0.67532644739556713</v>
      </c>
      <c r="AW50" s="95">
        <f t="shared" si="73"/>
        <v>0.68677265836837342</v>
      </c>
      <c r="AX50" s="46">
        <f t="shared" si="74"/>
        <v>2.9121718455588739</v>
      </c>
      <c r="AY50" s="72" t="str">
        <f t="shared" si="75"/>
        <v>DOS AÑOS</v>
      </c>
      <c r="AZ50" s="437"/>
      <c r="BA50" s="440"/>
      <c r="BB50" s="478"/>
      <c r="BC50" s="119"/>
      <c r="BD50" s="636"/>
    </row>
    <row r="51" spans="1:56" s="73" customFormat="1" x14ac:dyDescent="0.25">
      <c r="A51" s="333"/>
      <c r="B51" s="600"/>
      <c r="C51" s="682"/>
      <c r="D51" s="490"/>
      <c r="E51" s="490"/>
      <c r="F51" s="493"/>
      <c r="G51" s="435"/>
      <c r="H51" s="435"/>
      <c r="I51" s="245">
        <v>2</v>
      </c>
      <c r="J51" s="444"/>
      <c r="K51" s="277" t="s">
        <v>69</v>
      </c>
      <c r="L51" s="563"/>
      <c r="M51" s="248"/>
      <c r="N51" s="496"/>
      <c r="O51" s="248"/>
      <c r="P51" s="496"/>
      <c r="Q51" s="37">
        <v>3802.3</v>
      </c>
      <c r="R51" s="37">
        <v>2499</v>
      </c>
      <c r="S51" s="38">
        <v>44063</v>
      </c>
      <c r="T51" s="447"/>
      <c r="U51" s="96">
        <v>3800</v>
      </c>
      <c r="V51" s="96">
        <f t="shared" si="76"/>
        <v>-2.3000000000001819</v>
      </c>
      <c r="W51" s="96">
        <f t="shared" si="77"/>
        <v>-6.0489703600457141E-2</v>
      </c>
      <c r="X51" s="96"/>
      <c r="Y51" s="96"/>
      <c r="Z51" s="96"/>
      <c r="AA51" s="96"/>
      <c r="AB51" s="96">
        <v>5.8</v>
      </c>
      <c r="AC51" s="96">
        <f t="shared" si="78"/>
        <v>0.15253925255766246</v>
      </c>
      <c r="AD51" s="40">
        <f t="shared" si="68"/>
        <v>9.2049548957205324E-2</v>
      </c>
      <c r="AE51" s="40">
        <f t="shared" si="69"/>
        <v>-0.21302895615811959</v>
      </c>
      <c r="AF51" s="40">
        <f t="shared" si="70"/>
        <v>9.2049548957205324E-2</v>
      </c>
      <c r="AG51" s="41">
        <v>44422</v>
      </c>
      <c r="AH51" s="461"/>
      <c r="AI51" s="94">
        <v>2500</v>
      </c>
      <c r="AJ51" s="135">
        <f t="shared" si="79"/>
        <v>1</v>
      </c>
      <c r="AK51" s="94">
        <f t="shared" si="80"/>
        <v>4.0016006402561026E-2</v>
      </c>
      <c r="AL51" s="94"/>
      <c r="AM51" s="94"/>
      <c r="AN51" s="94"/>
      <c r="AO51" s="94"/>
      <c r="AP51" s="135">
        <v>12</v>
      </c>
      <c r="AQ51" s="135">
        <f t="shared" si="81"/>
        <v>0.48019207683073228</v>
      </c>
      <c r="AR51" s="40">
        <f t="shared" si="82"/>
        <v>0.52020808323329326</v>
      </c>
      <c r="AS51" s="40">
        <f t="shared" si="83"/>
        <v>-0.44017607042817125</v>
      </c>
      <c r="AT51" s="40">
        <f t="shared" si="84"/>
        <v>0.52020808323329326</v>
      </c>
      <c r="AU51" s="43">
        <f t="shared" si="71"/>
        <v>0.98333333333333328</v>
      </c>
      <c r="AV51" s="44">
        <f t="shared" si="72"/>
        <v>0.61225763219049856</v>
      </c>
      <c r="AW51" s="95">
        <f t="shared" si="73"/>
        <v>0.62263488019372737</v>
      </c>
      <c r="AX51" s="46">
        <f t="shared" si="74"/>
        <v>3.212155411816501</v>
      </c>
      <c r="AY51" s="72" t="str">
        <f t="shared" si="75"/>
        <v>DOS AÑOS</v>
      </c>
      <c r="AZ51" s="437"/>
      <c r="BA51" s="440"/>
      <c r="BB51" s="478"/>
      <c r="BC51" s="119"/>
      <c r="BD51" s="636"/>
    </row>
    <row r="52" spans="1:56" s="73" customFormat="1" x14ac:dyDescent="0.25">
      <c r="A52" s="333"/>
      <c r="B52" s="600"/>
      <c r="C52" s="682"/>
      <c r="D52" s="490"/>
      <c r="E52" s="490"/>
      <c r="F52" s="493"/>
      <c r="G52" s="435"/>
      <c r="H52" s="435"/>
      <c r="I52" s="245">
        <v>2</v>
      </c>
      <c r="J52" s="444"/>
      <c r="K52" s="277" t="s">
        <v>69</v>
      </c>
      <c r="L52" s="563"/>
      <c r="M52" s="248"/>
      <c r="N52" s="496"/>
      <c r="O52" s="248"/>
      <c r="P52" s="496"/>
      <c r="Q52" s="37">
        <v>4800.1000000000004</v>
      </c>
      <c r="R52" s="37">
        <v>3000</v>
      </c>
      <c r="S52" s="38">
        <v>44063</v>
      </c>
      <c r="T52" s="447"/>
      <c r="U52" s="96">
        <v>4800</v>
      </c>
      <c r="V52" s="96">
        <f t="shared" si="76"/>
        <v>-0.1000000000003638</v>
      </c>
      <c r="W52" s="96">
        <f t="shared" si="77"/>
        <v>-2.0832899314673402E-3</v>
      </c>
      <c r="X52" s="96"/>
      <c r="Y52" s="96"/>
      <c r="Z52" s="96"/>
      <c r="AA52" s="96"/>
      <c r="AB52" s="96">
        <v>5.8</v>
      </c>
      <c r="AC52" s="96">
        <f t="shared" si="78"/>
        <v>0.12083081602466614</v>
      </c>
      <c r="AD52" s="40">
        <f t="shared" si="68"/>
        <v>0.1187475260931988</v>
      </c>
      <c r="AE52" s="40">
        <f t="shared" si="69"/>
        <v>-0.12291410595613347</v>
      </c>
      <c r="AF52" s="40">
        <f t="shared" si="70"/>
        <v>0.1187475260931988</v>
      </c>
      <c r="AG52" s="41">
        <v>44412</v>
      </c>
      <c r="AH52" s="461"/>
      <c r="AI52" s="94">
        <v>3000</v>
      </c>
      <c r="AJ52" s="135">
        <f t="shared" si="79"/>
        <v>0</v>
      </c>
      <c r="AK52" s="94">
        <f t="shared" si="80"/>
        <v>0</v>
      </c>
      <c r="AL52" s="94"/>
      <c r="AM52" s="94"/>
      <c r="AN52" s="94"/>
      <c r="AO52" s="94"/>
      <c r="AP52" s="135">
        <v>13</v>
      </c>
      <c r="AQ52" s="135">
        <f t="shared" si="81"/>
        <v>0.43333333333333335</v>
      </c>
      <c r="AR52" s="40">
        <f t="shared" si="82"/>
        <v>0.43333333333333335</v>
      </c>
      <c r="AS52" s="40">
        <f t="shared" si="83"/>
        <v>-0.43333333333333335</v>
      </c>
      <c r="AT52" s="40">
        <f t="shared" si="84"/>
        <v>0.43333333333333335</v>
      </c>
      <c r="AU52" s="43">
        <f t="shared" si="71"/>
        <v>0.9555555555555556</v>
      </c>
      <c r="AV52" s="44">
        <f t="shared" si="72"/>
        <v>0.55208085942653218</v>
      </c>
      <c r="AW52" s="95">
        <f t="shared" si="73"/>
        <v>0.5777590389347429</v>
      </c>
      <c r="AX52" s="46">
        <f t="shared" si="74"/>
        <v>3.4616507319168006</v>
      </c>
      <c r="AY52" s="72" t="str">
        <f t="shared" si="75"/>
        <v>DOS AÑOS</v>
      </c>
      <c r="AZ52" s="437"/>
      <c r="BA52" s="440"/>
      <c r="BB52" s="478"/>
      <c r="BC52" s="119"/>
      <c r="BD52" s="636"/>
    </row>
    <row r="53" spans="1:56" s="73" customFormat="1" x14ac:dyDescent="0.25">
      <c r="A53" s="333"/>
      <c r="B53" s="600"/>
      <c r="C53" s="682"/>
      <c r="D53" s="490"/>
      <c r="E53" s="490"/>
      <c r="F53" s="493"/>
      <c r="G53" s="435"/>
      <c r="H53" s="435"/>
      <c r="I53" s="245">
        <v>2</v>
      </c>
      <c r="J53" s="444"/>
      <c r="K53" s="277" t="s">
        <v>69</v>
      </c>
      <c r="L53" s="563"/>
      <c r="M53" s="248"/>
      <c r="N53" s="496"/>
      <c r="O53" s="248"/>
      <c r="P53" s="496"/>
      <c r="Q53" s="37">
        <v>5802.8</v>
      </c>
      <c r="R53" s="37">
        <v>3999</v>
      </c>
      <c r="S53" s="38">
        <v>44063</v>
      </c>
      <c r="T53" s="447"/>
      <c r="U53" s="96">
        <v>5810</v>
      </c>
      <c r="V53" s="96">
        <f t="shared" si="76"/>
        <v>7.1999999999998181</v>
      </c>
      <c r="W53" s="96">
        <f t="shared" si="77"/>
        <v>0.12407803129523365</v>
      </c>
      <c r="X53" s="96"/>
      <c r="Y53" s="96"/>
      <c r="Z53" s="96"/>
      <c r="AA53" s="96"/>
      <c r="AB53" s="96">
        <v>7.8</v>
      </c>
      <c r="AC53" s="96">
        <f t="shared" si="78"/>
        <v>0.13441786723650651</v>
      </c>
      <c r="AD53" s="40">
        <f t="shared" si="68"/>
        <v>0.25849589853174015</v>
      </c>
      <c r="AE53" s="40">
        <f t="shared" si="69"/>
        <v>-1.0339835941272857E-2</v>
      </c>
      <c r="AF53" s="40">
        <f t="shared" si="70"/>
        <v>0.25849589853174015</v>
      </c>
      <c r="AG53" s="41">
        <v>44422</v>
      </c>
      <c r="AH53" s="461"/>
      <c r="AI53" s="94">
        <v>4000</v>
      </c>
      <c r="AJ53" s="135">
        <f t="shared" si="79"/>
        <v>1</v>
      </c>
      <c r="AK53" s="94">
        <f t="shared" si="80"/>
        <v>2.5006251562890724E-2</v>
      </c>
      <c r="AL53" s="94"/>
      <c r="AM53" s="94"/>
      <c r="AN53" s="94"/>
      <c r="AO53" s="94"/>
      <c r="AP53" s="135">
        <v>17</v>
      </c>
      <c r="AQ53" s="135">
        <f t="shared" si="81"/>
        <v>0.42510627656914229</v>
      </c>
      <c r="AR53" s="40">
        <f t="shared" si="82"/>
        <v>0.45011252813203301</v>
      </c>
      <c r="AS53" s="40">
        <f t="shared" si="83"/>
        <v>-0.40010002500625158</v>
      </c>
      <c r="AT53" s="40">
        <f t="shared" si="84"/>
        <v>0.45011252813203301</v>
      </c>
      <c r="AU53" s="43">
        <f t="shared" si="71"/>
        <v>0.98333333333333328</v>
      </c>
      <c r="AV53" s="44">
        <f t="shared" si="72"/>
        <v>0.70860842666377311</v>
      </c>
      <c r="AW53" s="95">
        <f t="shared" si="73"/>
        <v>0.72061873898010831</v>
      </c>
      <c r="AX53" s="46">
        <f t="shared" si="74"/>
        <v>2.7753927171399955</v>
      </c>
      <c r="AY53" s="72" t="str">
        <f t="shared" si="75"/>
        <v>DOS AÑOS</v>
      </c>
      <c r="AZ53" s="437"/>
      <c r="BA53" s="440"/>
      <c r="BB53" s="478"/>
      <c r="BC53" s="119"/>
      <c r="BD53" s="636"/>
    </row>
    <row r="54" spans="1:56" s="73" customFormat="1" x14ac:dyDescent="0.25">
      <c r="A54" s="333"/>
      <c r="B54" s="600"/>
      <c r="C54" s="682"/>
      <c r="D54" s="490"/>
      <c r="E54" s="490"/>
      <c r="F54" s="493"/>
      <c r="G54" s="435"/>
      <c r="H54" s="435"/>
      <c r="I54" s="245">
        <v>2</v>
      </c>
      <c r="J54" s="444"/>
      <c r="K54" s="277" t="s">
        <v>69</v>
      </c>
      <c r="L54" s="563"/>
      <c r="M54" s="248"/>
      <c r="N54" s="496"/>
      <c r="O54" s="248"/>
      <c r="P54" s="496"/>
      <c r="Q54" s="37">
        <v>6802.9</v>
      </c>
      <c r="R54" s="37">
        <v>7001</v>
      </c>
      <c r="S54" s="38">
        <v>44063</v>
      </c>
      <c r="T54" s="447"/>
      <c r="U54" s="96">
        <v>6810</v>
      </c>
      <c r="V54" s="96">
        <f t="shared" si="76"/>
        <v>7.1000000000003638</v>
      </c>
      <c r="W54" s="96">
        <f t="shared" si="77"/>
        <v>0.10436725514119514</v>
      </c>
      <c r="X54" s="96"/>
      <c r="Y54" s="96"/>
      <c r="Z54" s="96"/>
      <c r="AA54" s="96"/>
      <c r="AB54" s="96">
        <v>7.8</v>
      </c>
      <c r="AC54" s="96">
        <f t="shared" si="78"/>
        <v>0.1146569845213071</v>
      </c>
      <c r="AD54" s="40">
        <f t="shared" si="68"/>
        <v>0.21902423966250223</v>
      </c>
      <c r="AE54" s="40">
        <f t="shared" si="69"/>
        <v>-1.0289729380111953E-2</v>
      </c>
      <c r="AF54" s="40">
        <f t="shared" si="70"/>
        <v>0.21902423966250223</v>
      </c>
      <c r="AG54" s="41">
        <v>44422</v>
      </c>
      <c r="AH54" s="461"/>
      <c r="AI54" s="94">
        <v>7000</v>
      </c>
      <c r="AJ54" s="135">
        <f t="shared" si="79"/>
        <v>-1</v>
      </c>
      <c r="AK54" s="94">
        <f t="shared" si="80"/>
        <v>-1.4283673760891302E-2</v>
      </c>
      <c r="AL54" s="94"/>
      <c r="AM54" s="94"/>
      <c r="AN54" s="94"/>
      <c r="AO54" s="94"/>
      <c r="AP54" s="135">
        <v>29</v>
      </c>
      <c r="AQ54" s="135">
        <f t="shared" si="81"/>
        <v>0.41422653906584772</v>
      </c>
      <c r="AR54" s="40">
        <f t="shared" si="82"/>
        <v>0.39994286530495643</v>
      </c>
      <c r="AS54" s="40">
        <f t="shared" si="83"/>
        <v>-0.42851021282673901</v>
      </c>
      <c r="AT54" s="40">
        <f t="shared" si="84"/>
        <v>0.39994286530495643</v>
      </c>
      <c r="AU54" s="43">
        <f t="shared" si="71"/>
        <v>0.98333333333333328</v>
      </c>
      <c r="AV54" s="44">
        <f t="shared" si="72"/>
        <v>0.61896710496745866</v>
      </c>
      <c r="AW54" s="95">
        <f t="shared" si="73"/>
        <v>0.62945807284826305</v>
      </c>
      <c r="AX54" s="46">
        <f t="shared" si="74"/>
        <v>3.1773363251187017</v>
      </c>
      <c r="AY54" s="72" t="str">
        <f t="shared" si="75"/>
        <v>DOS AÑOS</v>
      </c>
      <c r="AZ54" s="437"/>
      <c r="BA54" s="440"/>
      <c r="BB54" s="478"/>
      <c r="BC54" s="119"/>
      <c r="BD54" s="636"/>
    </row>
    <row r="55" spans="1:56" s="73" customFormat="1" x14ac:dyDescent="0.25">
      <c r="A55" s="333"/>
      <c r="B55" s="600"/>
      <c r="C55" s="682"/>
      <c r="D55" s="490"/>
      <c r="E55" s="490"/>
      <c r="F55" s="493"/>
      <c r="G55" s="435"/>
      <c r="H55" s="435"/>
      <c r="I55" s="245">
        <v>2</v>
      </c>
      <c r="J55" s="444"/>
      <c r="K55" s="277" t="s">
        <v>69</v>
      </c>
      <c r="L55" s="563"/>
      <c r="M55" s="248"/>
      <c r="N55" s="496"/>
      <c r="O55" s="248"/>
      <c r="P55" s="496"/>
      <c r="Q55" s="37">
        <v>7807.7</v>
      </c>
      <c r="R55" s="37"/>
      <c r="S55" s="38">
        <v>44063</v>
      </c>
      <c r="T55" s="447"/>
      <c r="U55" s="96">
        <v>7800</v>
      </c>
      <c r="V55" s="96">
        <f t="shared" si="76"/>
        <v>-7.6999999999998181</v>
      </c>
      <c r="W55" s="96">
        <f t="shared" si="77"/>
        <v>-9.8620592492024775E-2</v>
      </c>
      <c r="X55" s="96"/>
      <c r="Y55" s="96"/>
      <c r="Z55" s="96"/>
      <c r="AA55" s="96"/>
      <c r="AB55" s="96">
        <v>7.8</v>
      </c>
      <c r="AC55" s="96">
        <f t="shared" si="78"/>
        <v>9.990137940750797E-2</v>
      </c>
      <c r="AD55" s="40">
        <f t="shared" si="68"/>
        <v>1.2807869154831952E-3</v>
      </c>
      <c r="AE55" s="40">
        <f t="shared" si="69"/>
        <v>-0.19852197189953275</v>
      </c>
      <c r="AF55" s="40">
        <f t="shared" si="70"/>
        <v>1.2807869154831952E-3</v>
      </c>
      <c r="AG55" s="41">
        <v>44422</v>
      </c>
      <c r="AH55" s="461"/>
      <c r="AI55" s="94"/>
      <c r="AJ55" s="135" t="s">
        <v>69</v>
      </c>
      <c r="AK55" s="94" t="s">
        <v>69</v>
      </c>
      <c r="AL55" s="94"/>
      <c r="AM55" s="94"/>
      <c r="AN55" s="94"/>
      <c r="AO55" s="94"/>
      <c r="AP55" s="135" t="s">
        <v>69</v>
      </c>
      <c r="AQ55" s="135" t="s">
        <v>69</v>
      </c>
      <c r="AR55" s="40"/>
      <c r="AS55" s="40"/>
      <c r="AT55" s="40">
        <v>0</v>
      </c>
      <c r="AU55" s="43">
        <f t="shared" ref="AU55" si="85">YEARFRAC(S55,AG55)</f>
        <v>0.98333333333333328</v>
      </c>
      <c r="AV55" s="44">
        <f t="shared" ref="AV55" si="86">ABS(AT55+AF55)</f>
        <v>1.2807869154831952E-3</v>
      </c>
      <c r="AW55" s="95">
        <f t="shared" ref="AW55" si="87">(AV55/AU55)</f>
        <v>1.3024951682879952E-3</v>
      </c>
      <c r="AX55" s="46">
        <f t="shared" ref="AX55" si="88">(I55/AW55)</f>
        <v>1535.5143333305473</v>
      </c>
      <c r="AY55" s="72" t="str">
        <f t="shared" ref="AY55" si="89">IF(AX55&lt;=1,"UN AÑO",IF(AX55&gt;=1,"DOS AÑOS"))</f>
        <v>DOS AÑOS</v>
      </c>
      <c r="AZ55" s="437"/>
      <c r="BA55" s="440"/>
      <c r="BB55" s="478"/>
      <c r="BC55" s="119"/>
      <c r="BD55" s="636"/>
    </row>
    <row r="56" spans="1:56" s="73" customFormat="1" x14ac:dyDescent="0.25">
      <c r="A56" s="333"/>
      <c r="B56" s="600"/>
      <c r="C56" s="682"/>
      <c r="D56" s="490"/>
      <c r="E56" s="490"/>
      <c r="F56" s="493"/>
      <c r="G56" s="435"/>
      <c r="H56" s="435"/>
      <c r="I56" s="245">
        <v>2</v>
      </c>
      <c r="J56" s="444"/>
      <c r="K56" s="277" t="s">
        <v>69</v>
      </c>
      <c r="L56" s="563"/>
      <c r="M56" s="248" t="s">
        <v>69</v>
      </c>
      <c r="N56" s="496"/>
      <c r="O56" s="248" t="s">
        <v>69</v>
      </c>
      <c r="P56" s="496"/>
      <c r="Q56" s="37">
        <v>9009.1</v>
      </c>
      <c r="R56" s="37">
        <v>9004</v>
      </c>
      <c r="S56" s="38">
        <v>44063</v>
      </c>
      <c r="T56" s="447"/>
      <c r="U56" s="96">
        <v>9000</v>
      </c>
      <c r="V56" s="96">
        <f t="shared" si="76"/>
        <v>-9.1000000000003638</v>
      </c>
      <c r="W56" s="96">
        <f t="shared" si="77"/>
        <v>-0.10100897980930797</v>
      </c>
      <c r="X56" s="96" t="s">
        <v>69</v>
      </c>
      <c r="Y56" s="96" t="s">
        <v>69</v>
      </c>
      <c r="Z56" s="96" t="s">
        <v>69</v>
      </c>
      <c r="AA56" s="96" t="s">
        <v>69</v>
      </c>
      <c r="AB56" s="96">
        <v>7.8</v>
      </c>
      <c r="AC56" s="96">
        <f t="shared" si="78"/>
        <v>8.6579125550831929E-2</v>
      </c>
      <c r="AD56" s="40">
        <f>(W56+AC56)</f>
        <v>-1.4429854258476038E-2</v>
      </c>
      <c r="AE56" s="40">
        <f t="shared" ref="AE56:AE167" si="90">(W56-AC56)</f>
        <v>-0.1875881053601399</v>
      </c>
      <c r="AF56" s="40">
        <f t="shared" ref="AF56:AF57" si="91">MAX(AD56:AE56)</f>
        <v>-1.4429854258476038E-2</v>
      </c>
      <c r="AG56" s="41">
        <v>44422</v>
      </c>
      <c r="AH56" s="461"/>
      <c r="AI56" s="94">
        <v>9000</v>
      </c>
      <c r="AJ56" s="135">
        <f t="shared" si="79"/>
        <v>-4</v>
      </c>
      <c r="AK56" s="94">
        <f t="shared" si="80"/>
        <v>-4.4424700133274098E-2</v>
      </c>
      <c r="AL56" s="94" t="s">
        <v>69</v>
      </c>
      <c r="AM56" s="94" t="s">
        <v>69</v>
      </c>
      <c r="AN56" s="94" t="s">
        <v>69</v>
      </c>
      <c r="AO56" s="94" t="s">
        <v>69</v>
      </c>
      <c r="AP56" s="94">
        <v>37</v>
      </c>
      <c r="AQ56" s="304">
        <f t="shared" si="81"/>
        <v>0.41092847623278544</v>
      </c>
      <c r="AR56" s="40">
        <f t="shared" ref="AR56" si="92">(AK56+AQ56)</f>
        <v>0.36650377609951135</v>
      </c>
      <c r="AS56" s="40">
        <f t="shared" ref="AS56" si="93">(AK56-AQ56)</f>
        <v>-0.45535317636605954</v>
      </c>
      <c r="AT56" s="40">
        <f t="shared" ref="AT56" si="94">MAX(AR56:AS56)</f>
        <v>0.36650377609951135</v>
      </c>
      <c r="AU56" s="43">
        <f t="shared" ref="AU56" si="95">YEARFRAC(S56,AG56)</f>
        <v>0.98333333333333328</v>
      </c>
      <c r="AV56" s="44">
        <f t="shared" ref="AV56" si="96">ABS(AT56+AF56)</f>
        <v>0.35207392184103531</v>
      </c>
      <c r="AW56" s="95">
        <f t="shared" ref="AW56" si="97">(AV56/AU56)</f>
        <v>0.35804127644851053</v>
      </c>
      <c r="AX56" s="46">
        <f t="shared" ref="AX56" si="98">(I56/AW56)</f>
        <v>5.5859481337974106</v>
      </c>
      <c r="AY56" s="72" t="str">
        <f t="shared" ref="AY56" si="99">IF(AX56&lt;=1,"UN AÑO",IF(AX56&gt;=1,"DOS AÑOS"))</f>
        <v>DOS AÑOS</v>
      </c>
      <c r="AZ56" s="437"/>
      <c r="BA56" s="440"/>
      <c r="BB56" s="478"/>
      <c r="BC56" s="119">
        <f>MIN(AX21:AX110)</f>
        <v>0.90648448184517649</v>
      </c>
      <c r="BD56" s="636"/>
    </row>
    <row r="57" spans="1:56" s="322" customFormat="1" ht="15.75" thickBot="1" x14ac:dyDescent="0.3">
      <c r="A57" s="333"/>
      <c r="B57" s="601"/>
      <c r="C57" s="683"/>
      <c r="D57" s="491"/>
      <c r="E57" s="491"/>
      <c r="F57" s="494"/>
      <c r="G57" s="442"/>
      <c r="H57" s="442"/>
      <c r="I57" s="246">
        <v>2</v>
      </c>
      <c r="J57" s="445"/>
      <c r="K57" s="280" t="s">
        <v>69</v>
      </c>
      <c r="L57" s="564"/>
      <c r="M57" s="249" t="s">
        <v>69</v>
      </c>
      <c r="N57" s="497"/>
      <c r="O57" s="249" t="s">
        <v>69</v>
      </c>
      <c r="P57" s="497"/>
      <c r="Q57" s="47">
        <v>9804.1</v>
      </c>
      <c r="R57" s="47" t="s">
        <v>23</v>
      </c>
      <c r="S57" s="111">
        <v>44063</v>
      </c>
      <c r="T57" s="448"/>
      <c r="U57" s="112">
        <v>9800</v>
      </c>
      <c r="V57" s="112">
        <f t="shared" si="76"/>
        <v>-4.1000000000003638</v>
      </c>
      <c r="W57" s="112">
        <f t="shared" si="77"/>
        <v>-4.1819238889855913E-2</v>
      </c>
      <c r="X57" s="112" t="s">
        <v>69</v>
      </c>
      <c r="Y57" s="112" t="s">
        <v>69</v>
      </c>
      <c r="Z57" s="112" t="s">
        <v>69</v>
      </c>
      <c r="AA57" s="112" t="s">
        <v>69</v>
      </c>
      <c r="AB57" s="112">
        <v>7.8</v>
      </c>
      <c r="AC57" s="112">
        <f t="shared" si="78"/>
        <v>7.955855203435297E-2</v>
      </c>
      <c r="AD57" s="49">
        <f t="shared" ref="AD57:AD159" si="100">(W57+AC57)</f>
        <v>3.7739313144497057E-2</v>
      </c>
      <c r="AE57" s="49">
        <f t="shared" si="90"/>
        <v>-0.12137779092420889</v>
      </c>
      <c r="AF57" s="49">
        <f t="shared" si="91"/>
        <v>3.7739313144497057E-2</v>
      </c>
      <c r="AG57" s="114">
        <v>44422</v>
      </c>
      <c r="AH57" s="462"/>
      <c r="AI57" s="115"/>
      <c r="AJ57" s="135" t="s">
        <v>69</v>
      </c>
      <c r="AK57" s="115" t="s">
        <v>69</v>
      </c>
      <c r="AL57" s="115" t="s">
        <v>69</v>
      </c>
      <c r="AM57" s="115" t="s">
        <v>69</v>
      </c>
      <c r="AN57" s="115" t="s">
        <v>69</v>
      </c>
      <c r="AO57" s="115" t="s">
        <v>69</v>
      </c>
      <c r="AP57" s="115" t="s">
        <v>69</v>
      </c>
      <c r="AQ57" s="138" t="s">
        <v>69</v>
      </c>
      <c r="AR57" s="49" t="s">
        <v>69</v>
      </c>
      <c r="AS57" s="49" t="s">
        <v>69</v>
      </c>
      <c r="AT57" s="49">
        <f t="shared" ref="AT57:AT59" si="101">MAX(AR57:AS57)</f>
        <v>0</v>
      </c>
      <c r="AU57" s="51">
        <f t="shared" si="4"/>
        <v>0.98333333333333328</v>
      </c>
      <c r="AV57" s="52">
        <f t="shared" ref="AV57:AV181" si="102">ABS(AT57-AF57)</f>
        <v>3.7739313144497057E-2</v>
      </c>
      <c r="AW57" s="116">
        <f t="shared" si="61"/>
        <v>3.8378962519827517E-2</v>
      </c>
      <c r="AX57" s="53">
        <f t="shared" si="6"/>
        <v>52.111882882888011</v>
      </c>
      <c r="AY57" s="120" t="str">
        <f t="shared" si="7"/>
        <v>DOS AÑOS</v>
      </c>
      <c r="AZ57" s="438"/>
      <c r="BA57" s="441"/>
      <c r="BB57" s="479"/>
      <c r="BC57" s="125"/>
      <c r="BD57" s="637"/>
    </row>
    <row r="58" spans="1:56" s="68" customFormat="1" x14ac:dyDescent="0.25">
      <c r="A58" s="333"/>
      <c r="B58" s="598" t="s">
        <v>181</v>
      </c>
      <c r="C58" s="611" t="s">
        <v>10</v>
      </c>
      <c r="D58" s="489" t="s">
        <v>50</v>
      </c>
      <c r="E58" s="489" t="s">
        <v>55</v>
      </c>
      <c r="F58" s="492">
        <v>170228000012</v>
      </c>
      <c r="G58" s="434" t="s">
        <v>15</v>
      </c>
      <c r="H58" s="434" t="s">
        <v>22</v>
      </c>
      <c r="I58" s="328">
        <v>2</v>
      </c>
      <c r="J58" s="443" t="s">
        <v>20</v>
      </c>
      <c r="K58" s="319" t="s">
        <v>69</v>
      </c>
      <c r="L58" s="561" t="s">
        <v>20</v>
      </c>
      <c r="M58" s="285" t="s">
        <v>69</v>
      </c>
      <c r="N58" s="495" t="s">
        <v>20</v>
      </c>
      <c r="O58" s="285" t="s">
        <v>69</v>
      </c>
      <c r="P58" s="495" t="s">
        <v>20</v>
      </c>
      <c r="Q58" s="57">
        <v>0</v>
      </c>
      <c r="R58" s="57">
        <v>399.4</v>
      </c>
      <c r="S58" s="58">
        <v>44063</v>
      </c>
      <c r="T58" s="446" t="s">
        <v>182</v>
      </c>
      <c r="U58" s="133"/>
      <c r="V58" s="133"/>
      <c r="W58" s="133"/>
      <c r="X58" s="133" t="s">
        <v>69</v>
      </c>
      <c r="Y58" s="133" t="s">
        <v>69</v>
      </c>
      <c r="Z58" s="133" t="s">
        <v>69</v>
      </c>
      <c r="AA58" s="133" t="s">
        <v>69</v>
      </c>
      <c r="AB58" s="133"/>
      <c r="AC58" s="133"/>
      <c r="AD58" s="59"/>
      <c r="AE58" s="59"/>
      <c r="AF58" s="59"/>
      <c r="AG58" s="60">
        <v>44422</v>
      </c>
      <c r="AH58" s="460">
        <v>66144</v>
      </c>
      <c r="AI58" s="84">
        <v>400</v>
      </c>
      <c r="AJ58" s="135">
        <f>AI58-R58</f>
        <v>0.60000000000002274</v>
      </c>
      <c r="AK58" s="84">
        <f>(AJ58*100)/R58</f>
        <v>0.15022533800701621</v>
      </c>
      <c r="AL58" s="84" t="s">
        <v>69</v>
      </c>
      <c r="AM58" s="84" t="s">
        <v>69</v>
      </c>
      <c r="AN58" s="84" t="s">
        <v>69</v>
      </c>
      <c r="AO58" s="84" t="s">
        <v>69</v>
      </c>
      <c r="AP58" s="134">
        <v>5.9</v>
      </c>
      <c r="AQ58" s="134">
        <f>(AP58*100)/R58</f>
        <v>1.4772158237356035</v>
      </c>
      <c r="AR58" s="59">
        <f>(AK58+AQ58)</f>
        <v>1.6274411617426197</v>
      </c>
      <c r="AS58" s="59">
        <f>(AK58-AQ58)</f>
        <v>-1.3269904857285872</v>
      </c>
      <c r="AT58" s="59">
        <f t="shared" si="101"/>
        <v>1.6274411617426197</v>
      </c>
      <c r="AU58" s="62">
        <f t="shared" ref="AU58:AU82" si="103">YEARFRAC(S58,AG58)</f>
        <v>0.98333333333333328</v>
      </c>
      <c r="AV58" s="63">
        <f>ABS(AT58+AF58)</f>
        <v>1.6274411617426197</v>
      </c>
      <c r="AW58" s="85">
        <f t="shared" ref="AW58:AW82" si="104">(AV58/AU58)</f>
        <v>1.655024910246732</v>
      </c>
      <c r="AX58" s="65">
        <f t="shared" ref="AX58" si="105">(I58/AW58)</f>
        <v>1.2084410256410212</v>
      </c>
      <c r="AY58" s="66" t="str">
        <f t="shared" ref="AY58:AY92" si="106">IF(AX58&lt;=1,"UN AÑO",IF(AX58&gt;=1,"DOS AÑOS"))</f>
        <v>DOS AÑOS</v>
      </c>
      <c r="AZ58" s="436" t="s">
        <v>10</v>
      </c>
      <c r="BA58" s="439" t="s">
        <v>56</v>
      </c>
      <c r="BB58" s="477" t="s">
        <v>34</v>
      </c>
      <c r="BC58" s="124"/>
      <c r="BD58" s="634" t="e">
        <f>#REF!</f>
        <v>#REF!</v>
      </c>
    </row>
    <row r="59" spans="1:56" s="311" customFormat="1" x14ac:dyDescent="0.25">
      <c r="A59" s="333"/>
      <c r="B59" s="599"/>
      <c r="C59" s="612"/>
      <c r="D59" s="606"/>
      <c r="E59" s="606"/>
      <c r="F59" s="610"/>
      <c r="G59" s="525"/>
      <c r="H59" s="525"/>
      <c r="I59" s="329">
        <v>2.4</v>
      </c>
      <c r="J59" s="560"/>
      <c r="K59" s="325"/>
      <c r="L59" s="562"/>
      <c r="M59" s="314"/>
      <c r="N59" s="550"/>
      <c r="O59" s="314"/>
      <c r="P59" s="550"/>
      <c r="Q59" s="253">
        <v>500</v>
      </c>
      <c r="R59" s="37">
        <v>500.6</v>
      </c>
      <c r="S59" s="255">
        <v>44063</v>
      </c>
      <c r="T59" s="565"/>
      <c r="U59" s="326">
        <v>500</v>
      </c>
      <c r="V59" s="326">
        <f>U59-Q59</f>
        <v>0</v>
      </c>
      <c r="W59" s="326">
        <f>V59*100/Q59</f>
        <v>0</v>
      </c>
      <c r="X59" s="326"/>
      <c r="Y59" s="326"/>
      <c r="Z59" s="326"/>
      <c r="AA59" s="326"/>
      <c r="AB59" s="326">
        <v>5.8</v>
      </c>
      <c r="AC59" s="326">
        <f>AB59*100/Q59</f>
        <v>1.1599999999999999</v>
      </c>
      <c r="AD59" s="257">
        <f>(W59+AC59)</f>
        <v>1.1599999999999999</v>
      </c>
      <c r="AE59" s="257">
        <f>(W59-AC59)</f>
        <v>-1.1599999999999999</v>
      </c>
      <c r="AF59" s="257">
        <f t="shared" ref="AF59:AF82" si="107">MAX(AD59:AE59)</f>
        <v>1.1599999999999999</v>
      </c>
      <c r="AG59" s="41">
        <v>44422</v>
      </c>
      <c r="AH59" s="456"/>
      <c r="AI59" s="94">
        <v>500</v>
      </c>
      <c r="AJ59" s="135">
        <f t="shared" ref="AJ59" si="108">AI59-R59</f>
        <v>-0.60000000000002274</v>
      </c>
      <c r="AK59" s="94">
        <f>(AJ59*100)/R59</f>
        <v>-0.11985617259289306</v>
      </c>
      <c r="AL59" s="259"/>
      <c r="AM59" s="259"/>
      <c r="AN59" s="259"/>
      <c r="AO59" s="259"/>
      <c r="AP59" s="135">
        <v>6</v>
      </c>
      <c r="AQ59" s="135">
        <f t="shared" ref="AQ59" si="109">(AP59*100)/R59</f>
        <v>1.1985617259288852</v>
      </c>
      <c r="AR59" s="40">
        <f t="shared" ref="AR59" si="110">(AK59+AQ59)</f>
        <v>1.0787055533359922</v>
      </c>
      <c r="AS59" s="40">
        <f t="shared" ref="AS59" si="111">(AK59-AQ59)</f>
        <v>-1.3184178985217783</v>
      </c>
      <c r="AT59" s="40">
        <f t="shared" si="101"/>
        <v>1.0787055533359922</v>
      </c>
      <c r="AU59" s="260">
        <f t="shared" si="103"/>
        <v>0.98333333333333328</v>
      </c>
      <c r="AV59" s="261">
        <f>ABS(AT59+AF59)</f>
        <v>2.2387055533359921</v>
      </c>
      <c r="AW59" s="262">
        <f t="shared" si="104"/>
        <v>2.2766497152569412</v>
      </c>
      <c r="AX59" s="263">
        <f>(I59/AW59)</f>
        <v>1.0541806163312819</v>
      </c>
      <c r="AY59" s="295" t="str">
        <f t="shared" si="106"/>
        <v>DOS AÑOS</v>
      </c>
      <c r="AZ59" s="566"/>
      <c r="BA59" s="567"/>
      <c r="BB59" s="568"/>
      <c r="BC59" s="327"/>
      <c r="BD59" s="635"/>
    </row>
    <row r="60" spans="1:56" s="73" customFormat="1" x14ac:dyDescent="0.25">
      <c r="A60" s="333"/>
      <c r="B60" s="600"/>
      <c r="C60" s="613"/>
      <c r="D60" s="490"/>
      <c r="E60" s="490"/>
      <c r="F60" s="493"/>
      <c r="G60" s="435"/>
      <c r="H60" s="435"/>
      <c r="I60" s="288">
        <v>2</v>
      </c>
      <c r="J60" s="444"/>
      <c r="K60" s="320" t="s">
        <v>69</v>
      </c>
      <c r="L60" s="563"/>
      <c r="M60" s="286"/>
      <c r="N60" s="496"/>
      <c r="O60" s="286"/>
      <c r="P60" s="496"/>
      <c r="Q60" s="37">
        <v>700</v>
      </c>
      <c r="R60" s="37"/>
      <c r="S60" s="38">
        <v>44063</v>
      </c>
      <c r="T60" s="447"/>
      <c r="U60" s="96">
        <v>700</v>
      </c>
      <c r="V60" s="96">
        <f>U60-Q60</f>
        <v>0</v>
      </c>
      <c r="W60" s="96">
        <f>V60*100/Q60</f>
        <v>0</v>
      </c>
      <c r="X60" s="96"/>
      <c r="Y60" s="96"/>
      <c r="Z60" s="96"/>
      <c r="AA60" s="96"/>
      <c r="AB60" s="96">
        <v>5.8</v>
      </c>
      <c r="AC60" s="96">
        <f>AB60*100/Q60</f>
        <v>0.82857142857142863</v>
      </c>
      <c r="AD60" s="40">
        <f t="shared" ref="AD60:AD68" si="112">(W60+AC60)</f>
        <v>0.82857142857142863</v>
      </c>
      <c r="AE60" s="40">
        <f t="shared" ref="AE60:AE70" si="113">(W60-AC60)</f>
        <v>-0.82857142857142863</v>
      </c>
      <c r="AF60" s="40">
        <f t="shared" si="107"/>
        <v>0.82857142857142863</v>
      </c>
      <c r="AG60" s="41">
        <v>44422</v>
      </c>
      <c r="AH60" s="461"/>
      <c r="AI60" s="94"/>
      <c r="AJ60" s="135"/>
      <c r="AK60" s="94"/>
      <c r="AL60" s="94"/>
      <c r="AM60" s="94"/>
      <c r="AN60" s="94"/>
      <c r="AO60" s="94"/>
      <c r="AP60" s="135"/>
      <c r="AQ60" s="135"/>
      <c r="AR60" s="40"/>
      <c r="AS60" s="40"/>
      <c r="AT60" s="40"/>
      <c r="AU60" s="43">
        <f t="shared" si="103"/>
        <v>0.98333333333333328</v>
      </c>
      <c r="AV60" s="44">
        <f t="shared" ref="AV60:AV69" si="114">ABS(AT60+AF60)</f>
        <v>0.82857142857142863</v>
      </c>
      <c r="AW60" s="95">
        <f t="shared" si="104"/>
        <v>0.84261501210653766</v>
      </c>
      <c r="AX60" s="46">
        <f t="shared" ref="AX60:AX82" si="115">(I60/AW60)</f>
        <v>2.3735632183908044</v>
      </c>
      <c r="AY60" s="72" t="str">
        <f t="shared" si="106"/>
        <v>DOS AÑOS</v>
      </c>
      <c r="AZ60" s="437"/>
      <c r="BA60" s="440"/>
      <c r="BB60" s="478"/>
      <c r="BC60" s="119"/>
      <c r="BD60" s="636"/>
    </row>
    <row r="61" spans="1:56" s="73" customFormat="1" x14ac:dyDescent="0.25">
      <c r="A61" s="333"/>
      <c r="B61" s="600"/>
      <c r="C61" s="613"/>
      <c r="D61" s="490"/>
      <c r="E61" s="490"/>
      <c r="F61" s="493"/>
      <c r="G61" s="435"/>
      <c r="H61" s="435"/>
      <c r="I61" s="288">
        <v>2</v>
      </c>
      <c r="J61" s="444"/>
      <c r="K61" s="320" t="s">
        <v>69</v>
      </c>
      <c r="L61" s="563"/>
      <c r="M61" s="286"/>
      <c r="N61" s="496"/>
      <c r="O61" s="286"/>
      <c r="P61" s="496"/>
      <c r="Q61" s="37">
        <v>900</v>
      </c>
      <c r="R61" s="37">
        <v>800.7</v>
      </c>
      <c r="S61" s="38">
        <v>44063</v>
      </c>
      <c r="T61" s="447"/>
      <c r="U61" s="96">
        <v>900</v>
      </c>
      <c r="V61" s="96">
        <f t="shared" ref="V61:V70" si="116">U61-Q61</f>
        <v>0</v>
      </c>
      <c r="W61" s="96">
        <f t="shared" ref="W61:W70" si="117">V61*100/Q61</f>
        <v>0</v>
      </c>
      <c r="X61" s="96"/>
      <c r="Y61" s="96"/>
      <c r="Z61" s="96"/>
      <c r="AA61" s="96"/>
      <c r="AB61" s="96">
        <v>5.8</v>
      </c>
      <c r="AC61" s="96">
        <f t="shared" ref="AC61:AC70" si="118">AB61*100/Q61</f>
        <v>0.64444444444444449</v>
      </c>
      <c r="AD61" s="40">
        <f t="shared" si="112"/>
        <v>0.64444444444444449</v>
      </c>
      <c r="AE61" s="40">
        <f t="shared" si="113"/>
        <v>-0.64444444444444449</v>
      </c>
      <c r="AF61" s="40">
        <f t="shared" si="107"/>
        <v>0.64444444444444449</v>
      </c>
      <c r="AG61" s="41">
        <v>44422</v>
      </c>
      <c r="AH61" s="461"/>
      <c r="AI61" s="94">
        <v>800</v>
      </c>
      <c r="AJ61" s="135">
        <f t="shared" ref="AJ61:AJ67" si="119">AI61-R61</f>
        <v>-0.70000000000004547</v>
      </c>
      <c r="AK61" s="94">
        <f t="shared" ref="AK61:AK67" si="120">(AJ61*100)/R61</f>
        <v>-8.7423504433626259E-2</v>
      </c>
      <c r="AL61" s="94"/>
      <c r="AM61" s="94"/>
      <c r="AN61" s="94"/>
      <c r="AO61" s="94"/>
      <c r="AP61" s="135">
        <v>6.5</v>
      </c>
      <c r="AQ61" s="135">
        <f t="shared" ref="AQ61:AQ67" si="121">(AP61*100)/R61</f>
        <v>0.81178968402647678</v>
      </c>
      <c r="AR61" s="257">
        <f t="shared" ref="AR61:AR67" si="122">(AK61+AQ61)</f>
        <v>0.72436617959285055</v>
      </c>
      <c r="AS61" s="257">
        <f t="shared" ref="AS61:AS67" si="123">(AK61-AQ61)</f>
        <v>-0.89921318846010301</v>
      </c>
      <c r="AT61" s="257">
        <f t="shared" ref="AT61:AT67" si="124">MAX(AR61:AS61)</f>
        <v>0.72436617959285055</v>
      </c>
      <c r="AU61" s="260">
        <f t="shared" si="103"/>
        <v>0.98333333333333328</v>
      </c>
      <c r="AV61" s="261">
        <f t="shared" si="114"/>
        <v>1.368810624037295</v>
      </c>
      <c r="AW61" s="262">
        <f t="shared" si="104"/>
        <v>1.3920108041057238</v>
      </c>
      <c r="AX61" s="263">
        <f t="shared" si="115"/>
        <v>1.4367704576006288</v>
      </c>
      <c r="AY61" s="295" t="str">
        <f t="shared" si="106"/>
        <v>DOS AÑOS</v>
      </c>
      <c r="AZ61" s="437"/>
      <c r="BA61" s="440"/>
      <c r="BB61" s="478"/>
      <c r="BC61" s="119"/>
      <c r="BD61" s="636"/>
    </row>
    <row r="62" spans="1:56" s="73" customFormat="1" x14ac:dyDescent="0.25">
      <c r="A62" s="333"/>
      <c r="B62" s="600"/>
      <c r="C62" s="613"/>
      <c r="D62" s="490"/>
      <c r="E62" s="490"/>
      <c r="F62" s="493"/>
      <c r="G62" s="435"/>
      <c r="H62" s="435"/>
      <c r="I62" s="288">
        <v>2</v>
      </c>
      <c r="J62" s="444"/>
      <c r="K62" s="320" t="s">
        <v>69</v>
      </c>
      <c r="L62" s="563"/>
      <c r="M62" s="286"/>
      <c r="N62" s="496"/>
      <c r="O62" s="286"/>
      <c r="P62" s="496"/>
      <c r="Q62" s="37">
        <v>1799.7</v>
      </c>
      <c r="R62" s="37">
        <v>997.5</v>
      </c>
      <c r="S62" s="38">
        <v>44063</v>
      </c>
      <c r="T62" s="447"/>
      <c r="U62" s="96">
        <v>1800</v>
      </c>
      <c r="V62" s="96">
        <f t="shared" si="116"/>
        <v>0.29999999999995453</v>
      </c>
      <c r="W62" s="96">
        <f t="shared" si="117"/>
        <v>1.6669444907482053E-2</v>
      </c>
      <c r="X62" s="96"/>
      <c r="Y62" s="96"/>
      <c r="Z62" s="96"/>
      <c r="AA62" s="96"/>
      <c r="AB62" s="96">
        <v>5.8</v>
      </c>
      <c r="AC62" s="96">
        <f t="shared" si="118"/>
        <v>0.32227593487803524</v>
      </c>
      <c r="AD62" s="40">
        <f t="shared" si="112"/>
        <v>0.33894537978551731</v>
      </c>
      <c r="AE62" s="40">
        <f t="shared" si="113"/>
        <v>-0.30560648997055317</v>
      </c>
      <c r="AF62" s="40">
        <f t="shared" si="107"/>
        <v>0.33894537978551731</v>
      </c>
      <c r="AG62" s="41">
        <v>44422</v>
      </c>
      <c r="AH62" s="461"/>
      <c r="AI62" s="94">
        <v>1000</v>
      </c>
      <c r="AJ62" s="135">
        <f t="shared" si="119"/>
        <v>2.5</v>
      </c>
      <c r="AK62" s="94">
        <f t="shared" si="120"/>
        <v>0.25062656641604009</v>
      </c>
      <c r="AL62" s="94"/>
      <c r="AM62" s="94"/>
      <c r="AN62" s="94"/>
      <c r="AO62" s="94"/>
      <c r="AP62" s="135">
        <v>7</v>
      </c>
      <c r="AQ62" s="135">
        <f t="shared" si="121"/>
        <v>0.70175438596491224</v>
      </c>
      <c r="AR62" s="40">
        <f t="shared" si="122"/>
        <v>0.95238095238095233</v>
      </c>
      <c r="AS62" s="40">
        <f t="shared" si="123"/>
        <v>-0.45112781954887216</v>
      </c>
      <c r="AT62" s="40">
        <f t="shared" si="124"/>
        <v>0.95238095238095233</v>
      </c>
      <c r="AU62" s="43">
        <f t="shared" si="103"/>
        <v>0.98333333333333328</v>
      </c>
      <c r="AV62" s="44">
        <f t="shared" si="114"/>
        <v>1.2913263321664696</v>
      </c>
      <c r="AW62" s="95">
        <f t="shared" si="104"/>
        <v>1.313213219152342</v>
      </c>
      <c r="AX62" s="46">
        <f t="shared" si="115"/>
        <v>1.5229819277108463</v>
      </c>
      <c r="AY62" s="72" t="str">
        <f t="shared" si="106"/>
        <v>DOS AÑOS</v>
      </c>
      <c r="AZ62" s="437"/>
      <c r="BA62" s="440"/>
      <c r="BB62" s="478"/>
      <c r="BC62" s="119"/>
      <c r="BD62" s="636"/>
    </row>
    <row r="63" spans="1:56" s="73" customFormat="1" x14ac:dyDescent="0.25">
      <c r="A63" s="333"/>
      <c r="B63" s="600"/>
      <c r="C63" s="613"/>
      <c r="D63" s="490"/>
      <c r="E63" s="490"/>
      <c r="F63" s="493"/>
      <c r="G63" s="435"/>
      <c r="H63" s="435"/>
      <c r="I63" s="288">
        <v>2</v>
      </c>
      <c r="J63" s="444"/>
      <c r="K63" s="320" t="s">
        <v>69</v>
      </c>
      <c r="L63" s="563"/>
      <c r="M63" s="286"/>
      <c r="N63" s="496"/>
      <c r="O63" s="286"/>
      <c r="P63" s="496"/>
      <c r="Q63" s="37">
        <v>2801.2</v>
      </c>
      <c r="R63" s="37">
        <v>1800</v>
      </c>
      <c r="S63" s="38">
        <v>44063</v>
      </c>
      <c r="T63" s="447"/>
      <c r="U63" s="96">
        <v>2800</v>
      </c>
      <c r="V63" s="96">
        <f t="shared" si="116"/>
        <v>-1.1999999999998181</v>
      </c>
      <c r="W63" s="96">
        <f t="shared" si="117"/>
        <v>-4.2838783378545561E-2</v>
      </c>
      <c r="X63" s="96"/>
      <c r="Y63" s="96"/>
      <c r="Z63" s="96"/>
      <c r="AA63" s="96"/>
      <c r="AB63" s="96">
        <v>5.8</v>
      </c>
      <c r="AC63" s="96">
        <f t="shared" si="118"/>
        <v>0.20705411966300158</v>
      </c>
      <c r="AD63" s="40">
        <f t="shared" si="112"/>
        <v>0.164215336284456</v>
      </c>
      <c r="AE63" s="40">
        <f t="shared" si="113"/>
        <v>-0.24989290304154715</v>
      </c>
      <c r="AF63" s="40">
        <f t="shared" si="107"/>
        <v>0.164215336284456</v>
      </c>
      <c r="AG63" s="41">
        <v>44422</v>
      </c>
      <c r="AH63" s="461"/>
      <c r="AI63" s="94">
        <v>1810</v>
      </c>
      <c r="AJ63" s="135">
        <f t="shared" si="119"/>
        <v>10</v>
      </c>
      <c r="AK63" s="94">
        <f t="shared" si="120"/>
        <v>0.55555555555555558</v>
      </c>
      <c r="AL63" s="94"/>
      <c r="AM63" s="94"/>
      <c r="AN63" s="94"/>
      <c r="AO63" s="94"/>
      <c r="AP63" s="135">
        <v>9.1999999999999993</v>
      </c>
      <c r="AQ63" s="135">
        <f t="shared" si="121"/>
        <v>0.51111111111111107</v>
      </c>
      <c r="AR63" s="40">
        <f t="shared" si="122"/>
        <v>1.0666666666666667</v>
      </c>
      <c r="AS63" s="40">
        <f t="shared" si="123"/>
        <v>4.4444444444444509E-2</v>
      </c>
      <c r="AT63" s="40">
        <f t="shared" si="124"/>
        <v>1.0666666666666667</v>
      </c>
      <c r="AU63" s="43">
        <f t="shared" si="103"/>
        <v>0.98333333333333328</v>
      </c>
      <c r="AV63" s="44">
        <f t="shared" si="114"/>
        <v>1.2308820029511227</v>
      </c>
      <c r="AW63" s="95">
        <f t="shared" si="104"/>
        <v>1.2517444097808028</v>
      </c>
      <c r="AX63" s="46">
        <f t="shared" si="115"/>
        <v>1.5977702671348273</v>
      </c>
      <c r="AY63" s="72" t="str">
        <f t="shared" si="106"/>
        <v>DOS AÑOS</v>
      </c>
      <c r="AZ63" s="437"/>
      <c r="BA63" s="440"/>
      <c r="BB63" s="478"/>
      <c r="BC63" s="119"/>
      <c r="BD63" s="636"/>
    </row>
    <row r="64" spans="1:56" s="73" customFormat="1" x14ac:dyDescent="0.25">
      <c r="A64" s="333"/>
      <c r="B64" s="600"/>
      <c r="C64" s="613"/>
      <c r="D64" s="490"/>
      <c r="E64" s="490"/>
      <c r="F64" s="493"/>
      <c r="G64" s="435"/>
      <c r="H64" s="435"/>
      <c r="I64" s="288">
        <v>2</v>
      </c>
      <c r="J64" s="444"/>
      <c r="K64" s="320" t="s">
        <v>69</v>
      </c>
      <c r="L64" s="563"/>
      <c r="M64" s="286"/>
      <c r="N64" s="496"/>
      <c r="O64" s="286"/>
      <c r="P64" s="496"/>
      <c r="Q64" s="37">
        <v>3802.3</v>
      </c>
      <c r="R64" s="37">
        <v>2499</v>
      </c>
      <c r="S64" s="38">
        <v>44063</v>
      </c>
      <c r="T64" s="447"/>
      <c r="U64" s="96">
        <v>3800</v>
      </c>
      <c r="V64" s="96">
        <f t="shared" si="116"/>
        <v>-2.3000000000001819</v>
      </c>
      <c r="W64" s="96">
        <f t="shared" si="117"/>
        <v>-6.0489703600457141E-2</v>
      </c>
      <c r="X64" s="96"/>
      <c r="Y64" s="96"/>
      <c r="Z64" s="96"/>
      <c r="AA64" s="96"/>
      <c r="AB64" s="96">
        <v>5.8</v>
      </c>
      <c r="AC64" s="96">
        <f t="shared" si="118"/>
        <v>0.15253925255766246</v>
      </c>
      <c r="AD64" s="40">
        <f t="shared" si="112"/>
        <v>9.2049548957205324E-2</v>
      </c>
      <c r="AE64" s="40">
        <f t="shared" si="113"/>
        <v>-0.21302895615811959</v>
      </c>
      <c r="AF64" s="40">
        <f t="shared" si="107"/>
        <v>9.2049548957205324E-2</v>
      </c>
      <c r="AG64" s="41">
        <v>44422</v>
      </c>
      <c r="AH64" s="461"/>
      <c r="AI64" s="94">
        <v>2530</v>
      </c>
      <c r="AJ64" s="135">
        <f t="shared" si="119"/>
        <v>31</v>
      </c>
      <c r="AK64" s="94">
        <f t="shared" si="120"/>
        <v>1.2404961984793919</v>
      </c>
      <c r="AL64" s="94"/>
      <c r="AM64" s="94"/>
      <c r="AN64" s="94"/>
      <c r="AO64" s="94"/>
      <c r="AP64" s="135">
        <v>12</v>
      </c>
      <c r="AQ64" s="135">
        <f t="shared" si="121"/>
        <v>0.48019207683073228</v>
      </c>
      <c r="AR64" s="40">
        <f t="shared" si="122"/>
        <v>1.720688275310124</v>
      </c>
      <c r="AS64" s="40">
        <f t="shared" si="123"/>
        <v>0.76030412164865957</v>
      </c>
      <c r="AT64" s="40">
        <f t="shared" si="124"/>
        <v>1.720688275310124</v>
      </c>
      <c r="AU64" s="43">
        <f t="shared" si="103"/>
        <v>0.98333333333333328</v>
      </c>
      <c r="AV64" s="44">
        <f t="shared" si="114"/>
        <v>1.8127378242673293</v>
      </c>
      <c r="AW64" s="95">
        <f t="shared" si="104"/>
        <v>1.8434621941701654</v>
      </c>
      <c r="AX64" s="46">
        <f t="shared" si="115"/>
        <v>1.084915115875376</v>
      </c>
      <c r="AY64" s="72" t="str">
        <f t="shared" si="106"/>
        <v>DOS AÑOS</v>
      </c>
      <c r="AZ64" s="437"/>
      <c r="BA64" s="440"/>
      <c r="BB64" s="478"/>
      <c r="BC64" s="119"/>
      <c r="BD64" s="636"/>
    </row>
    <row r="65" spans="1:56" s="73" customFormat="1" x14ac:dyDescent="0.25">
      <c r="A65" s="333"/>
      <c r="B65" s="600"/>
      <c r="C65" s="613"/>
      <c r="D65" s="490"/>
      <c r="E65" s="490"/>
      <c r="F65" s="493"/>
      <c r="G65" s="435"/>
      <c r="H65" s="435"/>
      <c r="I65" s="288">
        <v>2</v>
      </c>
      <c r="J65" s="444"/>
      <c r="K65" s="320" t="s">
        <v>69</v>
      </c>
      <c r="L65" s="563"/>
      <c r="M65" s="286"/>
      <c r="N65" s="496"/>
      <c r="O65" s="286"/>
      <c r="P65" s="496"/>
      <c r="Q65" s="37">
        <v>4800.1000000000004</v>
      </c>
      <c r="R65" s="37">
        <v>3000</v>
      </c>
      <c r="S65" s="38">
        <v>44063</v>
      </c>
      <c r="T65" s="447"/>
      <c r="U65" s="96">
        <v>4800</v>
      </c>
      <c r="V65" s="96">
        <f t="shared" si="116"/>
        <v>-0.1000000000003638</v>
      </c>
      <c r="W65" s="96">
        <f t="shared" si="117"/>
        <v>-2.0832899314673402E-3</v>
      </c>
      <c r="X65" s="96"/>
      <c r="Y65" s="96"/>
      <c r="Z65" s="96"/>
      <c r="AA65" s="96"/>
      <c r="AB65" s="96">
        <v>5.8</v>
      </c>
      <c r="AC65" s="96">
        <f t="shared" si="118"/>
        <v>0.12083081602466614</v>
      </c>
      <c r="AD65" s="40">
        <f t="shared" si="112"/>
        <v>0.1187475260931988</v>
      </c>
      <c r="AE65" s="40">
        <f t="shared" si="113"/>
        <v>-0.12291410595613347</v>
      </c>
      <c r="AF65" s="40">
        <f t="shared" si="107"/>
        <v>0.1187475260931988</v>
      </c>
      <c r="AG65" s="41">
        <v>44412</v>
      </c>
      <c r="AH65" s="461"/>
      <c r="AI65" s="94">
        <v>3020</v>
      </c>
      <c r="AJ65" s="135">
        <f t="shared" si="119"/>
        <v>20</v>
      </c>
      <c r="AK65" s="94">
        <f t="shared" si="120"/>
        <v>0.66666666666666663</v>
      </c>
      <c r="AL65" s="94"/>
      <c r="AM65" s="94"/>
      <c r="AN65" s="94"/>
      <c r="AO65" s="94"/>
      <c r="AP65" s="135">
        <v>13</v>
      </c>
      <c r="AQ65" s="135">
        <f t="shared" si="121"/>
        <v>0.43333333333333335</v>
      </c>
      <c r="AR65" s="40">
        <f t="shared" si="122"/>
        <v>1.1000000000000001</v>
      </c>
      <c r="AS65" s="40">
        <f t="shared" si="123"/>
        <v>0.23333333333333328</v>
      </c>
      <c r="AT65" s="40">
        <f t="shared" si="124"/>
        <v>1.1000000000000001</v>
      </c>
      <c r="AU65" s="43">
        <f t="shared" si="103"/>
        <v>0.9555555555555556</v>
      </c>
      <c r="AV65" s="44">
        <f t="shared" si="114"/>
        <v>1.2187475260931988</v>
      </c>
      <c r="AW65" s="95">
        <f t="shared" si="104"/>
        <v>1.275433457539394</v>
      </c>
      <c r="AX65" s="46">
        <f t="shared" si="115"/>
        <v>1.5680943511223724</v>
      </c>
      <c r="AY65" s="72" t="str">
        <f t="shared" si="106"/>
        <v>DOS AÑOS</v>
      </c>
      <c r="AZ65" s="437"/>
      <c r="BA65" s="440"/>
      <c r="BB65" s="478"/>
      <c r="BC65" s="119"/>
      <c r="BD65" s="636"/>
    </row>
    <row r="66" spans="1:56" s="73" customFormat="1" x14ac:dyDescent="0.25">
      <c r="A66" s="333"/>
      <c r="B66" s="600"/>
      <c r="C66" s="613"/>
      <c r="D66" s="490"/>
      <c r="E66" s="490"/>
      <c r="F66" s="493"/>
      <c r="G66" s="435"/>
      <c r="H66" s="435"/>
      <c r="I66" s="288">
        <v>2</v>
      </c>
      <c r="J66" s="444"/>
      <c r="K66" s="320" t="s">
        <v>69</v>
      </c>
      <c r="L66" s="563"/>
      <c r="M66" s="286"/>
      <c r="N66" s="496"/>
      <c r="O66" s="286"/>
      <c r="P66" s="496"/>
      <c r="Q66" s="37">
        <v>5802.8</v>
      </c>
      <c r="R66" s="37">
        <v>3999</v>
      </c>
      <c r="S66" s="38">
        <v>44063</v>
      </c>
      <c r="T66" s="447"/>
      <c r="U66" s="96">
        <v>5800</v>
      </c>
      <c r="V66" s="96">
        <f t="shared" si="116"/>
        <v>-2.8000000000001819</v>
      </c>
      <c r="W66" s="96">
        <f t="shared" si="117"/>
        <v>-4.825256772592855E-2</v>
      </c>
      <c r="X66" s="96"/>
      <c r="Y66" s="96"/>
      <c r="Z66" s="96"/>
      <c r="AA66" s="96"/>
      <c r="AB66" s="96">
        <v>7.8</v>
      </c>
      <c r="AC66" s="96">
        <f t="shared" si="118"/>
        <v>0.13441786723650651</v>
      </c>
      <c r="AD66" s="40">
        <f t="shared" si="112"/>
        <v>8.6165299510577956E-2</v>
      </c>
      <c r="AE66" s="40">
        <f t="shared" si="113"/>
        <v>-0.18267043496243507</v>
      </c>
      <c r="AF66" s="40">
        <f t="shared" si="107"/>
        <v>8.6165299510577956E-2</v>
      </c>
      <c r="AG66" s="41">
        <v>44422</v>
      </c>
      <c r="AH66" s="461"/>
      <c r="AI66" s="94">
        <v>4040</v>
      </c>
      <c r="AJ66" s="135">
        <f t="shared" si="119"/>
        <v>41</v>
      </c>
      <c r="AK66" s="94">
        <f t="shared" si="120"/>
        <v>1.0252563140785196</v>
      </c>
      <c r="AL66" s="94"/>
      <c r="AM66" s="94"/>
      <c r="AN66" s="94"/>
      <c r="AO66" s="94"/>
      <c r="AP66" s="135">
        <v>17</v>
      </c>
      <c r="AQ66" s="135">
        <f t="shared" si="121"/>
        <v>0.42510627656914229</v>
      </c>
      <c r="AR66" s="40">
        <f t="shared" si="122"/>
        <v>1.4503625906476618</v>
      </c>
      <c r="AS66" s="40">
        <f t="shared" si="123"/>
        <v>0.60015003750937734</v>
      </c>
      <c r="AT66" s="40">
        <f t="shared" si="124"/>
        <v>1.4503625906476618</v>
      </c>
      <c r="AU66" s="43">
        <f t="shared" si="103"/>
        <v>0.98333333333333328</v>
      </c>
      <c r="AV66" s="44">
        <f t="shared" si="114"/>
        <v>1.5365278901582398</v>
      </c>
      <c r="AW66" s="95">
        <f t="shared" si="104"/>
        <v>1.5625707357541423</v>
      </c>
      <c r="AX66" s="46">
        <f t="shared" si="115"/>
        <v>1.2799420558933874</v>
      </c>
      <c r="AY66" s="72" t="str">
        <f t="shared" si="106"/>
        <v>DOS AÑOS</v>
      </c>
      <c r="AZ66" s="437"/>
      <c r="BA66" s="440"/>
      <c r="BB66" s="478"/>
      <c r="BC66" s="119"/>
      <c r="BD66" s="636"/>
    </row>
    <row r="67" spans="1:56" s="73" customFormat="1" x14ac:dyDescent="0.25">
      <c r="A67" s="333"/>
      <c r="B67" s="600"/>
      <c r="C67" s="613"/>
      <c r="D67" s="490"/>
      <c r="E67" s="490"/>
      <c r="F67" s="493"/>
      <c r="G67" s="435"/>
      <c r="H67" s="435"/>
      <c r="I67" s="288">
        <v>2</v>
      </c>
      <c r="J67" s="444"/>
      <c r="K67" s="320" t="s">
        <v>69</v>
      </c>
      <c r="L67" s="563"/>
      <c r="M67" s="286"/>
      <c r="N67" s="496"/>
      <c r="O67" s="286"/>
      <c r="P67" s="496"/>
      <c r="Q67" s="37">
        <v>6802.9</v>
      </c>
      <c r="R67" s="37">
        <v>7001</v>
      </c>
      <c r="S67" s="38">
        <v>44063</v>
      </c>
      <c r="T67" s="447"/>
      <c r="U67" s="96">
        <v>6800</v>
      </c>
      <c r="V67" s="96">
        <f t="shared" si="116"/>
        <v>-2.8999999999996362</v>
      </c>
      <c r="W67" s="96">
        <f t="shared" si="117"/>
        <v>-4.2628878860480626E-2</v>
      </c>
      <c r="X67" s="96"/>
      <c r="Y67" s="96"/>
      <c r="Z67" s="96"/>
      <c r="AA67" s="96"/>
      <c r="AB67" s="96">
        <v>7.8</v>
      </c>
      <c r="AC67" s="96">
        <f t="shared" si="118"/>
        <v>0.1146569845213071</v>
      </c>
      <c r="AD67" s="40">
        <f t="shared" si="112"/>
        <v>7.2028105660826472E-2</v>
      </c>
      <c r="AE67" s="40">
        <f t="shared" si="113"/>
        <v>-0.15728586338178774</v>
      </c>
      <c r="AF67" s="40">
        <f t="shared" si="107"/>
        <v>7.2028105660826472E-2</v>
      </c>
      <c r="AG67" s="41">
        <v>44422</v>
      </c>
      <c r="AH67" s="461"/>
      <c r="AI67" s="94">
        <v>7090</v>
      </c>
      <c r="AJ67" s="135">
        <f t="shared" si="119"/>
        <v>89</v>
      </c>
      <c r="AK67" s="94">
        <f t="shared" si="120"/>
        <v>1.2712469647193259</v>
      </c>
      <c r="AL67" s="94"/>
      <c r="AM67" s="94"/>
      <c r="AN67" s="94"/>
      <c r="AO67" s="94"/>
      <c r="AP67" s="135">
        <v>29</v>
      </c>
      <c r="AQ67" s="135">
        <f t="shared" si="121"/>
        <v>0.41422653906584772</v>
      </c>
      <c r="AR67" s="40">
        <f t="shared" si="122"/>
        <v>1.6854735037851736</v>
      </c>
      <c r="AS67" s="40">
        <f t="shared" si="123"/>
        <v>0.85702042565347814</v>
      </c>
      <c r="AT67" s="40">
        <f t="shared" si="124"/>
        <v>1.6854735037851736</v>
      </c>
      <c r="AU67" s="43">
        <f t="shared" si="103"/>
        <v>0.98333333333333328</v>
      </c>
      <c r="AV67" s="44">
        <f t="shared" si="114"/>
        <v>1.7575016094460001</v>
      </c>
      <c r="AW67" s="95">
        <f t="shared" si="104"/>
        <v>1.7872897723179664</v>
      </c>
      <c r="AX67" s="46">
        <f t="shared" si="115"/>
        <v>1.1190127258470046</v>
      </c>
      <c r="AY67" s="72" t="str">
        <f t="shared" si="106"/>
        <v>DOS AÑOS</v>
      </c>
      <c r="AZ67" s="437"/>
      <c r="BA67" s="440"/>
      <c r="BB67" s="478"/>
      <c r="BC67" s="119"/>
      <c r="BD67" s="636"/>
    </row>
    <row r="68" spans="1:56" s="73" customFormat="1" x14ac:dyDescent="0.25">
      <c r="A68" s="333"/>
      <c r="B68" s="600"/>
      <c r="C68" s="613"/>
      <c r="D68" s="490"/>
      <c r="E68" s="490"/>
      <c r="F68" s="493"/>
      <c r="G68" s="435"/>
      <c r="H68" s="435"/>
      <c r="I68" s="288">
        <v>2</v>
      </c>
      <c r="J68" s="444"/>
      <c r="K68" s="320" t="s">
        <v>69</v>
      </c>
      <c r="L68" s="563"/>
      <c r="M68" s="286"/>
      <c r="N68" s="496"/>
      <c r="O68" s="286"/>
      <c r="P68" s="496"/>
      <c r="Q68" s="37">
        <v>7807.7</v>
      </c>
      <c r="R68" s="37"/>
      <c r="S68" s="38">
        <v>44063</v>
      </c>
      <c r="T68" s="447"/>
      <c r="U68" s="96">
        <v>7800</v>
      </c>
      <c r="V68" s="96">
        <f t="shared" si="116"/>
        <v>-7.6999999999998181</v>
      </c>
      <c r="W68" s="96">
        <f t="shared" si="117"/>
        <v>-9.8620592492024775E-2</v>
      </c>
      <c r="X68" s="96"/>
      <c r="Y68" s="96"/>
      <c r="Z68" s="96"/>
      <c r="AA68" s="96"/>
      <c r="AB68" s="96">
        <v>7.8</v>
      </c>
      <c r="AC68" s="96">
        <f t="shared" si="118"/>
        <v>9.990137940750797E-2</v>
      </c>
      <c r="AD68" s="40">
        <f t="shared" si="112"/>
        <v>1.2807869154831952E-3</v>
      </c>
      <c r="AE68" s="40">
        <f t="shared" si="113"/>
        <v>-0.19852197189953275</v>
      </c>
      <c r="AF68" s="40">
        <f t="shared" si="107"/>
        <v>1.2807869154831952E-3</v>
      </c>
      <c r="AG68" s="41">
        <v>44422</v>
      </c>
      <c r="AH68" s="461"/>
      <c r="AI68" s="94"/>
      <c r="AJ68" s="135" t="s">
        <v>69</v>
      </c>
      <c r="AK68" s="94" t="s">
        <v>69</v>
      </c>
      <c r="AL68" s="94"/>
      <c r="AM68" s="94"/>
      <c r="AN68" s="94"/>
      <c r="AO68" s="94"/>
      <c r="AP68" s="135" t="s">
        <v>69</v>
      </c>
      <c r="AQ68" s="135" t="s">
        <v>69</v>
      </c>
      <c r="AR68" s="40"/>
      <c r="AS68" s="40"/>
      <c r="AT68" s="40">
        <v>0</v>
      </c>
      <c r="AU68" s="43">
        <f t="shared" si="103"/>
        <v>0.98333333333333328</v>
      </c>
      <c r="AV68" s="44">
        <f t="shared" si="114"/>
        <v>1.2807869154831952E-3</v>
      </c>
      <c r="AW68" s="95">
        <f t="shared" si="104"/>
        <v>1.3024951682879952E-3</v>
      </c>
      <c r="AX68" s="46">
        <f t="shared" si="115"/>
        <v>1535.5143333305473</v>
      </c>
      <c r="AY68" s="72" t="str">
        <f t="shared" si="106"/>
        <v>DOS AÑOS</v>
      </c>
      <c r="AZ68" s="437"/>
      <c r="BA68" s="440"/>
      <c r="BB68" s="478"/>
      <c r="BC68" s="119"/>
      <c r="BD68" s="636"/>
    </row>
    <row r="69" spans="1:56" s="73" customFormat="1" x14ac:dyDescent="0.25">
      <c r="A69" s="333"/>
      <c r="B69" s="600"/>
      <c r="C69" s="613"/>
      <c r="D69" s="490"/>
      <c r="E69" s="490"/>
      <c r="F69" s="493"/>
      <c r="G69" s="435"/>
      <c r="H69" s="435"/>
      <c r="I69" s="288">
        <v>2</v>
      </c>
      <c r="J69" s="444"/>
      <c r="K69" s="320" t="s">
        <v>69</v>
      </c>
      <c r="L69" s="563"/>
      <c r="M69" s="286" t="s">
        <v>69</v>
      </c>
      <c r="N69" s="496"/>
      <c r="O69" s="286" t="s">
        <v>69</v>
      </c>
      <c r="P69" s="496"/>
      <c r="Q69" s="37">
        <v>9009.1</v>
      </c>
      <c r="R69" s="37">
        <v>9004</v>
      </c>
      <c r="S69" s="38">
        <v>44063</v>
      </c>
      <c r="T69" s="447"/>
      <c r="U69" s="96">
        <v>9000</v>
      </c>
      <c r="V69" s="96">
        <f t="shared" si="116"/>
        <v>-9.1000000000003638</v>
      </c>
      <c r="W69" s="96">
        <f t="shared" si="117"/>
        <v>-0.10100897980930797</v>
      </c>
      <c r="X69" s="96" t="s">
        <v>69</v>
      </c>
      <c r="Y69" s="96" t="s">
        <v>69</v>
      </c>
      <c r="Z69" s="96" t="s">
        <v>69</v>
      </c>
      <c r="AA69" s="96" t="s">
        <v>69</v>
      </c>
      <c r="AB69" s="96">
        <v>7.8</v>
      </c>
      <c r="AC69" s="96">
        <f t="shared" si="118"/>
        <v>8.6579125550831929E-2</v>
      </c>
      <c r="AD69" s="40">
        <f>(W69+AC69)</f>
        <v>-1.4429854258476038E-2</v>
      </c>
      <c r="AE69" s="40">
        <f t="shared" si="113"/>
        <v>-0.1875881053601399</v>
      </c>
      <c r="AF69" s="40">
        <f t="shared" si="107"/>
        <v>-1.4429854258476038E-2</v>
      </c>
      <c r="AG69" s="41">
        <v>44422</v>
      </c>
      <c r="AH69" s="461"/>
      <c r="AI69" s="94">
        <v>9030</v>
      </c>
      <c r="AJ69" s="135">
        <f t="shared" ref="AJ69" si="125">AI69-R69</f>
        <v>26</v>
      </c>
      <c r="AK69" s="94">
        <f t="shared" ref="AK69" si="126">(AJ69*100)/R69</f>
        <v>0.28876055086628166</v>
      </c>
      <c r="AL69" s="94" t="s">
        <v>69</v>
      </c>
      <c r="AM69" s="94" t="s">
        <v>69</v>
      </c>
      <c r="AN69" s="94" t="s">
        <v>69</v>
      </c>
      <c r="AO69" s="94" t="s">
        <v>69</v>
      </c>
      <c r="AP69" s="94">
        <v>37</v>
      </c>
      <c r="AQ69" s="304">
        <f t="shared" ref="AQ69" si="127">(AP69*100)/R69</f>
        <v>0.41092847623278544</v>
      </c>
      <c r="AR69" s="40">
        <f t="shared" ref="AR69" si="128">(AK69+AQ69)</f>
        <v>0.69968902709906711</v>
      </c>
      <c r="AS69" s="40">
        <f t="shared" ref="AS69" si="129">(AK69-AQ69)</f>
        <v>-0.12216792536650378</v>
      </c>
      <c r="AT69" s="40">
        <f t="shared" ref="AT69:AT92" si="130">MAX(AR69:AS69)</f>
        <v>0.69968902709906711</v>
      </c>
      <c r="AU69" s="43">
        <f t="shared" si="103"/>
        <v>0.98333333333333328</v>
      </c>
      <c r="AV69" s="44">
        <f t="shared" si="114"/>
        <v>0.68525917284059101</v>
      </c>
      <c r="AW69" s="95">
        <f t="shared" si="104"/>
        <v>0.69687373509212647</v>
      </c>
      <c r="AX69" s="46">
        <f t="shared" si="115"/>
        <v>2.869960366257168</v>
      </c>
      <c r="AY69" s="72" t="str">
        <f t="shared" si="106"/>
        <v>DOS AÑOS</v>
      </c>
      <c r="AZ69" s="437"/>
      <c r="BA69" s="440"/>
      <c r="BB69" s="478"/>
      <c r="BC69" s="119">
        <f>MIN(AX34:AX137)</f>
        <v>0.90648448184517649</v>
      </c>
      <c r="BD69" s="636"/>
    </row>
    <row r="70" spans="1:56" s="322" customFormat="1" ht="15.75" thickBot="1" x14ac:dyDescent="0.3">
      <c r="A70" s="333"/>
      <c r="B70" s="601"/>
      <c r="C70" s="614"/>
      <c r="D70" s="491"/>
      <c r="E70" s="491"/>
      <c r="F70" s="494"/>
      <c r="G70" s="442"/>
      <c r="H70" s="442"/>
      <c r="I70" s="289">
        <v>2</v>
      </c>
      <c r="J70" s="445"/>
      <c r="K70" s="321" t="s">
        <v>69</v>
      </c>
      <c r="L70" s="564"/>
      <c r="M70" s="287" t="s">
        <v>69</v>
      </c>
      <c r="N70" s="497"/>
      <c r="O70" s="287" t="s">
        <v>69</v>
      </c>
      <c r="P70" s="497"/>
      <c r="Q70" s="47">
        <v>9804.1</v>
      </c>
      <c r="R70" s="47" t="s">
        <v>23</v>
      </c>
      <c r="S70" s="111">
        <v>44063</v>
      </c>
      <c r="T70" s="448"/>
      <c r="U70" s="112">
        <v>9800</v>
      </c>
      <c r="V70" s="112">
        <f t="shared" si="116"/>
        <v>-4.1000000000003638</v>
      </c>
      <c r="W70" s="112">
        <f t="shared" si="117"/>
        <v>-4.1819238889855913E-2</v>
      </c>
      <c r="X70" s="112" t="s">
        <v>69</v>
      </c>
      <c r="Y70" s="112" t="s">
        <v>69</v>
      </c>
      <c r="Z70" s="112" t="s">
        <v>69</v>
      </c>
      <c r="AA70" s="112" t="s">
        <v>69</v>
      </c>
      <c r="AB70" s="112">
        <v>7.8</v>
      </c>
      <c r="AC70" s="112">
        <f t="shared" si="118"/>
        <v>7.955855203435297E-2</v>
      </c>
      <c r="AD70" s="49">
        <f t="shared" ref="AD70" si="131">(W70+AC70)</f>
        <v>3.7739313144497057E-2</v>
      </c>
      <c r="AE70" s="49">
        <f t="shared" si="113"/>
        <v>-0.12137779092420889</v>
      </c>
      <c r="AF70" s="49">
        <f t="shared" si="107"/>
        <v>3.7739313144497057E-2</v>
      </c>
      <c r="AG70" s="114">
        <v>44422</v>
      </c>
      <c r="AH70" s="462"/>
      <c r="AI70" s="115"/>
      <c r="AJ70" s="135" t="s">
        <v>69</v>
      </c>
      <c r="AK70" s="115" t="s">
        <v>69</v>
      </c>
      <c r="AL70" s="115" t="s">
        <v>69</v>
      </c>
      <c r="AM70" s="115" t="s">
        <v>69</v>
      </c>
      <c r="AN70" s="115" t="s">
        <v>69</v>
      </c>
      <c r="AO70" s="115" t="s">
        <v>69</v>
      </c>
      <c r="AP70" s="115" t="s">
        <v>69</v>
      </c>
      <c r="AQ70" s="138" t="s">
        <v>69</v>
      </c>
      <c r="AR70" s="49" t="s">
        <v>69</v>
      </c>
      <c r="AS70" s="49" t="s">
        <v>69</v>
      </c>
      <c r="AT70" s="49">
        <f t="shared" si="130"/>
        <v>0</v>
      </c>
      <c r="AU70" s="51">
        <f t="shared" si="103"/>
        <v>0.98333333333333328</v>
      </c>
      <c r="AV70" s="52">
        <f t="shared" ref="AV70:AV82" si="132">ABS(AT70-AF70)</f>
        <v>3.7739313144497057E-2</v>
      </c>
      <c r="AW70" s="116">
        <f t="shared" si="104"/>
        <v>3.8378962519827517E-2</v>
      </c>
      <c r="AX70" s="53">
        <f t="shared" si="115"/>
        <v>52.111882882888011</v>
      </c>
      <c r="AY70" s="120" t="str">
        <f t="shared" si="106"/>
        <v>DOS AÑOS</v>
      </c>
      <c r="AZ70" s="438"/>
      <c r="BA70" s="441"/>
      <c r="BB70" s="479"/>
      <c r="BC70" s="125"/>
      <c r="BD70" s="637"/>
    </row>
    <row r="71" spans="1:56" ht="14.25" customHeight="1" x14ac:dyDescent="0.25">
      <c r="A71"/>
      <c r="B71" s="602" t="s">
        <v>183</v>
      </c>
      <c r="C71" s="486" t="s">
        <v>184</v>
      </c>
      <c r="D71" s="489" t="s">
        <v>104</v>
      </c>
      <c r="E71" s="489" t="s">
        <v>185</v>
      </c>
      <c r="F71" s="596" t="s">
        <v>186</v>
      </c>
      <c r="G71" s="434" t="s">
        <v>187</v>
      </c>
      <c r="H71" s="707" t="s">
        <v>188</v>
      </c>
      <c r="I71" s="359">
        <v>1</v>
      </c>
      <c r="J71" s="711" t="s">
        <v>189</v>
      </c>
      <c r="K71" s="371" t="s">
        <v>69</v>
      </c>
      <c r="L71" s="715" t="s">
        <v>189</v>
      </c>
      <c r="M71" s="356" t="s">
        <v>69</v>
      </c>
      <c r="N71" s="719" t="s">
        <v>189</v>
      </c>
      <c r="O71" s="356" t="s">
        <v>69</v>
      </c>
      <c r="P71" s="719" t="s">
        <v>189</v>
      </c>
      <c r="Q71" s="57"/>
      <c r="R71" s="57">
        <v>-0.06</v>
      </c>
      <c r="S71" s="58"/>
      <c r="T71" s="446" t="s">
        <v>193</v>
      </c>
      <c r="U71" s="372"/>
      <c r="V71" s="372"/>
      <c r="W71" s="372"/>
      <c r="X71" s="372"/>
      <c r="Y71" s="372"/>
      <c r="Z71" s="372"/>
      <c r="AA71" s="372"/>
      <c r="AB71" s="372"/>
      <c r="AC71" s="372"/>
      <c r="AD71" s="373"/>
      <c r="AE71" s="59"/>
      <c r="AF71" s="59"/>
      <c r="AG71" s="60">
        <v>44420</v>
      </c>
      <c r="AH71" s="460">
        <v>66126</v>
      </c>
      <c r="AI71" s="384">
        <v>0</v>
      </c>
      <c r="AJ71" s="84">
        <f>AI71-R71</f>
        <v>0.06</v>
      </c>
      <c r="AK71" s="61" t="s">
        <v>69</v>
      </c>
      <c r="AL71" s="61" t="s">
        <v>69</v>
      </c>
      <c r="AM71" s="61" t="s">
        <v>69</v>
      </c>
      <c r="AN71" s="61" t="s">
        <v>69</v>
      </c>
      <c r="AO71" s="61" t="s">
        <v>69</v>
      </c>
      <c r="AP71" s="61">
        <v>0.09</v>
      </c>
      <c r="AQ71" s="61" t="s">
        <v>69</v>
      </c>
      <c r="AR71" s="373">
        <f t="shared" ref="AR71:AR78" si="133">(AJ71+AP71)</f>
        <v>0.15</v>
      </c>
      <c r="AS71" s="59">
        <f t="shared" ref="AS71:AS78" si="134">(AJ71-AP71)</f>
        <v>-0.03</v>
      </c>
      <c r="AT71" s="59">
        <f t="shared" ref="AT71:AT78" si="135">MAX(AR71:AS71)</f>
        <v>0.15</v>
      </c>
      <c r="AU71" s="62">
        <f t="shared" ref="AU71:AU78" si="136">YEARFRAC(S71,AG71)</f>
        <v>121.61666666666666</v>
      </c>
      <c r="AV71" s="63">
        <f t="shared" ref="AV71:AV78" si="137">ABS(AT71-AF71)</f>
        <v>0.15</v>
      </c>
      <c r="AW71" s="64">
        <f t="shared" ref="AW71:AW78" si="138">(AV71/AU71)</f>
        <v>1.2333835822940936E-3</v>
      </c>
      <c r="AX71" s="65">
        <f t="shared" ref="AX71:AX78" si="139">(I71/AW71)</f>
        <v>810.77777777777771</v>
      </c>
      <c r="AY71" s="66" t="str">
        <f t="shared" ref="AY71:AY78" si="140">IF(AX71&lt;=1,"UN AÑO",IF(AX71&gt;=1,"DOS AÑOS"))</f>
        <v>DOS AÑOS</v>
      </c>
      <c r="AZ71" s="436" t="s">
        <v>190</v>
      </c>
      <c r="BA71" s="723" t="s">
        <v>35</v>
      </c>
      <c r="BB71" s="477" t="s">
        <v>34</v>
      </c>
      <c r="BC71" s="374"/>
      <c r="BD71" s="480">
        <f>BC222</f>
        <v>0</v>
      </c>
    </row>
    <row r="72" spans="1:56" ht="14.25" customHeight="1" x14ac:dyDescent="0.25">
      <c r="A72"/>
      <c r="B72" s="603"/>
      <c r="C72" s="644"/>
      <c r="D72" s="606"/>
      <c r="E72" s="606"/>
      <c r="F72" s="607"/>
      <c r="G72" s="525"/>
      <c r="H72" s="708"/>
      <c r="I72" s="360">
        <v>1</v>
      </c>
      <c r="J72" s="712"/>
      <c r="K72" s="313"/>
      <c r="L72" s="716"/>
      <c r="M72" s="363"/>
      <c r="N72" s="720"/>
      <c r="O72" s="363"/>
      <c r="P72" s="720"/>
      <c r="Q72" s="253">
        <v>-5.16</v>
      </c>
      <c r="R72" s="253">
        <v>-3.8570000000000002</v>
      </c>
      <c r="S72" s="255">
        <v>44063</v>
      </c>
      <c r="T72" s="565"/>
      <c r="U72" s="315">
        <v>-4.78</v>
      </c>
      <c r="V72" s="39">
        <f>U72-Q72</f>
        <v>0.37999999999999989</v>
      </c>
      <c r="W72" s="315"/>
      <c r="X72" s="315"/>
      <c r="Y72" s="315"/>
      <c r="Z72" s="315"/>
      <c r="AA72" s="315"/>
      <c r="AB72" s="315">
        <v>0.13</v>
      </c>
      <c r="AC72" s="315"/>
      <c r="AD72" s="382">
        <f>V72+AB72</f>
        <v>0.5099999999999999</v>
      </c>
      <c r="AE72" s="257">
        <f>V72-AB72</f>
        <v>0.24999999999999989</v>
      </c>
      <c r="AF72" s="40">
        <f t="shared" si="107"/>
        <v>0.5099999999999999</v>
      </c>
      <c r="AG72" s="258">
        <v>44420</v>
      </c>
      <c r="AH72" s="456"/>
      <c r="AI72" s="385">
        <v>-4.0599999999999996</v>
      </c>
      <c r="AJ72" s="94">
        <f>AI72-R72</f>
        <v>-0.2029999999999994</v>
      </c>
      <c r="AK72" s="316"/>
      <c r="AL72" s="316"/>
      <c r="AM72" s="316"/>
      <c r="AN72" s="316"/>
      <c r="AO72" s="316"/>
      <c r="AP72" s="316">
        <v>9.4E-2</v>
      </c>
      <c r="AQ72" s="316"/>
      <c r="AR72" s="375">
        <f t="shared" si="133"/>
        <v>-0.1089999999999994</v>
      </c>
      <c r="AS72" s="40">
        <f t="shared" si="134"/>
        <v>-0.29699999999999938</v>
      </c>
      <c r="AT72" s="40">
        <f t="shared" si="135"/>
        <v>-0.1089999999999994</v>
      </c>
      <c r="AU72" s="43">
        <f t="shared" si="136"/>
        <v>0.97777777777777775</v>
      </c>
      <c r="AV72" s="44">
        <f t="shared" si="137"/>
        <v>0.61899999999999933</v>
      </c>
      <c r="AW72" s="45">
        <f t="shared" si="138"/>
        <v>0.63306818181818114</v>
      </c>
      <c r="AX72" s="46">
        <f t="shared" si="139"/>
        <v>1.5796086878477849</v>
      </c>
      <c r="AY72" s="72" t="str">
        <f t="shared" si="140"/>
        <v>DOS AÑOS</v>
      </c>
      <c r="AZ72" s="566"/>
      <c r="BA72" s="724"/>
      <c r="BB72" s="568"/>
      <c r="BC72" s="383"/>
      <c r="BD72" s="704"/>
    </row>
    <row r="73" spans="1:56" ht="14.25" customHeight="1" x14ac:dyDescent="0.25">
      <c r="A73"/>
      <c r="B73" s="604"/>
      <c r="C73" s="487"/>
      <c r="D73" s="490"/>
      <c r="E73" s="490"/>
      <c r="F73" s="608"/>
      <c r="G73" s="435"/>
      <c r="H73" s="709"/>
      <c r="I73" s="361">
        <v>1</v>
      </c>
      <c r="J73" s="713"/>
      <c r="K73" s="70" t="s">
        <v>191</v>
      </c>
      <c r="L73" s="717"/>
      <c r="M73" s="357" t="s">
        <v>69</v>
      </c>
      <c r="N73" s="721"/>
      <c r="O73" s="357" t="s">
        <v>69</v>
      </c>
      <c r="P73" s="721"/>
      <c r="Q73" s="37">
        <v>-9.5500000000000007</v>
      </c>
      <c r="R73" s="37">
        <v>-8.2170000000000005</v>
      </c>
      <c r="S73" s="38">
        <v>44063</v>
      </c>
      <c r="T73" s="447"/>
      <c r="U73" s="39">
        <v>-9.9600000000000009</v>
      </c>
      <c r="V73" s="39">
        <f t="shared" ref="V73:V81" si="141">U73-Q73</f>
        <v>-0.41000000000000014</v>
      </c>
      <c r="W73" s="39" t="s">
        <v>69</v>
      </c>
      <c r="X73" s="39" t="s">
        <v>69</v>
      </c>
      <c r="Y73" s="39" t="s">
        <v>69</v>
      </c>
      <c r="Z73" s="39" t="s">
        <v>69</v>
      </c>
      <c r="AA73" s="39" t="s">
        <v>69</v>
      </c>
      <c r="AB73" s="39">
        <v>0.13</v>
      </c>
      <c r="AC73" s="39" t="s">
        <v>69</v>
      </c>
      <c r="AD73" s="382">
        <f t="shared" ref="AD73:AD76" si="142">V73+AB73</f>
        <v>-0.28000000000000014</v>
      </c>
      <c r="AE73" s="257">
        <f t="shared" ref="AE73:AE76" si="143">V73-AB73</f>
        <v>-0.54000000000000015</v>
      </c>
      <c r="AF73" s="40">
        <f t="shared" si="107"/>
        <v>-0.28000000000000014</v>
      </c>
      <c r="AG73" s="41">
        <v>44420</v>
      </c>
      <c r="AH73" s="461"/>
      <c r="AI73" s="386">
        <v>-8.49</v>
      </c>
      <c r="AJ73" s="94">
        <f t="shared" ref="AJ73:AJ80" si="144">AI73-R73</f>
        <v>-0.27299999999999969</v>
      </c>
      <c r="AK73" s="42" t="s">
        <v>69</v>
      </c>
      <c r="AL73" s="42" t="s">
        <v>69</v>
      </c>
      <c r="AM73" s="42" t="s">
        <v>69</v>
      </c>
      <c r="AN73" s="42" t="s">
        <v>69</v>
      </c>
      <c r="AO73" s="42" t="s">
        <v>69</v>
      </c>
      <c r="AP73" s="42">
        <v>0.09</v>
      </c>
      <c r="AQ73" s="42" t="s">
        <v>69</v>
      </c>
      <c r="AR73" s="375">
        <f t="shared" si="133"/>
        <v>-0.18299999999999969</v>
      </c>
      <c r="AS73" s="40">
        <f t="shared" si="134"/>
        <v>-0.36299999999999966</v>
      </c>
      <c r="AT73" s="40">
        <f t="shared" si="135"/>
        <v>-0.18299999999999969</v>
      </c>
      <c r="AU73" s="43">
        <f t="shared" si="136"/>
        <v>0.97777777777777775</v>
      </c>
      <c r="AV73" s="44">
        <f t="shared" si="137"/>
        <v>9.7000000000000447E-2</v>
      </c>
      <c r="AW73" s="45">
        <f t="shared" si="138"/>
        <v>9.920454545454592E-2</v>
      </c>
      <c r="AX73" s="46">
        <f t="shared" si="139"/>
        <v>10.080183276059518</v>
      </c>
      <c r="AY73" s="72" t="str">
        <f t="shared" si="140"/>
        <v>DOS AÑOS</v>
      </c>
      <c r="AZ73" s="437"/>
      <c r="BA73" s="725"/>
      <c r="BB73" s="478"/>
      <c r="BC73" s="376"/>
      <c r="BD73" s="481"/>
    </row>
    <row r="74" spans="1:56" ht="14.25" customHeight="1" x14ac:dyDescent="0.25">
      <c r="A74"/>
      <c r="B74" s="604"/>
      <c r="C74" s="487"/>
      <c r="D74" s="490"/>
      <c r="E74" s="490"/>
      <c r="F74" s="608"/>
      <c r="G74" s="435"/>
      <c r="H74" s="709"/>
      <c r="I74" s="361">
        <v>1</v>
      </c>
      <c r="J74" s="713"/>
      <c r="K74" s="70"/>
      <c r="L74" s="717"/>
      <c r="M74" s="357"/>
      <c r="N74" s="721"/>
      <c r="O74" s="357"/>
      <c r="P74" s="721"/>
      <c r="Q74" s="37">
        <v>-12.61</v>
      </c>
      <c r="R74" s="37">
        <v>-11.054</v>
      </c>
      <c r="S74" s="38">
        <v>44063</v>
      </c>
      <c r="T74" s="447"/>
      <c r="U74" s="39">
        <v>-12.18</v>
      </c>
      <c r="V74" s="39">
        <f t="shared" si="141"/>
        <v>0.42999999999999972</v>
      </c>
      <c r="W74" s="39"/>
      <c r="X74" s="39"/>
      <c r="Y74" s="39"/>
      <c r="Z74" s="39"/>
      <c r="AA74" s="39"/>
      <c r="AB74" s="39">
        <v>0.13</v>
      </c>
      <c r="AC74" s="39"/>
      <c r="AD74" s="382">
        <f t="shared" si="142"/>
        <v>0.55999999999999972</v>
      </c>
      <c r="AE74" s="257">
        <f t="shared" si="143"/>
        <v>0.29999999999999971</v>
      </c>
      <c r="AF74" s="40">
        <f t="shared" si="107"/>
        <v>0.55999999999999972</v>
      </c>
      <c r="AG74" s="41">
        <v>44420</v>
      </c>
      <c r="AH74" s="461"/>
      <c r="AI74" s="386">
        <v>-10.62</v>
      </c>
      <c r="AJ74" s="94">
        <f t="shared" si="144"/>
        <v>0.43400000000000105</v>
      </c>
      <c r="AK74" s="42"/>
      <c r="AL74" s="42"/>
      <c r="AM74" s="42"/>
      <c r="AN74" s="42"/>
      <c r="AO74" s="42"/>
      <c r="AP74" s="42">
        <v>9.2999999999999999E-2</v>
      </c>
      <c r="AQ74" s="42"/>
      <c r="AR74" s="375">
        <f t="shared" si="133"/>
        <v>0.52700000000000102</v>
      </c>
      <c r="AS74" s="40">
        <f t="shared" si="134"/>
        <v>0.34100000000000108</v>
      </c>
      <c r="AT74" s="40">
        <f t="shared" si="135"/>
        <v>0.52700000000000102</v>
      </c>
      <c r="AU74" s="43">
        <f t="shared" si="136"/>
        <v>0.97777777777777775</v>
      </c>
      <c r="AV74" s="44">
        <f t="shared" si="137"/>
        <v>3.2999999999998697E-2</v>
      </c>
      <c r="AW74" s="45">
        <f t="shared" si="138"/>
        <v>3.374999999999867E-2</v>
      </c>
      <c r="AX74" s="46">
        <f t="shared" si="139"/>
        <v>29.629629629630799</v>
      </c>
      <c r="AY74" s="72" t="str">
        <f t="shared" si="140"/>
        <v>DOS AÑOS</v>
      </c>
      <c r="AZ74" s="437"/>
      <c r="BA74" s="725"/>
      <c r="BB74" s="478"/>
      <c r="BC74" s="376"/>
      <c r="BD74" s="481"/>
    </row>
    <row r="75" spans="1:56" ht="14.25" customHeight="1" x14ac:dyDescent="0.25">
      <c r="A75"/>
      <c r="B75" s="604"/>
      <c r="C75" s="487"/>
      <c r="D75" s="490"/>
      <c r="E75" s="490"/>
      <c r="F75" s="608"/>
      <c r="G75" s="435"/>
      <c r="H75" s="709"/>
      <c r="I75" s="361">
        <v>1</v>
      </c>
      <c r="J75" s="713"/>
      <c r="K75" s="70" t="s">
        <v>69</v>
      </c>
      <c r="L75" s="717"/>
      <c r="M75" s="357" t="s">
        <v>69</v>
      </c>
      <c r="N75" s="721"/>
      <c r="O75" s="357" t="s">
        <v>69</v>
      </c>
      <c r="P75" s="721"/>
      <c r="Q75" s="37">
        <f>-14-0.97</f>
        <v>-14.97</v>
      </c>
      <c r="R75" s="37">
        <v>-15.041</v>
      </c>
      <c r="S75" s="38">
        <v>44063</v>
      </c>
      <c r="T75" s="447"/>
      <c r="U75" s="39">
        <v>-14.97</v>
      </c>
      <c r="V75" s="39">
        <f t="shared" si="141"/>
        <v>0</v>
      </c>
      <c r="W75" s="39" t="s">
        <v>69</v>
      </c>
      <c r="X75" s="39" t="s">
        <v>69</v>
      </c>
      <c r="Y75" s="39" t="s">
        <v>69</v>
      </c>
      <c r="Z75" s="39" t="s">
        <v>69</v>
      </c>
      <c r="AA75" s="39" t="s">
        <v>69</v>
      </c>
      <c r="AB75" s="39">
        <v>0.13</v>
      </c>
      <c r="AC75" s="39" t="s">
        <v>69</v>
      </c>
      <c r="AD75" s="382">
        <f t="shared" si="142"/>
        <v>0.13</v>
      </c>
      <c r="AE75" s="257">
        <f t="shared" si="143"/>
        <v>-0.13</v>
      </c>
      <c r="AF75" s="40">
        <f t="shared" si="107"/>
        <v>0.13</v>
      </c>
      <c r="AG75" s="41">
        <v>44420</v>
      </c>
      <c r="AH75" s="461"/>
      <c r="AI75" s="386">
        <v>-15.11</v>
      </c>
      <c r="AJ75" s="94">
        <f t="shared" si="144"/>
        <v>-6.8999999999999062E-2</v>
      </c>
      <c r="AK75" s="42" t="s">
        <v>69</v>
      </c>
      <c r="AL75" s="42" t="s">
        <v>69</v>
      </c>
      <c r="AM75" s="42" t="s">
        <v>69</v>
      </c>
      <c r="AN75" s="42" t="s">
        <v>69</v>
      </c>
      <c r="AO75" s="42" t="s">
        <v>69</v>
      </c>
      <c r="AP75" s="42">
        <v>9.5000000000000001E-2</v>
      </c>
      <c r="AQ75" s="42" t="s">
        <v>69</v>
      </c>
      <c r="AR75" s="375">
        <f t="shared" si="133"/>
        <v>2.6000000000000939E-2</v>
      </c>
      <c r="AS75" s="40">
        <f t="shared" si="134"/>
        <v>-0.16399999999999906</v>
      </c>
      <c r="AT75" s="40">
        <f t="shared" si="135"/>
        <v>2.6000000000000939E-2</v>
      </c>
      <c r="AU75" s="43">
        <f t="shared" si="136"/>
        <v>0.97777777777777775</v>
      </c>
      <c r="AV75" s="44">
        <f t="shared" si="137"/>
        <v>0.10399999999999907</v>
      </c>
      <c r="AW75" s="45">
        <f t="shared" si="138"/>
        <v>0.10636363636363541</v>
      </c>
      <c r="AX75" s="46">
        <f t="shared" si="139"/>
        <v>9.4017094017094855</v>
      </c>
      <c r="AY75" s="72" t="str">
        <f t="shared" si="140"/>
        <v>DOS AÑOS</v>
      </c>
      <c r="AZ75" s="437"/>
      <c r="BA75" s="725"/>
      <c r="BB75" s="478"/>
      <c r="BC75" s="377">
        <f>MIN(AX71:AX81)</f>
        <v>1.279813845258871</v>
      </c>
      <c r="BD75" s="481"/>
    </row>
    <row r="76" spans="1:56" ht="14.25" customHeight="1" x14ac:dyDescent="0.25">
      <c r="A76"/>
      <c r="B76" s="604"/>
      <c r="C76" s="499" t="s">
        <v>192</v>
      </c>
      <c r="D76" s="490"/>
      <c r="E76" s="490"/>
      <c r="F76" s="608"/>
      <c r="G76" s="435"/>
      <c r="H76" s="709"/>
      <c r="I76" s="361">
        <v>1</v>
      </c>
      <c r="J76" s="713"/>
      <c r="K76" s="70"/>
      <c r="L76" s="717"/>
      <c r="M76" s="357"/>
      <c r="N76" s="721"/>
      <c r="O76" s="357"/>
      <c r="P76" s="721"/>
      <c r="Q76" s="37">
        <v>0</v>
      </c>
      <c r="R76" s="37">
        <v>8.0000000000000002E-3</v>
      </c>
      <c r="S76" s="38">
        <v>44063</v>
      </c>
      <c r="T76" s="447"/>
      <c r="U76" s="39">
        <v>0</v>
      </c>
      <c r="V76" s="39">
        <f t="shared" si="141"/>
        <v>0</v>
      </c>
      <c r="W76" s="39"/>
      <c r="X76" s="39"/>
      <c r="Y76" s="39"/>
      <c r="Z76" s="39"/>
      <c r="AA76" s="39"/>
      <c r="AB76" s="39">
        <v>0.13</v>
      </c>
      <c r="AC76" s="39"/>
      <c r="AD76" s="382">
        <f t="shared" si="142"/>
        <v>0.13</v>
      </c>
      <c r="AE76" s="257">
        <f t="shared" si="143"/>
        <v>-0.13</v>
      </c>
      <c r="AF76" s="40">
        <f t="shared" si="107"/>
        <v>0.13</v>
      </c>
      <c r="AG76" s="41">
        <v>44420</v>
      </c>
      <c r="AH76" s="461"/>
      <c r="AI76" s="386">
        <v>0</v>
      </c>
      <c r="AJ76" s="94">
        <f t="shared" si="144"/>
        <v>-8.0000000000000002E-3</v>
      </c>
      <c r="AK76" s="42"/>
      <c r="AL76" s="42"/>
      <c r="AM76" s="42"/>
      <c r="AN76" s="42"/>
      <c r="AO76" s="42"/>
      <c r="AP76" s="42">
        <v>9.0999999999999998E-2</v>
      </c>
      <c r="AQ76" s="42"/>
      <c r="AR76" s="375">
        <f t="shared" si="133"/>
        <v>8.299999999999999E-2</v>
      </c>
      <c r="AS76" s="40">
        <f t="shared" si="134"/>
        <v>-9.9000000000000005E-2</v>
      </c>
      <c r="AT76" s="40">
        <f t="shared" si="135"/>
        <v>8.299999999999999E-2</v>
      </c>
      <c r="AU76" s="43">
        <f t="shared" si="136"/>
        <v>0.97777777777777775</v>
      </c>
      <c r="AV76" s="44">
        <f t="shared" si="137"/>
        <v>4.7000000000000014E-2</v>
      </c>
      <c r="AW76" s="45">
        <f t="shared" si="138"/>
        <v>4.8068181818181836E-2</v>
      </c>
      <c r="AX76" s="46">
        <f t="shared" si="139"/>
        <v>20.803782505910156</v>
      </c>
      <c r="AY76" s="72" t="str">
        <f t="shared" si="140"/>
        <v>DOS AÑOS</v>
      </c>
      <c r="AZ76" s="437"/>
      <c r="BA76" s="725"/>
      <c r="BB76" s="478"/>
      <c r="BC76" s="377"/>
      <c r="BD76" s="481"/>
    </row>
    <row r="77" spans="1:56" ht="14.25" customHeight="1" x14ac:dyDescent="0.25">
      <c r="A77"/>
      <c r="B77" s="604"/>
      <c r="C77" s="705"/>
      <c r="D77" s="490"/>
      <c r="E77" s="490"/>
      <c r="F77" s="608"/>
      <c r="G77" s="435"/>
      <c r="H77" s="709"/>
      <c r="I77" s="361">
        <v>1</v>
      </c>
      <c r="J77" s="713"/>
      <c r="K77" s="70"/>
      <c r="L77" s="717"/>
      <c r="M77" s="357"/>
      <c r="N77" s="721"/>
      <c r="O77" s="357"/>
      <c r="P77" s="721"/>
      <c r="Q77" s="37"/>
      <c r="R77" s="37">
        <v>2.5470000000000002</v>
      </c>
      <c r="S77" s="38"/>
      <c r="T77" s="447"/>
      <c r="U77" s="39"/>
      <c r="V77" s="39"/>
      <c r="W77" s="39"/>
      <c r="X77" s="39"/>
      <c r="Y77" s="39"/>
      <c r="Z77" s="39"/>
      <c r="AA77" s="39"/>
      <c r="AB77" s="39"/>
      <c r="AC77" s="39"/>
      <c r="AD77" s="375"/>
      <c r="AE77" s="40"/>
      <c r="AF77" s="40"/>
      <c r="AG77" s="41">
        <v>44420</v>
      </c>
      <c r="AH77" s="461"/>
      <c r="AI77" s="386">
        <v>3.01</v>
      </c>
      <c r="AJ77" s="94">
        <f t="shared" si="144"/>
        <v>0.46299999999999963</v>
      </c>
      <c r="AK77" s="42"/>
      <c r="AL77" s="42"/>
      <c r="AM77" s="42"/>
      <c r="AN77" s="42"/>
      <c r="AO77" s="42"/>
      <c r="AP77" s="42">
        <v>8.8999999999999996E-2</v>
      </c>
      <c r="AQ77" s="42"/>
      <c r="AR77" s="375">
        <f t="shared" si="133"/>
        <v>0.5519999999999996</v>
      </c>
      <c r="AS77" s="40">
        <f t="shared" si="134"/>
        <v>0.37399999999999967</v>
      </c>
      <c r="AT77" s="40">
        <f t="shared" si="135"/>
        <v>0.5519999999999996</v>
      </c>
      <c r="AU77" s="43">
        <f t="shared" si="136"/>
        <v>121.61666666666666</v>
      </c>
      <c r="AV77" s="44">
        <f t="shared" si="137"/>
        <v>0.5519999999999996</v>
      </c>
      <c r="AW77" s="45">
        <f t="shared" si="138"/>
        <v>4.5388515828422606E-3</v>
      </c>
      <c r="AX77" s="46">
        <f t="shared" si="139"/>
        <v>220.3200483091789</v>
      </c>
      <c r="AY77" s="72" t="str">
        <f t="shared" si="140"/>
        <v>DOS AÑOS</v>
      </c>
      <c r="AZ77" s="437"/>
      <c r="BA77" s="725"/>
      <c r="BB77" s="478"/>
      <c r="BC77" s="377"/>
      <c r="BD77" s="481"/>
    </row>
    <row r="78" spans="1:56" ht="14.25" customHeight="1" x14ac:dyDescent="0.25">
      <c r="A78"/>
      <c r="B78" s="604"/>
      <c r="C78" s="705"/>
      <c r="D78" s="490"/>
      <c r="E78" s="490"/>
      <c r="F78" s="608"/>
      <c r="G78" s="435"/>
      <c r="H78" s="709"/>
      <c r="I78" s="361">
        <v>1</v>
      </c>
      <c r="J78" s="713"/>
      <c r="K78" s="70"/>
      <c r="L78" s="717"/>
      <c r="M78" s="357"/>
      <c r="N78" s="721"/>
      <c r="O78" s="357"/>
      <c r="P78" s="721"/>
      <c r="Q78" s="37">
        <v>5.68</v>
      </c>
      <c r="R78" s="37">
        <v>4.6959999999999997</v>
      </c>
      <c r="S78" s="38">
        <v>44063</v>
      </c>
      <c r="T78" s="447"/>
      <c r="U78" s="39">
        <v>5.3</v>
      </c>
      <c r="V78" s="39">
        <f t="shared" si="141"/>
        <v>-0.37999999999999989</v>
      </c>
      <c r="W78" s="39"/>
      <c r="X78" s="39"/>
      <c r="Y78" s="39"/>
      <c r="Z78" s="39"/>
      <c r="AA78" s="39"/>
      <c r="AB78" s="39">
        <v>0.13</v>
      </c>
      <c r="AC78" s="39"/>
      <c r="AD78" s="382">
        <f t="shared" ref="AD78" si="145">V78+AB78</f>
        <v>-0.24999999999999989</v>
      </c>
      <c r="AE78" s="257">
        <f t="shared" ref="AE78" si="146">V78-AB78</f>
        <v>-0.5099999999999999</v>
      </c>
      <c r="AF78" s="40">
        <f t="shared" si="107"/>
        <v>-0.24999999999999989</v>
      </c>
      <c r="AG78" s="41">
        <v>44420</v>
      </c>
      <c r="AH78" s="461"/>
      <c r="AI78" s="386">
        <v>5.12</v>
      </c>
      <c r="AJ78" s="94">
        <f t="shared" si="144"/>
        <v>0.42400000000000038</v>
      </c>
      <c r="AK78" s="42"/>
      <c r="AL78" s="42"/>
      <c r="AM78" s="42"/>
      <c r="AN78" s="42"/>
      <c r="AO78" s="42"/>
      <c r="AP78" s="42">
        <v>0.09</v>
      </c>
      <c r="AQ78" s="42"/>
      <c r="AR78" s="375">
        <f t="shared" si="133"/>
        <v>0.51400000000000035</v>
      </c>
      <c r="AS78" s="40">
        <f t="shared" si="134"/>
        <v>0.33400000000000041</v>
      </c>
      <c r="AT78" s="40">
        <f t="shared" si="135"/>
        <v>0.51400000000000035</v>
      </c>
      <c r="AU78" s="43">
        <f t="shared" si="136"/>
        <v>0.97777777777777775</v>
      </c>
      <c r="AV78" s="44">
        <f t="shared" si="137"/>
        <v>0.76400000000000023</v>
      </c>
      <c r="AW78" s="45">
        <f t="shared" si="138"/>
        <v>0.78136363636363659</v>
      </c>
      <c r="AX78" s="46">
        <f t="shared" si="139"/>
        <v>1.279813845258871</v>
      </c>
      <c r="AY78" s="72" t="str">
        <f t="shared" si="140"/>
        <v>DOS AÑOS</v>
      </c>
      <c r="AZ78" s="437"/>
      <c r="BA78" s="725"/>
      <c r="BB78" s="478"/>
      <c r="BC78" s="377"/>
      <c r="BD78" s="481"/>
    </row>
    <row r="79" spans="1:56" ht="14.25" customHeight="1" x14ac:dyDescent="0.25">
      <c r="A79"/>
      <c r="B79" s="604"/>
      <c r="C79" s="705"/>
      <c r="D79" s="490"/>
      <c r="E79" s="490"/>
      <c r="F79" s="608"/>
      <c r="G79" s="435"/>
      <c r="H79" s="709"/>
      <c r="I79" s="361">
        <v>1</v>
      </c>
      <c r="J79" s="713"/>
      <c r="K79" s="70" t="s">
        <v>69</v>
      </c>
      <c r="L79" s="717"/>
      <c r="M79" s="357" t="s">
        <v>69</v>
      </c>
      <c r="N79" s="721"/>
      <c r="O79" s="357" t="s">
        <v>69</v>
      </c>
      <c r="P79" s="721"/>
      <c r="Q79" s="37">
        <v>9.7899999999999991</v>
      </c>
      <c r="R79" s="37">
        <v>8.2850000000000001</v>
      </c>
      <c r="S79" s="38">
        <v>44063</v>
      </c>
      <c r="T79" s="447"/>
      <c r="U79" s="39">
        <v>10.24</v>
      </c>
      <c r="V79" s="39">
        <f t="shared" si="141"/>
        <v>0.45000000000000107</v>
      </c>
      <c r="W79" s="39" t="s">
        <v>69</v>
      </c>
      <c r="X79" s="39" t="s">
        <v>69</v>
      </c>
      <c r="Y79" s="39" t="s">
        <v>69</v>
      </c>
      <c r="Z79" s="39" t="s">
        <v>69</v>
      </c>
      <c r="AA79" s="39" t="s">
        <v>69</v>
      </c>
      <c r="AB79" s="39">
        <v>0.13</v>
      </c>
      <c r="AC79" s="39" t="s">
        <v>69</v>
      </c>
      <c r="AD79" s="382">
        <f t="shared" ref="AD79:AD81" si="147">V79+AB79</f>
        <v>0.58000000000000107</v>
      </c>
      <c r="AE79" s="257">
        <f t="shared" ref="AE79:AE81" si="148">V79-AB79</f>
        <v>0.32000000000000106</v>
      </c>
      <c r="AF79" s="40">
        <f t="shared" si="107"/>
        <v>0.58000000000000107</v>
      </c>
      <c r="AG79" s="41">
        <v>44420</v>
      </c>
      <c r="AH79" s="461"/>
      <c r="AI79" s="386">
        <v>8.5399999999999991</v>
      </c>
      <c r="AJ79" s="94">
        <f t="shared" si="144"/>
        <v>0.25499999999999901</v>
      </c>
      <c r="AK79" s="42" t="s">
        <v>69</v>
      </c>
      <c r="AL79" s="42" t="s">
        <v>69</v>
      </c>
      <c r="AM79" s="42" t="s">
        <v>69</v>
      </c>
      <c r="AN79" s="42" t="s">
        <v>69</v>
      </c>
      <c r="AO79" s="42" t="s">
        <v>69</v>
      </c>
      <c r="AP79" s="42">
        <v>9.5000000000000001E-2</v>
      </c>
      <c r="AQ79" s="42" t="s">
        <v>69</v>
      </c>
      <c r="AR79" s="375">
        <f t="shared" ref="AR79:AR81" si="149">(AJ79+AP79)</f>
        <v>0.34999999999999898</v>
      </c>
      <c r="AS79" s="40">
        <f t="shared" ref="AS79:AS81" si="150">(AJ79-AP79)</f>
        <v>0.159999999999999</v>
      </c>
      <c r="AT79" s="40">
        <f t="shared" si="130"/>
        <v>0.34999999999999898</v>
      </c>
      <c r="AU79" s="43">
        <f t="shared" si="103"/>
        <v>0.97777777777777775</v>
      </c>
      <c r="AV79" s="44">
        <f t="shared" si="132"/>
        <v>0.23000000000000209</v>
      </c>
      <c r="AW79" s="45">
        <f t="shared" si="104"/>
        <v>0.23522727272727487</v>
      </c>
      <c r="AX79" s="46">
        <f t="shared" si="115"/>
        <v>4.2512077294685602</v>
      </c>
      <c r="AY79" s="72" t="str">
        <f t="shared" si="106"/>
        <v>DOS AÑOS</v>
      </c>
      <c r="AZ79" s="437"/>
      <c r="BA79" s="725"/>
      <c r="BB79" s="478"/>
      <c r="BC79" s="376"/>
      <c r="BD79" s="481"/>
    </row>
    <row r="80" spans="1:56" ht="14.25" customHeight="1" x14ac:dyDescent="0.25">
      <c r="A80"/>
      <c r="B80" s="604"/>
      <c r="C80" s="705"/>
      <c r="D80" s="490"/>
      <c r="E80" s="490"/>
      <c r="F80" s="608"/>
      <c r="G80" s="435"/>
      <c r="H80" s="709"/>
      <c r="I80" s="361">
        <v>1</v>
      </c>
      <c r="J80" s="713"/>
      <c r="K80" s="70" t="s">
        <v>69</v>
      </c>
      <c r="L80" s="717"/>
      <c r="M80" s="357" t="s">
        <v>69</v>
      </c>
      <c r="N80" s="721"/>
      <c r="O80" s="357" t="s">
        <v>69</v>
      </c>
      <c r="P80" s="721"/>
      <c r="Q80" s="37">
        <v>12.2</v>
      </c>
      <c r="R80" s="37">
        <v>12.007999999999999</v>
      </c>
      <c r="S80" s="38">
        <v>44063</v>
      </c>
      <c r="T80" s="447"/>
      <c r="U80" s="39">
        <v>11.84</v>
      </c>
      <c r="V80" s="39">
        <f t="shared" si="141"/>
        <v>-0.35999999999999943</v>
      </c>
      <c r="W80" s="39" t="s">
        <v>69</v>
      </c>
      <c r="X80" s="39" t="s">
        <v>69</v>
      </c>
      <c r="Y80" s="39" t="s">
        <v>69</v>
      </c>
      <c r="Z80" s="39" t="s">
        <v>69</v>
      </c>
      <c r="AA80" s="39" t="s">
        <v>69</v>
      </c>
      <c r="AB80" s="39">
        <v>0.13</v>
      </c>
      <c r="AC80" s="39" t="s">
        <v>69</v>
      </c>
      <c r="AD80" s="382">
        <f t="shared" si="147"/>
        <v>-0.22999999999999943</v>
      </c>
      <c r="AE80" s="257">
        <f t="shared" si="148"/>
        <v>-0.48999999999999944</v>
      </c>
      <c r="AF80" s="40">
        <f t="shared" si="107"/>
        <v>-0.22999999999999943</v>
      </c>
      <c r="AG80" s="41">
        <v>44420</v>
      </c>
      <c r="AH80" s="461"/>
      <c r="AI80" s="386">
        <v>12.15</v>
      </c>
      <c r="AJ80" s="94">
        <f t="shared" si="144"/>
        <v>0.14200000000000124</v>
      </c>
      <c r="AK80" s="42" t="s">
        <v>69</v>
      </c>
      <c r="AL80" s="42" t="s">
        <v>69</v>
      </c>
      <c r="AM80" s="42" t="s">
        <v>69</v>
      </c>
      <c r="AN80" s="42" t="s">
        <v>69</v>
      </c>
      <c r="AO80" s="42" t="s">
        <v>69</v>
      </c>
      <c r="AP80" s="42">
        <v>9.0999999999999998E-2</v>
      </c>
      <c r="AQ80" s="42" t="s">
        <v>69</v>
      </c>
      <c r="AR80" s="375">
        <f t="shared" si="149"/>
        <v>0.23300000000000123</v>
      </c>
      <c r="AS80" s="40">
        <f t="shared" si="150"/>
        <v>5.1000000000001239E-2</v>
      </c>
      <c r="AT80" s="40">
        <f t="shared" si="130"/>
        <v>0.23300000000000123</v>
      </c>
      <c r="AU80" s="43">
        <f t="shared" si="103"/>
        <v>0.97777777777777775</v>
      </c>
      <c r="AV80" s="44">
        <f t="shared" si="132"/>
        <v>0.46300000000000063</v>
      </c>
      <c r="AW80" s="45">
        <f t="shared" si="104"/>
        <v>0.47352272727272793</v>
      </c>
      <c r="AX80" s="46">
        <f t="shared" si="115"/>
        <v>2.1118310535157159</v>
      </c>
      <c r="AY80" s="72" t="str">
        <f t="shared" si="106"/>
        <v>DOS AÑOS</v>
      </c>
      <c r="AZ80" s="437"/>
      <c r="BA80" s="725"/>
      <c r="BB80" s="478"/>
      <c r="BC80" s="376"/>
      <c r="BD80" s="481"/>
    </row>
    <row r="81" spans="1:56" ht="14.25" customHeight="1" thickBot="1" x14ac:dyDescent="0.3">
      <c r="A81"/>
      <c r="B81" s="605"/>
      <c r="C81" s="706"/>
      <c r="D81" s="491"/>
      <c r="E81" s="491"/>
      <c r="F81" s="609"/>
      <c r="G81" s="442"/>
      <c r="H81" s="710"/>
      <c r="I81" s="362">
        <v>1</v>
      </c>
      <c r="J81" s="714"/>
      <c r="K81" s="378" t="s">
        <v>69</v>
      </c>
      <c r="L81" s="718"/>
      <c r="M81" s="358" t="s">
        <v>69</v>
      </c>
      <c r="N81" s="722"/>
      <c r="O81" s="358" t="s">
        <v>69</v>
      </c>
      <c r="P81" s="722"/>
      <c r="Q81" s="47">
        <v>15.17</v>
      </c>
      <c r="R81" s="47">
        <v>14.962999999999999</v>
      </c>
      <c r="S81" s="111">
        <v>44063</v>
      </c>
      <c r="T81" s="448"/>
      <c r="U81" s="48">
        <v>14.82</v>
      </c>
      <c r="V81" s="48">
        <f t="shared" si="141"/>
        <v>-0.34999999999999964</v>
      </c>
      <c r="W81" s="48" t="s">
        <v>69</v>
      </c>
      <c r="X81" s="48" t="s">
        <v>69</v>
      </c>
      <c r="Y81" s="48" t="s">
        <v>69</v>
      </c>
      <c r="Z81" s="48" t="s">
        <v>69</v>
      </c>
      <c r="AA81" s="48" t="s">
        <v>69</v>
      </c>
      <c r="AB81" s="48">
        <v>0.13</v>
      </c>
      <c r="AC81" s="48" t="s">
        <v>69</v>
      </c>
      <c r="AD81" s="379">
        <f t="shared" si="147"/>
        <v>-0.21999999999999964</v>
      </c>
      <c r="AE81" s="49">
        <f t="shared" si="148"/>
        <v>-0.47999999999999965</v>
      </c>
      <c r="AF81" s="49">
        <f t="shared" si="107"/>
        <v>-0.21999999999999964</v>
      </c>
      <c r="AG81" s="114">
        <v>44420</v>
      </c>
      <c r="AH81" s="462"/>
      <c r="AI81" s="50">
        <v>14.51</v>
      </c>
      <c r="AJ81" s="387">
        <f>AI81-R81</f>
        <v>-0.4529999999999994</v>
      </c>
      <c r="AK81" s="50" t="s">
        <v>69</v>
      </c>
      <c r="AL81" s="50" t="s">
        <v>69</v>
      </c>
      <c r="AM81" s="50" t="s">
        <v>69</v>
      </c>
      <c r="AN81" s="50" t="s">
        <v>69</v>
      </c>
      <c r="AO81" s="50" t="s">
        <v>69</v>
      </c>
      <c r="AP81" s="50">
        <v>9.2999999999999999E-2</v>
      </c>
      <c r="AQ81" s="50" t="s">
        <v>69</v>
      </c>
      <c r="AR81" s="379">
        <f t="shared" si="149"/>
        <v>-0.35999999999999943</v>
      </c>
      <c r="AS81" s="49">
        <f t="shared" si="150"/>
        <v>-0.54599999999999937</v>
      </c>
      <c r="AT81" s="49">
        <f t="shared" si="130"/>
        <v>-0.35999999999999943</v>
      </c>
      <c r="AU81" s="51">
        <f t="shared" si="103"/>
        <v>0.97777777777777775</v>
      </c>
      <c r="AV81" s="52">
        <f t="shared" si="132"/>
        <v>0.13999999999999979</v>
      </c>
      <c r="AW81" s="380">
        <f t="shared" si="104"/>
        <v>0.14318181818181797</v>
      </c>
      <c r="AX81" s="53">
        <f t="shared" si="115"/>
        <v>6.9841269841269948</v>
      </c>
      <c r="AY81" s="120" t="str">
        <f t="shared" si="106"/>
        <v>DOS AÑOS</v>
      </c>
      <c r="AZ81" s="438"/>
      <c r="BA81" s="726"/>
      <c r="BB81" s="479"/>
      <c r="BC81" s="381"/>
      <c r="BD81" s="482"/>
    </row>
    <row r="82" spans="1:56" ht="15.75" customHeight="1" x14ac:dyDescent="0.25">
      <c r="B82" s="684" t="s">
        <v>199</v>
      </c>
      <c r="C82" s="450" t="s">
        <v>207</v>
      </c>
      <c r="D82" s="651" t="s">
        <v>201</v>
      </c>
      <c r="E82" s="651" t="s">
        <v>202</v>
      </c>
      <c r="F82" s="654" t="s">
        <v>203</v>
      </c>
      <c r="G82" s="466" t="s">
        <v>105</v>
      </c>
      <c r="H82" s="515" t="s">
        <v>200</v>
      </c>
      <c r="I82" s="398">
        <v>3</v>
      </c>
      <c r="J82" s="648" t="s">
        <v>20</v>
      </c>
      <c r="K82" s="70">
        <v>3</v>
      </c>
      <c r="L82" s="408"/>
      <c r="M82" s="393" t="s">
        <v>69</v>
      </c>
      <c r="N82" s="409"/>
      <c r="O82" s="393" t="s">
        <v>69</v>
      </c>
      <c r="P82" s="409"/>
      <c r="Q82" s="57">
        <v>0</v>
      </c>
      <c r="R82" s="57">
        <v>0</v>
      </c>
      <c r="S82" s="58">
        <v>44101</v>
      </c>
      <c r="T82" s="474" t="s">
        <v>204</v>
      </c>
      <c r="U82" s="372">
        <v>0</v>
      </c>
      <c r="V82" s="372">
        <f>U82-Q82</f>
        <v>0</v>
      </c>
      <c r="W82" s="372">
        <v>0</v>
      </c>
      <c r="X82" s="372">
        <v>0</v>
      </c>
      <c r="Y82" s="372">
        <v>0</v>
      </c>
      <c r="Z82" s="372"/>
      <c r="AA82" s="372" t="s">
        <v>69</v>
      </c>
      <c r="AB82" s="372">
        <v>3.9</v>
      </c>
      <c r="AC82" s="413"/>
      <c r="AD82" s="124">
        <v>0</v>
      </c>
      <c r="AE82" s="124">
        <f t="shared" ref="AE82" si="151">(W82-AC82)</f>
        <v>0</v>
      </c>
      <c r="AF82" s="124">
        <f t="shared" si="107"/>
        <v>0</v>
      </c>
      <c r="AG82" s="60">
        <v>44420</v>
      </c>
      <c r="AH82" s="552">
        <v>66127</v>
      </c>
      <c r="AI82" s="61">
        <v>0</v>
      </c>
      <c r="AJ82" s="61">
        <f>AI82-Q82</f>
        <v>0</v>
      </c>
      <c r="AK82" s="61">
        <v>0</v>
      </c>
      <c r="AL82" s="61">
        <v>0</v>
      </c>
      <c r="AM82" s="61">
        <v>0</v>
      </c>
      <c r="AN82" s="61" t="s">
        <v>69</v>
      </c>
      <c r="AO82" s="61" t="s">
        <v>69</v>
      </c>
      <c r="AP82" s="61">
        <v>0.56999999999999995</v>
      </c>
      <c r="AQ82" s="61">
        <v>0.56999999999999995</v>
      </c>
      <c r="AR82" s="59">
        <f t="shared" ref="AR82:AR86" si="152">(AJ82+AQ82)</f>
        <v>0.56999999999999995</v>
      </c>
      <c r="AS82" s="59">
        <f t="shared" ref="AS82:AS86" si="153">(AK82-AQ82)</f>
        <v>-0.56999999999999995</v>
      </c>
      <c r="AT82" s="59">
        <f t="shared" si="130"/>
        <v>0.56999999999999995</v>
      </c>
      <c r="AU82" s="62">
        <f t="shared" si="103"/>
        <v>0.875</v>
      </c>
      <c r="AV82" s="63">
        <f t="shared" si="132"/>
        <v>0.56999999999999995</v>
      </c>
      <c r="AW82" s="64">
        <f t="shared" si="104"/>
        <v>0.65142857142857136</v>
      </c>
      <c r="AX82" s="65">
        <f t="shared" si="115"/>
        <v>4.6052631578947372</v>
      </c>
      <c r="AY82" s="66" t="str">
        <f t="shared" si="106"/>
        <v>DOS AÑOS</v>
      </c>
      <c r="AZ82" s="392"/>
      <c r="BA82" s="410"/>
      <c r="BB82" s="411"/>
      <c r="BC82" s="412"/>
      <c r="BD82" s="400"/>
    </row>
    <row r="83" spans="1:56" ht="15.75" customHeight="1" x14ac:dyDescent="0.25">
      <c r="B83" s="685"/>
      <c r="C83" s="450"/>
      <c r="D83" s="652"/>
      <c r="E83" s="652"/>
      <c r="F83" s="655"/>
      <c r="G83" s="466"/>
      <c r="H83" s="515"/>
      <c r="I83" s="398">
        <v>3</v>
      </c>
      <c r="J83" s="649"/>
      <c r="K83" s="70">
        <v>3</v>
      </c>
      <c r="L83" s="408"/>
      <c r="M83" s="393"/>
      <c r="N83" s="409"/>
      <c r="O83" s="393"/>
      <c r="P83" s="409"/>
      <c r="Q83" s="37" t="s">
        <v>69</v>
      </c>
      <c r="R83" s="37">
        <v>30</v>
      </c>
      <c r="S83" s="38"/>
      <c r="T83" s="475"/>
      <c r="U83" s="39"/>
      <c r="V83" s="39"/>
      <c r="W83" s="39"/>
      <c r="X83" s="39"/>
      <c r="Y83" s="39"/>
      <c r="Z83" s="39"/>
      <c r="AA83" s="39"/>
      <c r="AB83" s="39"/>
      <c r="AC83" s="39"/>
      <c r="AD83" s="40"/>
      <c r="AE83" s="40"/>
      <c r="AF83" s="40"/>
      <c r="AG83" s="41">
        <v>44420</v>
      </c>
      <c r="AH83" s="455"/>
      <c r="AI83" s="42">
        <v>30</v>
      </c>
      <c r="AJ83" s="42">
        <f>AI83-R83</f>
        <v>0</v>
      </c>
      <c r="AK83" s="42">
        <f>(AJ83*100)/R83</f>
        <v>0</v>
      </c>
      <c r="AL83" s="42">
        <v>0</v>
      </c>
      <c r="AM83" s="42">
        <f>AL83*100/R83</f>
        <v>0</v>
      </c>
      <c r="AN83" s="42"/>
      <c r="AO83" s="42"/>
      <c r="AP83" s="42">
        <v>0.56999999999999995</v>
      </c>
      <c r="AQ83" s="42">
        <f>(AP83*100)/R83</f>
        <v>1.8999999999999997</v>
      </c>
      <c r="AR83" s="40">
        <f t="shared" si="152"/>
        <v>1.8999999999999997</v>
      </c>
      <c r="AS83" s="40">
        <f t="shared" si="153"/>
        <v>-1.8999999999999997</v>
      </c>
      <c r="AT83" s="40">
        <f t="shared" si="130"/>
        <v>1.8999999999999997</v>
      </c>
      <c r="AU83" s="43" t="s">
        <v>69</v>
      </c>
      <c r="AV83" s="44" t="s">
        <v>69</v>
      </c>
      <c r="AW83" s="45" t="s">
        <v>69</v>
      </c>
      <c r="AX83" s="46" t="s">
        <v>69</v>
      </c>
      <c r="AY83" s="72" t="str">
        <f t="shared" si="106"/>
        <v>DOS AÑOS</v>
      </c>
      <c r="AZ83" s="392"/>
      <c r="BA83" s="410"/>
      <c r="BB83" s="411"/>
      <c r="BC83" s="412"/>
      <c r="BD83" s="400"/>
    </row>
    <row r="84" spans="1:56" ht="15.75" customHeight="1" x14ac:dyDescent="0.25">
      <c r="B84" s="685"/>
      <c r="C84" s="450"/>
      <c r="D84" s="652"/>
      <c r="E84" s="652"/>
      <c r="F84" s="655"/>
      <c r="G84" s="466"/>
      <c r="H84" s="515"/>
      <c r="I84" s="398">
        <v>3</v>
      </c>
      <c r="J84" s="649"/>
      <c r="K84" s="70">
        <v>3</v>
      </c>
      <c r="L84" s="408"/>
      <c r="M84" s="393"/>
      <c r="N84" s="409"/>
      <c r="O84" s="393"/>
      <c r="P84" s="409"/>
      <c r="Q84" s="37" t="s">
        <v>69</v>
      </c>
      <c r="R84" s="37">
        <v>40</v>
      </c>
      <c r="S84" s="38"/>
      <c r="T84" s="475"/>
      <c r="U84" s="39"/>
      <c r="V84" s="39"/>
      <c r="W84" s="39"/>
      <c r="X84" s="39"/>
      <c r="Y84" s="39"/>
      <c r="Z84" s="39"/>
      <c r="AA84" s="39"/>
      <c r="AB84" s="39"/>
      <c r="AC84" s="39"/>
      <c r="AD84" s="40"/>
      <c r="AE84" s="40"/>
      <c r="AF84" s="40"/>
      <c r="AG84" s="41">
        <v>44420</v>
      </c>
      <c r="AH84" s="455"/>
      <c r="AI84" s="42">
        <v>40</v>
      </c>
      <c r="AJ84" s="42">
        <f>AI84-R84</f>
        <v>0</v>
      </c>
      <c r="AK84" s="42">
        <f>(AJ84*100)/R84</f>
        <v>0</v>
      </c>
      <c r="AL84" s="42">
        <v>0</v>
      </c>
      <c r="AM84" s="42">
        <f>AL84*100/R84</f>
        <v>0</v>
      </c>
      <c r="AN84" s="42"/>
      <c r="AO84" s="42"/>
      <c r="AP84" s="42">
        <v>0.57999999999999996</v>
      </c>
      <c r="AQ84" s="42">
        <f>(AP84*100)/R84</f>
        <v>1.4499999999999997</v>
      </c>
      <c r="AR84" s="40">
        <f t="shared" si="152"/>
        <v>1.4499999999999997</v>
      </c>
      <c r="AS84" s="40">
        <f t="shared" si="153"/>
        <v>-1.4499999999999997</v>
      </c>
      <c r="AT84" s="40">
        <f t="shared" si="130"/>
        <v>1.4499999999999997</v>
      </c>
      <c r="AU84" s="43" t="s">
        <v>69</v>
      </c>
      <c r="AV84" s="44" t="s">
        <v>69</v>
      </c>
      <c r="AW84" s="45" t="s">
        <v>69</v>
      </c>
      <c r="AX84" s="46" t="s">
        <v>69</v>
      </c>
      <c r="AY84" s="72" t="str">
        <f t="shared" si="106"/>
        <v>DOS AÑOS</v>
      </c>
      <c r="AZ84" s="392"/>
      <c r="BA84" s="410"/>
      <c r="BB84" s="411"/>
      <c r="BC84" s="412"/>
      <c r="BD84" s="400"/>
    </row>
    <row r="85" spans="1:56" ht="15" customHeight="1" x14ac:dyDescent="0.25">
      <c r="B85" s="685"/>
      <c r="C85" s="450"/>
      <c r="D85" s="652"/>
      <c r="E85" s="652"/>
      <c r="F85" s="655"/>
      <c r="G85" s="466"/>
      <c r="H85" s="515"/>
      <c r="I85" s="398">
        <v>3</v>
      </c>
      <c r="J85" s="649"/>
      <c r="K85" s="70">
        <v>3</v>
      </c>
      <c r="L85" s="408"/>
      <c r="M85" s="393" t="s">
        <v>69</v>
      </c>
      <c r="N85" s="409"/>
      <c r="O85" s="393" t="s">
        <v>69</v>
      </c>
      <c r="P85" s="409"/>
      <c r="Q85" s="37"/>
      <c r="R85" s="37">
        <v>60</v>
      </c>
      <c r="S85" s="38"/>
      <c r="T85" s="475"/>
      <c r="U85" s="39"/>
      <c r="V85" s="39"/>
      <c r="W85" s="39"/>
      <c r="X85" s="39"/>
      <c r="Y85" s="39"/>
      <c r="Z85" s="39"/>
      <c r="AA85" s="39" t="s">
        <v>69</v>
      </c>
      <c r="AB85" s="39"/>
      <c r="AC85" s="39"/>
      <c r="AD85" s="40"/>
      <c r="AE85" s="40"/>
      <c r="AF85" s="40"/>
      <c r="AG85" s="41">
        <v>44420</v>
      </c>
      <c r="AH85" s="455"/>
      <c r="AI85" s="42">
        <v>60</v>
      </c>
      <c r="AJ85" s="42">
        <f>AI85-R85</f>
        <v>0</v>
      </c>
      <c r="AK85" s="42">
        <f>(AJ85*100)/R85</f>
        <v>0</v>
      </c>
      <c r="AL85" s="42">
        <v>0</v>
      </c>
      <c r="AM85" s="42">
        <f>AL85*100/R85</f>
        <v>0</v>
      </c>
      <c r="AN85" s="42" t="s">
        <v>69</v>
      </c>
      <c r="AO85" s="42" t="s">
        <v>69</v>
      </c>
      <c r="AP85" s="42">
        <v>0.59</v>
      </c>
      <c r="AQ85" s="42">
        <f>(AP85*100)/R85</f>
        <v>0.98333333333333328</v>
      </c>
      <c r="AR85" s="40">
        <f t="shared" si="152"/>
        <v>0.98333333333333328</v>
      </c>
      <c r="AS85" s="40">
        <f t="shared" si="153"/>
        <v>-0.98333333333333328</v>
      </c>
      <c r="AT85" s="40">
        <f t="shared" si="130"/>
        <v>0.98333333333333328</v>
      </c>
      <c r="AU85" s="43">
        <f t="shared" ref="AU85:AU86" si="154">YEARFRAC(S85,AG85)</f>
        <v>121.61666666666666</v>
      </c>
      <c r="AV85" s="44">
        <f t="shared" ref="AV85:AV88" si="155">ABS(AT85-AF85)</f>
        <v>0.98333333333333328</v>
      </c>
      <c r="AW85" s="45">
        <f t="shared" ref="AW85:AW88" si="156">(AV85/AU85)</f>
        <v>8.0855145950390565E-3</v>
      </c>
      <c r="AX85" s="46">
        <f t="shared" ref="AX85:AX88" si="157">(I85/AW85)</f>
        <v>371.03389830508479</v>
      </c>
      <c r="AY85" s="72" t="str">
        <f t="shared" si="106"/>
        <v>DOS AÑOS</v>
      </c>
      <c r="AZ85" s="392"/>
      <c r="BA85" s="410"/>
      <c r="BB85" s="411"/>
      <c r="BC85" s="412"/>
      <c r="BD85" s="400"/>
    </row>
    <row r="86" spans="1:56" ht="15" customHeight="1" x14ac:dyDescent="0.25">
      <c r="B86" s="685"/>
      <c r="C86" s="450"/>
      <c r="D86" s="652"/>
      <c r="E86" s="652"/>
      <c r="F86" s="655"/>
      <c r="G86" s="466"/>
      <c r="H86" s="515"/>
      <c r="I86" s="398">
        <v>3</v>
      </c>
      <c r="J86" s="649"/>
      <c r="K86" s="70">
        <v>3</v>
      </c>
      <c r="L86" s="408"/>
      <c r="M86" s="393" t="s">
        <v>69</v>
      </c>
      <c r="N86" s="409"/>
      <c r="O86" s="393" t="s">
        <v>69</v>
      </c>
      <c r="P86" s="409"/>
      <c r="Q86" s="37">
        <v>100.6</v>
      </c>
      <c r="R86" s="37">
        <v>100</v>
      </c>
      <c r="S86" s="38">
        <v>44101</v>
      </c>
      <c r="T86" s="475"/>
      <c r="U86" s="39">
        <v>100</v>
      </c>
      <c r="V86" s="39">
        <f t="shared" ref="V86" si="158">U86-Q86</f>
        <v>-0.59999999999999432</v>
      </c>
      <c r="W86" s="39">
        <f t="shared" ref="W86" si="159">V86*100/Q86</f>
        <v>-0.59642147117295663</v>
      </c>
      <c r="X86" s="39">
        <v>0</v>
      </c>
      <c r="Y86" s="39">
        <f t="shared" ref="Y86" si="160">X86*100/U86</f>
        <v>0</v>
      </c>
      <c r="Z86" s="39"/>
      <c r="AA86" s="39" t="s">
        <v>69</v>
      </c>
      <c r="AB86" s="39">
        <v>1.1000000000000001</v>
      </c>
      <c r="AC86" s="39">
        <f t="shared" ref="AC86" si="161">AB86*100/Q86</f>
        <v>1.0934393638170976</v>
      </c>
      <c r="AD86" s="40">
        <f t="shared" ref="AD86" si="162">(W86+AC86)</f>
        <v>0.49701789264414098</v>
      </c>
      <c r="AE86" s="40">
        <f t="shared" ref="AE86" si="163">(W86-AC86)</f>
        <v>-1.6898608349900544</v>
      </c>
      <c r="AF86" s="40">
        <f t="shared" ref="AF86" si="164">MAX(AD86:AE86)</f>
        <v>0.49701789264414098</v>
      </c>
      <c r="AG86" s="41">
        <v>44420</v>
      </c>
      <c r="AH86" s="456"/>
      <c r="AI86" s="42">
        <v>100</v>
      </c>
      <c r="AJ86" s="42">
        <f>AI86-R86</f>
        <v>0</v>
      </c>
      <c r="AK86" s="42">
        <f t="shared" ref="AK86" si="165">(AJ86*100)/Q86</f>
        <v>0</v>
      </c>
      <c r="AL86" s="42">
        <v>0</v>
      </c>
      <c r="AM86" s="42">
        <f>AL86*100/R86</f>
        <v>0</v>
      </c>
      <c r="AN86" s="42" t="s">
        <v>69</v>
      </c>
      <c r="AO86" s="42" t="s">
        <v>69</v>
      </c>
      <c r="AP86" s="42">
        <v>0.63</v>
      </c>
      <c r="AQ86" s="42">
        <f>(AP86*100)/R86</f>
        <v>0.63</v>
      </c>
      <c r="AR86" s="40">
        <f t="shared" si="152"/>
        <v>0.63</v>
      </c>
      <c r="AS86" s="40">
        <f t="shared" si="153"/>
        <v>-0.63</v>
      </c>
      <c r="AT86" s="40">
        <f t="shared" si="130"/>
        <v>0.63</v>
      </c>
      <c r="AU86" s="43">
        <f t="shared" si="154"/>
        <v>0.875</v>
      </c>
      <c r="AV86" s="44">
        <f t="shared" si="155"/>
        <v>0.13298210735585902</v>
      </c>
      <c r="AW86" s="45">
        <f t="shared" si="156"/>
        <v>0.15197955126383889</v>
      </c>
      <c r="AX86" s="46">
        <f t="shared" si="157"/>
        <v>19.739497682763602</v>
      </c>
      <c r="AY86" s="72" t="str">
        <f t="shared" si="106"/>
        <v>DOS AÑOS</v>
      </c>
      <c r="AZ86" s="392"/>
      <c r="BA86" s="410"/>
      <c r="BB86" s="411"/>
      <c r="BC86" s="412"/>
      <c r="BD86" s="400"/>
    </row>
    <row r="87" spans="1:56" ht="15" customHeight="1" x14ac:dyDescent="0.25">
      <c r="B87" s="685"/>
      <c r="C87" s="450"/>
      <c r="D87" s="652"/>
      <c r="E87" s="652"/>
      <c r="F87" s="655"/>
      <c r="G87" s="466"/>
      <c r="H87" s="515"/>
      <c r="I87" s="398">
        <v>3</v>
      </c>
      <c r="J87" s="649"/>
      <c r="K87" s="70">
        <v>3</v>
      </c>
      <c r="L87" s="408"/>
      <c r="M87" s="393"/>
      <c r="N87" s="409"/>
      <c r="O87" s="393"/>
      <c r="P87" s="409"/>
      <c r="Q87" s="37"/>
      <c r="R87" s="37">
        <v>100.4</v>
      </c>
      <c r="S87" s="38"/>
      <c r="T87" s="475"/>
      <c r="U87" s="39"/>
      <c r="V87" s="39"/>
      <c r="W87" s="39"/>
      <c r="X87" s="39"/>
      <c r="Y87" s="39"/>
      <c r="Z87" s="39"/>
      <c r="AA87" s="39"/>
      <c r="AB87" s="39"/>
      <c r="AC87" s="39"/>
      <c r="AD87" s="40"/>
      <c r="AE87" s="40"/>
      <c r="AF87" s="40"/>
      <c r="AG87" s="41">
        <v>44420</v>
      </c>
      <c r="AH87" s="454">
        <v>66136</v>
      </c>
      <c r="AI87" s="42">
        <v>99.7</v>
      </c>
      <c r="AJ87" s="42">
        <f t="shared" ref="AJ87:AJ92" si="166">AI87-R87</f>
        <v>-0.70000000000000284</v>
      </c>
      <c r="AK87" s="42">
        <f>(AJ87*100)/R87</f>
        <v>-0.69721115537848888</v>
      </c>
      <c r="AL87" s="42">
        <v>0.57999999999999996</v>
      </c>
      <c r="AM87" s="42">
        <f t="shared" ref="AM87:AM92" si="167">AL87*100/R87</f>
        <v>0.57768924302788838</v>
      </c>
      <c r="AN87" s="42"/>
      <c r="AO87" s="42"/>
      <c r="AP87" s="42">
        <v>1.9</v>
      </c>
      <c r="AQ87" s="42">
        <f t="shared" ref="AQ87:AQ88" si="168">(AP87*100)/R87</f>
        <v>1.892430278884462</v>
      </c>
      <c r="AR87" s="40">
        <f>(AK87+AQ87)</f>
        <v>1.1952191235059733</v>
      </c>
      <c r="AS87" s="40">
        <f>(AK87-AQ87)</f>
        <v>-2.5896414342629508</v>
      </c>
      <c r="AT87" s="40">
        <f t="shared" si="130"/>
        <v>1.1952191235059733</v>
      </c>
      <c r="AU87" s="43">
        <f>YEARFRAC(S87,AG87)</f>
        <v>121.61666666666666</v>
      </c>
      <c r="AV87" s="44">
        <f t="shared" si="155"/>
        <v>1.1952191235059733</v>
      </c>
      <c r="AW87" s="45">
        <f t="shared" si="156"/>
        <v>9.82775762784136E-3</v>
      </c>
      <c r="AX87" s="46">
        <f t="shared" si="157"/>
        <v>305.25783333333402</v>
      </c>
      <c r="AY87" s="72" t="str">
        <f t="shared" si="106"/>
        <v>DOS AÑOS</v>
      </c>
      <c r="AZ87" s="392"/>
      <c r="BA87" s="410"/>
      <c r="BB87" s="411"/>
      <c r="BC87" s="412"/>
      <c r="BD87" s="400"/>
    </row>
    <row r="88" spans="1:56" ht="15" customHeight="1" x14ac:dyDescent="0.25">
      <c r="B88" s="685"/>
      <c r="C88" s="450"/>
      <c r="D88" s="652"/>
      <c r="E88" s="652"/>
      <c r="F88" s="655"/>
      <c r="G88" s="466"/>
      <c r="H88" s="515"/>
      <c r="I88" s="398">
        <v>3</v>
      </c>
      <c r="J88" s="649"/>
      <c r="K88" s="70">
        <v>3</v>
      </c>
      <c r="L88" s="408" t="s">
        <v>20</v>
      </c>
      <c r="M88" s="393"/>
      <c r="N88" s="409"/>
      <c r="O88" s="393"/>
      <c r="P88" s="409"/>
      <c r="Q88" s="37">
        <v>198.2</v>
      </c>
      <c r="R88" s="37">
        <v>200.9</v>
      </c>
      <c r="S88" s="38">
        <v>44101</v>
      </c>
      <c r="T88" s="475"/>
      <c r="U88" s="39">
        <v>200</v>
      </c>
      <c r="V88" s="39">
        <f t="shared" ref="V88" si="169">U88-Q88</f>
        <v>1.8000000000000114</v>
      </c>
      <c r="W88" s="39">
        <f t="shared" ref="W88" si="170">V88*100/Q88</f>
        <v>0.9081735620585325</v>
      </c>
      <c r="X88" s="39">
        <v>0</v>
      </c>
      <c r="Y88" s="39">
        <f t="shared" ref="Y88:Y91" si="171">X88*100/U88</f>
        <v>0</v>
      </c>
      <c r="Z88" s="39"/>
      <c r="AA88" s="39"/>
      <c r="AB88" s="39">
        <v>1.9</v>
      </c>
      <c r="AC88" s="39">
        <f t="shared" ref="AC88" si="172">AB88*100/Q88</f>
        <v>0.95862764883955609</v>
      </c>
      <c r="AD88" s="40">
        <f t="shared" ref="AD88" si="173">(W88+AC88)</f>
        <v>1.8668012108980885</v>
      </c>
      <c r="AE88" s="40">
        <f t="shared" ref="AE88" si="174">(W88-AC88)</f>
        <v>-5.0454086781023588E-2</v>
      </c>
      <c r="AF88" s="40">
        <f t="shared" ref="AF88" si="175">MAX(AD88:AE88)</f>
        <v>1.8668012108980885</v>
      </c>
      <c r="AG88" s="41">
        <v>44420</v>
      </c>
      <c r="AH88" s="455"/>
      <c r="AI88" s="42">
        <v>200.3</v>
      </c>
      <c r="AJ88" s="42">
        <f t="shared" si="166"/>
        <v>-0.59999999999999432</v>
      </c>
      <c r="AK88" s="42">
        <f t="shared" ref="AK88" si="176">(AJ88*100)/Q88</f>
        <v>-0.30272452068617273</v>
      </c>
      <c r="AL88" s="42">
        <v>0.57999999999999996</v>
      </c>
      <c r="AM88" s="42">
        <f t="shared" si="167"/>
        <v>0.28870084619213537</v>
      </c>
      <c r="AN88" s="42"/>
      <c r="AO88" s="42"/>
      <c r="AP88" s="42">
        <v>3.1</v>
      </c>
      <c r="AQ88" s="42">
        <f t="shared" si="168"/>
        <v>1.5430562468889994</v>
      </c>
      <c r="AR88" s="40">
        <f t="shared" ref="AR88:AR92" si="177">(AK88+AQ88)</f>
        <v>1.2403317262028266</v>
      </c>
      <c r="AS88" s="40">
        <f t="shared" ref="AS88:AS97" si="178">(AK88-AQ88)</f>
        <v>-1.8457807675751723</v>
      </c>
      <c r="AT88" s="40">
        <f t="shared" si="130"/>
        <v>1.2403317262028266</v>
      </c>
      <c r="AU88" s="43">
        <f t="shared" ref="AU88" si="179">YEARFRAC(S88,AG88)</f>
        <v>0.875</v>
      </c>
      <c r="AV88" s="44">
        <f t="shared" si="155"/>
        <v>0.62646948469526187</v>
      </c>
      <c r="AW88" s="45">
        <f t="shared" si="156"/>
        <v>0.71596512536601353</v>
      </c>
      <c r="AX88" s="46">
        <f t="shared" si="157"/>
        <v>4.1901482260973939</v>
      </c>
      <c r="AY88" s="72" t="str">
        <f t="shared" si="106"/>
        <v>DOS AÑOS</v>
      </c>
      <c r="AZ88" s="392"/>
      <c r="BA88" s="410"/>
      <c r="BB88" s="411"/>
      <c r="BC88" s="412"/>
      <c r="BD88" s="400"/>
    </row>
    <row r="89" spans="1:56" ht="15.75" customHeight="1" x14ac:dyDescent="0.25">
      <c r="B89" s="685"/>
      <c r="C89" s="450"/>
      <c r="D89" s="652"/>
      <c r="E89" s="652"/>
      <c r="F89" s="655"/>
      <c r="G89" s="466"/>
      <c r="H89" s="515"/>
      <c r="I89" s="398">
        <v>3</v>
      </c>
      <c r="J89" s="649"/>
      <c r="K89" s="70">
        <v>3</v>
      </c>
      <c r="L89" s="408"/>
      <c r="M89" s="393" t="s">
        <v>69</v>
      </c>
      <c r="N89" s="409"/>
      <c r="O89" s="393" t="s">
        <v>69</v>
      </c>
      <c r="P89" s="409"/>
      <c r="Q89" s="37">
        <v>396.6</v>
      </c>
      <c r="R89" s="37">
        <v>301.3</v>
      </c>
      <c r="S89" s="38">
        <v>44101</v>
      </c>
      <c r="T89" s="475"/>
      <c r="U89" s="39">
        <v>400</v>
      </c>
      <c r="V89" s="39">
        <f t="shared" ref="V89:V91" si="180">U89-Q89</f>
        <v>3.3999999999999773</v>
      </c>
      <c r="W89" s="39">
        <f t="shared" ref="W89:W91" si="181">V89*100/Q89</f>
        <v>0.85728693898133557</v>
      </c>
      <c r="X89" s="39">
        <v>0</v>
      </c>
      <c r="Y89" s="39">
        <f t="shared" si="171"/>
        <v>0</v>
      </c>
      <c r="Z89" s="39"/>
      <c r="AA89" s="39" t="s">
        <v>69</v>
      </c>
      <c r="AB89" s="39">
        <v>3.8</v>
      </c>
      <c r="AC89" s="39">
        <f t="shared" ref="AC89:AC91" si="182">AB89*100/Q89</f>
        <v>0.95814422592032267</v>
      </c>
      <c r="AD89" s="40">
        <f t="shared" ref="AD89:AD91" si="183">(W89+AC89)</f>
        <v>1.8154311649016583</v>
      </c>
      <c r="AE89" s="40">
        <f t="shared" ref="AE89:AE91" si="184">(W89-AC89)</f>
        <v>-0.1008572869389871</v>
      </c>
      <c r="AF89" s="40">
        <f t="shared" ref="AF89:AF91" si="185">MAX(AD89:AE89)</f>
        <v>1.8154311649016583</v>
      </c>
      <c r="AG89" s="41">
        <v>44420</v>
      </c>
      <c r="AH89" s="455"/>
      <c r="AI89" s="42">
        <v>300</v>
      </c>
      <c r="AJ89" s="42">
        <f t="shared" si="166"/>
        <v>-1.3000000000000114</v>
      </c>
      <c r="AK89" s="42">
        <f t="shared" ref="AK89:AK90" si="186">(AJ89*100)/R89</f>
        <v>-0.43146365748423876</v>
      </c>
      <c r="AL89" s="42">
        <v>1</v>
      </c>
      <c r="AM89" s="42">
        <f t="shared" si="167"/>
        <v>0.33189512114171921</v>
      </c>
      <c r="AN89" s="42" t="s">
        <v>69</v>
      </c>
      <c r="AO89" s="42" t="s">
        <v>69</v>
      </c>
      <c r="AP89" s="42">
        <v>4.2</v>
      </c>
      <c r="AQ89" s="42">
        <f>(AP89*100)/R89</f>
        <v>1.3939595087952206</v>
      </c>
      <c r="AR89" s="40">
        <f t="shared" si="177"/>
        <v>0.96249585131098181</v>
      </c>
      <c r="AS89" s="40">
        <f t="shared" si="178"/>
        <v>-1.8254231662794593</v>
      </c>
      <c r="AT89" s="40">
        <f t="shared" si="130"/>
        <v>0.96249585131098181</v>
      </c>
      <c r="AU89" s="43">
        <f>YEARFRAC(S89,AG89)</f>
        <v>0.875</v>
      </c>
      <c r="AV89" s="44" t="s">
        <v>69</v>
      </c>
      <c r="AW89" s="45" t="s">
        <v>69</v>
      </c>
      <c r="AX89" s="46" t="s">
        <v>69</v>
      </c>
      <c r="AY89" s="72" t="str">
        <f t="shared" si="106"/>
        <v>DOS AÑOS</v>
      </c>
      <c r="AZ89" s="392"/>
      <c r="BA89" s="410"/>
      <c r="BB89" s="411"/>
      <c r="BC89" s="412"/>
      <c r="BD89" s="400"/>
    </row>
    <row r="90" spans="1:56" ht="15.75" customHeight="1" x14ac:dyDescent="0.25">
      <c r="B90" s="685"/>
      <c r="C90" s="450"/>
      <c r="D90" s="652"/>
      <c r="E90" s="652"/>
      <c r="F90" s="655"/>
      <c r="G90" s="466"/>
      <c r="H90" s="515"/>
      <c r="I90" s="398">
        <v>3</v>
      </c>
      <c r="J90" s="649"/>
      <c r="K90" s="70">
        <v>3</v>
      </c>
      <c r="L90" s="408"/>
      <c r="M90" s="393"/>
      <c r="N90" s="409"/>
      <c r="O90" s="393"/>
      <c r="P90" s="409"/>
      <c r="Q90" s="37">
        <v>602.9</v>
      </c>
      <c r="R90" s="37">
        <v>401.8</v>
      </c>
      <c r="S90" s="38">
        <v>44101</v>
      </c>
      <c r="T90" s="475"/>
      <c r="U90" s="39">
        <v>600</v>
      </c>
      <c r="V90" s="39">
        <f t="shared" si="180"/>
        <v>-2.8999999999999773</v>
      </c>
      <c r="W90" s="39">
        <f t="shared" si="181"/>
        <v>-0.4810084591142772</v>
      </c>
      <c r="X90" s="39">
        <v>0</v>
      </c>
      <c r="Y90" s="39">
        <f t="shared" si="171"/>
        <v>0</v>
      </c>
      <c r="Z90" s="39"/>
      <c r="AA90" s="39"/>
      <c r="AB90" s="39">
        <v>5.7</v>
      </c>
      <c r="AC90" s="39">
        <f t="shared" si="182"/>
        <v>0.94543041963841434</v>
      </c>
      <c r="AD90" s="40">
        <f t="shared" si="183"/>
        <v>0.46442196052413715</v>
      </c>
      <c r="AE90" s="40">
        <f t="shared" si="184"/>
        <v>-1.4264388787526916</v>
      </c>
      <c r="AF90" s="40">
        <f t="shared" si="185"/>
        <v>0.46442196052413715</v>
      </c>
      <c r="AG90" s="41">
        <v>44420</v>
      </c>
      <c r="AH90" s="455"/>
      <c r="AI90" s="42">
        <v>401</v>
      </c>
      <c r="AJ90" s="42">
        <f t="shared" si="166"/>
        <v>-0.80000000000001137</v>
      </c>
      <c r="AK90" s="42">
        <f t="shared" si="186"/>
        <v>-0.19910403185664793</v>
      </c>
      <c r="AL90" s="42">
        <v>1.73</v>
      </c>
      <c r="AM90" s="42">
        <f t="shared" si="167"/>
        <v>0.430562468889995</v>
      </c>
      <c r="AN90" s="42"/>
      <c r="AO90" s="42"/>
      <c r="AP90" s="42">
        <v>5.5</v>
      </c>
      <c r="AQ90" s="42">
        <f>(AP90*100)/R90</f>
        <v>1.3688402190144351</v>
      </c>
      <c r="AR90" s="40">
        <f t="shared" ref="AR90" si="187">(AK90+AQ90)</f>
        <v>1.1697361871577872</v>
      </c>
      <c r="AS90" s="40">
        <f t="shared" ref="AS90" si="188">(AK90-AQ90)</f>
        <v>-1.567944250871083</v>
      </c>
      <c r="AT90" s="40">
        <f t="shared" ref="AT90" si="189">MAX(AR90:AS90)</f>
        <v>1.1697361871577872</v>
      </c>
      <c r="AU90" s="43">
        <f>YEARFRAC(S90,AG90)</f>
        <v>0.875</v>
      </c>
      <c r="AV90" s="44"/>
      <c r="AW90" s="45"/>
      <c r="AX90" s="46"/>
      <c r="AY90" s="72" t="str">
        <f t="shared" si="106"/>
        <v>UN AÑO</v>
      </c>
      <c r="AZ90" s="392"/>
      <c r="BA90" s="410"/>
      <c r="BB90" s="411"/>
      <c r="BC90" s="412"/>
      <c r="BD90" s="400"/>
    </row>
    <row r="91" spans="1:56" ht="15.75" customHeight="1" x14ac:dyDescent="0.25">
      <c r="B91" s="685"/>
      <c r="C91" s="450"/>
      <c r="D91" s="652"/>
      <c r="E91" s="652"/>
      <c r="F91" s="655"/>
      <c r="G91" s="466"/>
      <c r="H91" s="515"/>
      <c r="I91" s="398">
        <v>3</v>
      </c>
      <c r="J91" s="649"/>
      <c r="K91" s="70">
        <v>3</v>
      </c>
      <c r="L91" s="408"/>
      <c r="M91" s="393"/>
      <c r="N91" s="409"/>
      <c r="O91" s="393"/>
      <c r="P91" s="409"/>
      <c r="Q91" s="37">
        <v>805.9</v>
      </c>
      <c r="R91" s="37">
        <v>502.3</v>
      </c>
      <c r="S91" s="38">
        <v>44101</v>
      </c>
      <c r="T91" s="475"/>
      <c r="U91" s="39">
        <v>800</v>
      </c>
      <c r="V91" s="39">
        <f t="shared" si="180"/>
        <v>-5.8999999999999773</v>
      </c>
      <c r="W91" s="39">
        <f t="shared" si="181"/>
        <v>-0.73210075691772891</v>
      </c>
      <c r="X91" s="39">
        <v>0</v>
      </c>
      <c r="Y91" s="39">
        <f t="shared" si="171"/>
        <v>0</v>
      </c>
      <c r="Z91" s="39"/>
      <c r="AA91" s="39"/>
      <c r="AB91" s="39">
        <v>7.6</v>
      </c>
      <c r="AC91" s="39">
        <f t="shared" si="182"/>
        <v>0.94304504280928159</v>
      </c>
      <c r="AD91" s="40">
        <f t="shared" si="183"/>
        <v>0.21094428589155267</v>
      </c>
      <c r="AE91" s="40">
        <f t="shared" si="184"/>
        <v>-1.6751457997270105</v>
      </c>
      <c r="AF91" s="40">
        <f t="shared" si="185"/>
        <v>0.21094428589155267</v>
      </c>
      <c r="AG91" s="41">
        <v>44420</v>
      </c>
      <c r="AH91" s="455"/>
      <c r="AI91" s="42">
        <v>499.3</v>
      </c>
      <c r="AJ91" s="42">
        <f t="shared" si="166"/>
        <v>-3</v>
      </c>
      <c r="AK91" s="42">
        <f>(AJ91*100)/R91</f>
        <v>-0.59725263786581728</v>
      </c>
      <c r="AL91" s="42">
        <v>0.57999999999999996</v>
      </c>
      <c r="AM91" s="42">
        <f t="shared" si="167"/>
        <v>0.11546884332072464</v>
      </c>
      <c r="AN91" s="42"/>
      <c r="AO91" s="42"/>
      <c r="AP91" s="42">
        <v>6.4</v>
      </c>
      <c r="AQ91" s="42">
        <f>(AP91*100)/R91</f>
        <v>1.2741389607804101</v>
      </c>
      <c r="AR91" s="40">
        <f t="shared" si="177"/>
        <v>0.67688632291459283</v>
      </c>
      <c r="AS91" s="40">
        <f t="shared" si="178"/>
        <v>-1.8713915986462273</v>
      </c>
      <c r="AT91" s="40">
        <f t="shared" si="130"/>
        <v>0.67688632291459283</v>
      </c>
      <c r="AU91" s="43">
        <f t="shared" ref="AU91:AU93" si="190">YEARFRAC(S91,AG91)</f>
        <v>0.875</v>
      </c>
      <c r="AV91" s="44" t="s">
        <v>69</v>
      </c>
      <c r="AW91" s="45" t="s">
        <v>69</v>
      </c>
      <c r="AX91" s="46" t="s">
        <v>69</v>
      </c>
      <c r="AY91" s="72" t="str">
        <f t="shared" si="106"/>
        <v>DOS AÑOS</v>
      </c>
      <c r="AZ91" s="399"/>
      <c r="BA91" s="396"/>
      <c r="BB91" s="389"/>
      <c r="BC91" s="74"/>
      <c r="BD91" s="391"/>
    </row>
    <row r="92" spans="1:56" ht="15.75" customHeight="1" thickBot="1" x14ac:dyDescent="0.3">
      <c r="B92" s="685"/>
      <c r="C92" s="450"/>
      <c r="D92" s="652"/>
      <c r="E92" s="652"/>
      <c r="F92" s="655"/>
      <c r="G92" s="466"/>
      <c r="H92" s="515"/>
      <c r="I92" s="398">
        <v>3</v>
      </c>
      <c r="J92" s="650"/>
      <c r="K92" s="70">
        <v>3</v>
      </c>
      <c r="L92" s="408"/>
      <c r="M92" s="393"/>
      <c r="N92" s="409"/>
      <c r="O92" s="393"/>
      <c r="P92" s="409"/>
      <c r="Q92" s="47">
        <v>1007.9</v>
      </c>
      <c r="R92" s="47">
        <v>1004</v>
      </c>
      <c r="S92" s="111">
        <v>44101</v>
      </c>
      <c r="T92" s="475"/>
      <c r="U92" s="48">
        <v>1000</v>
      </c>
      <c r="V92" s="48">
        <f t="shared" ref="V92" si="191">U92-Q92</f>
        <v>-7.8999999999999773</v>
      </c>
      <c r="W92" s="48">
        <f>V92*100/Q92</f>
        <v>-0.78380791745212597</v>
      </c>
      <c r="X92" s="48">
        <v>0</v>
      </c>
      <c r="Y92" s="48">
        <f t="shared" ref="Y92" si="192">X92*100/U92</f>
        <v>0</v>
      </c>
      <c r="Z92" s="48"/>
      <c r="AA92" s="48"/>
      <c r="AB92" s="48">
        <v>9.4</v>
      </c>
      <c r="AC92" s="48">
        <f t="shared" ref="AC92" si="193">AB92*100/Q92</f>
        <v>0.93263220557595006</v>
      </c>
      <c r="AD92" s="49">
        <f t="shared" ref="AD92" si="194">(W92+AC92)</f>
        <v>0.14882428812382409</v>
      </c>
      <c r="AE92" s="49">
        <f t="shared" ref="AE92:AE93" si="195">(W92-AC92)</f>
        <v>-1.7164401230280761</v>
      </c>
      <c r="AF92" s="49">
        <f t="shared" ref="AF92:AF93" si="196">MAX(AD92:AE92)</f>
        <v>0.14882428812382409</v>
      </c>
      <c r="AG92" s="114">
        <v>44420</v>
      </c>
      <c r="AH92" s="553"/>
      <c r="AI92" s="50">
        <v>998</v>
      </c>
      <c r="AJ92" s="50">
        <f t="shared" si="166"/>
        <v>-6</v>
      </c>
      <c r="AK92" s="50">
        <f t="shared" ref="AK92" si="197">(AJ92*100)/R92</f>
        <v>-0.59760956175298807</v>
      </c>
      <c r="AL92" s="50">
        <v>0.57999999999999996</v>
      </c>
      <c r="AM92" s="50">
        <f t="shared" si="167"/>
        <v>5.7768924302788835E-2</v>
      </c>
      <c r="AN92" s="50"/>
      <c r="AO92" s="50"/>
      <c r="AP92" s="50">
        <v>13</v>
      </c>
      <c r="AQ92" s="50">
        <f>(AP92*100)/R92</f>
        <v>1.2948207171314741</v>
      </c>
      <c r="AR92" s="49">
        <f t="shared" si="177"/>
        <v>0.69721115537848599</v>
      </c>
      <c r="AS92" s="49">
        <f t="shared" si="178"/>
        <v>-1.8924302788844622</v>
      </c>
      <c r="AT92" s="49">
        <f t="shared" si="130"/>
        <v>0.69721115537848599</v>
      </c>
      <c r="AU92" s="51">
        <f t="shared" si="190"/>
        <v>0.875</v>
      </c>
      <c r="AV92" s="52">
        <f t="shared" ref="AV92:AV93" si="198">ABS(AT92-AF92)</f>
        <v>0.5483868672546619</v>
      </c>
      <c r="AW92" s="380">
        <f t="shared" ref="AW92:AW93" si="199">(AV92/AU92)</f>
        <v>0.62672784829104222</v>
      </c>
      <c r="AX92" s="53">
        <f t="shared" ref="AX92:AX93" si="200">(I92/AW92)</f>
        <v>4.7867667093147084</v>
      </c>
      <c r="AY92" s="120" t="str">
        <f t="shared" si="106"/>
        <v>DOS AÑOS</v>
      </c>
      <c r="AZ92" s="399"/>
      <c r="BA92" s="396"/>
      <c r="BB92" s="389"/>
      <c r="BC92" s="74"/>
      <c r="BD92" s="391"/>
    </row>
    <row r="93" spans="1:56" ht="15.75" customHeight="1" x14ac:dyDescent="0.25">
      <c r="B93" s="685"/>
      <c r="C93" s="450" t="s">
        <v>208</v>
      </c>
      <c r="D93" s="652"/>
      <c r="E93" s="652"/>
      <c r="F93" s="655"/>
      <c r="G93" s="466" t="s">
        <v>105</v>
      </c>
      <c r="H93" s="515" t="s">
        <v>200</v>
      </c>
      <c r="I93" s="398">
        <v>3</v>
      </c>
      <c r="J93" s="648" t="s">
        <v>20</v>
      </c>
      <c r="K93" s="70">
        <v>3</v>
      </c>
      <c r="L93" s="408"/>
      <c r="M93" s="393" t="s">
        <v>69</v>
      </c>
      <c r="N93" s="409"/>
      <c r="O93" s="393" t="s">
        <v>69</v>
      </c>
      <c r="P93" s="409"/>
      <c r="Q93" s="57">
        <v>0</v>
      </c>
      <c r="R93" s="57">
        <v>0</v>
      </c>
      <c r="S93" s="58">
        <v>44101</v>
      </c>
      <c r="T93" s="475"/>
      <c r="U93" s="372">
        <v>0</v>
      </c>
      <c r="V93" s="372">
        <f>U93-Q93</f>
        <v>0</v>
      </c>
      <c r="W93" s="372">
        <v>0</v>
      </c>
      <c r="X93" s="372">
        <v>0</v>
      </c>
      <c r="Y93" s="372">
        <v>0</v>
      </c>
      <c r="Z93" s="372"/>
      <c r="AA93" s="372" t="s">
        <v>69</v>
      </c>
      <c r="AB93" s="372">
        <v>3.9</v>
      </c>
      <c r="AC93" s="413"/>
      <c r="AD93" s="124">
        <v>0</v>
      </c>
      <c r="AE93" s="124">
        <f t="shared" si="195"/>
        <v>0</v>
      </c>
      <c r="AF93" s="124">
        <f t="shared" si="196"/>
        <v>0</v>
      </c>
      <c r="AG93" s="60">
        <v>44420</v>
      </c>
      <c r="AH93" s="552">
        <v>66127</v>
      </c>
      <c r="AI93" s="61">
        <v>0</v>
      </c>
      <c r="AJ93" s="61">
        <f>AI93-Q93</f>
        <v>0</v>
      </c>
      <c r="AK93" s="61">
        <v>0</v>
      </c>
      <c r="AL93" s="61">
        <v>0</v>
      </c>
      <c r="AM93" s="61">
        <v>0</v>
      </c>
      <c r="AN93" s="61" t="s">
        <v>69</v>
      </c>
      <c r="AO93" s="61" t="s">
        <v>69</v>
      </c>
      <c r="AP93" s="61">
        <v>0.56999999999999995</v>
      </c>
      <c r="AQ93" s="61">
        <v>0.56999999999999995</v>
      </c>
      <c r="AR93" s="59">
        <f t="shared" ref="AR93:AR97" si="201">(AJ93+AQ93)</f>
        <v>0.56999999999999995</v>
      </c>
      <c r="AS93" s="59">
        <f t="shared" si="178"/>
        <v>-0.56999999999999995</v>
      </c>
      <c r="AT93" s="59">
        <f t="shared" ref="AT93:AT103" si="202">MAX(AR93:AS93)</f>
        <v>0.56999999999999995</v>
      </c>
      <c r="AU93" s="62">
        <f t="shared" si="190"/>
        <v>0.875</v>
      </c>
      <c r="AV93" s="63">
        <f t="shared" si="198"/>
        <v>0.56999999999999995</v>
      </c>
      <c r="AW93" s="64">
        <f t="shared" si="199"/>
        <v>0.65142857142857136</v>
      </c>
      <c r="AX93" s="65">
        <f t="shared" si="200"/>
        <v>4.6052631578947372</v>
      </c>
      <c r="AY93" s="66" t="str">
        <f t="shared" ref="AY93:AY103" si="203">IF(AX93&lt;=1,"UN AÑO",IF(AX93&gt;=1,"DOS AÑOS"))</f>
        <v>DOS AÑOS</v>
      </c>
      <c r="AZ93" s="392"/>
      <c r="BA93" s="410"/>
      <c r="BB93" s="411"/>
      <c r="BC93" s="412"/>
      <c r="BD93" s="400"/>
    </row>
    <row r="94" spans="1:56" ht="15.75" customHeight="1" x14ac:dyDescent="0.25">
      <c r="B94" s="685"/>
      <c r="C94" s="450"/>
      <c r="D94" s="652"/>
      <c r="E94" s="652"/>
      <c r="F94" s="655"/>
      <c r="G94" s="466"/>
      <c r="H94" s="515"/>
      <c r="I94" s="398">
        <v>3</v>
      </c>
      <c r="J94" s="649"/>
      <c r="K94" s="70">
        <v>3</v>
      </c>
      <c r="L94" s="408"/>
      <c r="M94" s="393"/>
      <c r="N94" s="409"/>
      <c r="O94" s="393"/>
      <c r="P94" s="409"/>
      <c r="Q94" s="37" t="s">
        <v>69</v>
      </c>
      <c r="R94" s="37">
        <v>30</v>
      </c>
      <c r="S94" s="38"/>
      <c r="T94" s="475"/>
      <c r="U94" s="39"/>
      <c r="V94" s="39"/>
      <c r="W94" s="39"/>
      <c r="X94" s="39"/>
      <c r="Y94" s="39"/>
      <c r="Z94" s="39"/>
      <c r="AA94" s="39"/>
      <c r="AB94" s="39"/>
      <c r="AC94" s="39"/>
      <c r="AD94" s="40"/>
      <c r="AE94" s="40"/>
      <c r="AF94" s="40"/>
      <c r="AG94" s="41">
        <v>44420</v>
      </c>
      <c r="AH94" s="455"/>
      <c r="AI94" s="42">
        <v>30</v>
      </c>
      <c r="AJ94" s="42">
        <f>AI94-R94</f>
        <v>0</v>
      </c>
      <c r="AK94" s="42">
        <f>(AJ94*100)/R94</f>
        <v>0</v>
      </c>
      <c r="AL94" s="42">
        <v>0</v>
      </c>
      <c r="AM94" s="42">
        <f>AL94*100/R94</f>
        <v>0</v>
      </c>
      <c r="AN94" s="42"/>
      <c r="AO94" s="42"/>
      <c r="AP94" s="42">
        <v>0.56999999999999995</v>
      </c>
      <c r="AQ94" s="42">
        <f>(AP94*100)/R94</f>
        <v>1.8999999999999997</v>
      </c>
      <c r="AR94" s="40">
        <f t="shared" si="201"/>
        <v>1.8999999999999997</v>
      </c>
      <c r="AS94" s="40">
        <f t="shared" si="178"/>
        <v>-1.8999999999999997</v>
      </c>
      <c r="AT94" s="40">
        <f t="shared" si="202"/>
        <v>1.8999999999999997</v>
      </c>
      <c r="AU94" s="43" t="s">
        <v>69</v>
      </c>
      <c r="AV94" s="44" t="s">
        <v>69</v>
      </c>
      <c r="AW94" s="45" t="s">
        <v>69</v>
      </c>
      <c r="AX94" s="46" t="s">
        <v>69</v>
      </c>
      <c r="AY94" s="72" t="str">
        <f t="shared" si="203"/>
        <v>DOS AÑOS</v>
      </c>
      <c r="AZ94" s="392"/>
      <c r="BA94" s="410"/>
      <c r="BB94" s="411"/>
      <c r="BC94" s="412"/>
      <c r="BD94" s="400"/>
    </row>
    <row r="95" spans="1:56" ht="15.75" customHeight="1" x14ac:dyDescent="0.25">
      <c r="B95" s="685"/>
      <c r="C95" s="450"/>
      <c r="D95" s="652"/>
      <c r="E95" s="652"/>
      <c r="F95" s="655"/>
      <c r="G95" s="466"/>
      <c r="H95" s="515"/>
      <c r="I95" s="398">
        <v>3</v>
      </c>
      <c r="J95" s="649"/>
      <c r="K95" s="70">
        <v>3</v>
      </c>
      <c r="L95" s="408"/>
      <c r="M95" s="393"/>
      <c r="N95" s="409"/>
      <c r="O95" s="393"/>
      <c r="P95" s="409"/>
      <c r="Q95" s="37" t="s">
        <v>69</v>
      </c>
      <c r="R95" s="37">
        <v>40</v>
      </c>
      <c r="S95" s="38"/>
      <c r="T95" s="475"/>
      <c r="U95" s="39"/>
      <c r="V95" s="39"/>
      <c r="W95" s="39"/>
      <c r="X95" s="39"/>
      <c r="Y95" s="39"/>
      <c r="Z95" s="39"/>
      <c r="AA95" s="39"/>
      <c r="AB95" s="39"/>
      <c r="AC95" s="39"/>
      <c r="AD95" s="40"/>
      <c r="AE95" s="40"/>
      <c r="AF95" s="40"/>
      <c r="AG95" s="41">
        <v>44420</v>
      </c>
      <c r="AH95" s="455"/>
      <c r="AI95" s="42">
        <v>40</v>
      </c>
      <c r="AJ95" s="42">
        <f>AI95-R95</f>
        <v>0</v>
      </c>
      <c r="AK95" s="42">
        <f>(AJ95*100)/R95</f>
        <v>0</v>
      </c>
      <c r="AL95" s="42">
        <v>0</v>
      </c>
      <c r="AM95" s="42">
        <f>AL95*100/R95</f>
        <v>0</v>
      </c>
      <c r="AN95" s="42"/>
      <c r="AO95" s="42"/>
      <c r="AP95" s="42">
        <v>0.57999999999999996</v>
      </c>
      <c r="AQ95" s="42">
        <f>(AP95*100)/R95</f>
        <v>1.4499999999999997</v>
      </c>
      <c r="AR95" s="40">
        <f t="shared" si="201"/>
        <v>1.4499999999999997</v>
      </c>
      <c r="AS95" s="40">
        <f t="shared" si="178"/>
        <v>-1.4499999999999997</v>
      </c>
      <c r="AT95" s="40">
        <f t="shared" si="202"/>
        <v>1.4499999999999997</v>
      </c>
      <c r="AU95" s="43" t="s">
        <v>69</v>
      </c>
      <c r="AV95" s="44" t="s">
        <v>69</v>
      </c>
      <c r="AW95" s="45" t="s">
        <v>69</v>
      </c>
      <c r="AX95" s="46" t="s">
        <v>69</v>
      </c>
      <c r="AY95" s="72" t="str">
        <f t="shared" si="203"/>
        <v>DOS AÑOS</v>
      </c>
      <c r="AZ95" s="392"/>
      <c r="BA95" s="410"/>
      <c r="BB95" s="411"/>
      <c r="BC95" s="412"/>
      <c r="BD95" s="400"/>
    </row>
    <row r="96" spans="1:56" ht="15" customHeight="1" x14ac:dyDescent="0.25">
      <c r="B96" s="685"/>
      <c r="C96" s="450"/>
      <c r="D96" s="652"/>
      <c r="E96" s="652"/>
      <c r="F96" s="655"/>
      <c r="G96" s="466"/>
      <c r="H96" s="515"/>
      <c r="I96" s="398">
        <v>3</v>
      </c>
      <c r="J96" s="649"/>
      <c r="K96" s="70">
        <v>3</v>
      </c>
      <c r="L96" s="408"/>
      <c r="M96" s="393" t="s">
        <v>69</v>
      </c>
      <c r="N96" s="409"/>
      <c r="O96" s="393" t="s">
        <v>69</v>
      </c>
      <c r="P96" s="409"/>
      <c r="Q96" s="37"/>
      <c r="R96" s="37">
        <v>60</v>
      </c>
      <c r="S96" s="38"/>
      <c r="T96" s="475"/>
      <c r="U96" s="39"/>
      <c r="V96" s="39"/>
      <c r="W96" s="39"/>
      <c r="X96" s="39"/>
      <c r="Y96" s="39"/>
      <c r="Z96" s="39"/>
      <c r="AA96" s="39" t="s">
        <v>69</v>
      </c>
      <c r="AB96" s="39"/>
      <c r="AC96" s="39"/>
      <c r="AD96" s="40"/>
      <c r="AE96" s="40"/>
      <c r="AF96" s="40"/>
      <c r="AG96" s="41">
        <v>44420</v>
      </c>
      <c r="AH96" s="455"/>
      <c r="AI96" s="42">
        <v>60</v>
      </c>
      <c r="AJ96" s="42">
        <f>AI96-R96</f>
        <v>0</v>
      </c>
      <c r="AK96" s="42">
        <f>(AJ96*100)/R96</f>
        <v>0</v>
      </c>
      <c r="AL96" s="42">
        <v>0</v>
      </c>
      <c r="AM96" s="42">
        <f>AL96*100/R96</f>
        <v>0</v>
      </c>
      <c r="AN96" s="42" t="s">
        <v>69</v>
      </c>
      <c r="AO96" s="42" t="s">
        <v>69</v>
      </c>
      <c r="AP96" s="42">
        <v>0.59</v>
      </c>
      <c r="AQ96" s="42">
        <f>(AP96*100)/R96</f>
        <v>0.98333333333333328</v>
      </c>
      <c r="AR96" s="40">
        <f t="shared" si="201"/>
        <v>0.98333333333333328</v>
      </c>
      <c r="AS96" s="40">
        <f t="shared" si="178"/>
        <v>-0.98333333333333328</v>
      </c>
      <c r="AT96" s="40">
        <f t="shared" si="202"/>
        <v>0.98333333333333328</v>
      </c>
      <c r="AU96" s="43">
        <f t="shared" ref="AU96:AU97" si="204">YEARFRAC(S96,AG96)</f>
        <v>121.61666666666666</v>
      </c>
      <c r="AV96" s="44">
        <f t="shared" ref="AV96:AV99" si="205">ABS(AT96-AF96)</f>
        <v>0.98333333333333328</v>
      </c>
      <c r="AW96" s="45">
        <f t="shared" ref="AW96:AW99" si="206">(AV96/AU96)</f>
        <v>8.0855145950390565E-3</v>
      </c>
      <c r="AX96" s="46">
        <f t="shared" ref="AX96:AX99" si="207">(I96/AW96)</f>
        <v>371.03389830508479</v>
      </c>
      <c r="AY96" s="72" t="str">
        <f t="shared" si="203"/>
        <v>DOS AÑOS</v>
      </c>
      <c r="AZ96" s="392"/>
      <c r="BA96" s="410"/>
      <c r="BB96" s="411"/>
      <c r="BC96" s="412"/>
      <c r="BD96" s="400"/>
    </row>
    <row r="97" spans="1:56" ht="15" customHeight="1" x14ac:dyDescent="0.25">
      <c r="B97" s="685"/>
      <c r="C97" s="450"/>
      <c r="D97" s="652"/>
      <c r="E97" s="652"/>
      <c r="F97" s="655"/>
      <c r="G97" s="466"/>
      <c r="H97" s="515"/>
      <c r="I97" s="398">
        <v>3</v>
      </c>
      <c r="J97" s="649"/>
      <c r="K97" s="70">
        <v>3</v>
      </c>
      <c r="L97" s="408"/>
      <c r="M97" s="393" t="s">
        <v>69</v>
      </c>
      <c r="N97" s="409"/>
      <c r="O97" s="393" t="s">
        <v>69</v>
      </c>
      <c r="P97" s="409"/>
      <c r="Q97" s="37">
        <v>100.6</v>
      </c>
      <c r="R97" s="37">
        <v>100</v>
      </c>
      <c r="S97" s="38">
        <v>44101</v>
      </c>
      <c r="T97" s="475"/>
      <c r="U97" s="39">
        <v>100</v>
      </c>
      <c r="V97" s="39">
        <f t="shared" ref="V97" si="208">U97-Q97</f>
        <v>-0.59999999999999432</v>
      </c>
      <c r="W97" s="39">
        <f t="shared" ref="W97" si="209">V97*100/Q97</f>
        <v>-0.59642147117295663</v>
      </c>
      <c r="X97" s="39">
        <v>0</v>
      </c>
      <c r="Y97" s="39">
        <f t="shared" ref="Y97" si="210">X97*100/U97</f>
        <v>0</v>
      </c>
      <c r="Z97" s="39"/>
      <c r="AA97" s="39" t="s">
        <v>69</v>
      </c>
      <c r="AB97" s="39">
        <v>1.1000000000000001</v>
      </c>
      <c r="AC97" s="39">
        <f t="shared" ref="AC97" si="211">AB97*100/Q97</f>
        <v>1.0934393638170976</v>
      </c>
      <c r="AD97" s="40">
        <f t="shared" ref="AD97" si="212">(W97+AC97)</f>
        <v>0.49701789264414098</v>
      </c>
      <c r="AE97" s="40">
        <f t="shared" ref="AE97" si="213">(W97-AC97)</f>
        <v>-1.6898608349900544</v>
      </c>
      <c r="AF97" s="40">
        <f t="shared" ref="AF97" si="214">MAX(AD97:AE97)</f>
        <v>0.49701789264414098</v>
      </c>
      <c r="AG97" s="41">
        <v>44420</v>
      </c>
      <c r="AH97" s="456"/>
      <c r="AI97" s="42">
        <v>100</v>
      </c>
      <c r="AJ97" s="42">
        <f>AI97-R97</f>
        <v>0</v>
      </c>
      <c r="AK97" s="42">
        <f t="shared" ref="AK97" si="215">(AJ97*100)/Q97</f>
        <v>0</v>
      </c>
      <c r="AL97" s="42">
        <v>0</v>
      </c>
      <c r="AM97" s="42">
        <f>AL97*100/R97</f>
        <v>0</v>
      </c>
      <c r="AN97" s="42" t="s">
        <v>69</v>
      </c>
      <c r="AO97" s="42" t="s">
        <v>69</v>
      </c>
      <c r="AP97" s="42">
        <v>0.63</v>
      </c>
      <c r="AQ97" s="42">
        <f>(AP97*100)/R97</f>
        <v>0.63</v>
      </c>
      <c r="AR97" s="40">
        <f t="shared" si="201"/>
        <v>0.63</v>
      </c>
      <c r="AS97" s="40">
        <f t="shared" si="178"/>
        <v>-0.63</v>
      </c>
      <c r="AT97" s="40">
        <f t="shared" si="202"/>
        <v>0.63</v>
      </c>
      <c r="AU97" s="43">
        <f t="shared" si="204"/>
        <v>0.875</v>
      </c>
      <c r="AV97" s="44">
        <f t="shared" si="205"/>
        <v>0.13298210735585902</v>
      </c>
      <c r="AW97" s="45">
        <f t="shared" si="206"/>
        <v>0.15197955126383889</v>
      </c>
      <c r="AX97" s="46">
        <f t="shared" si="207"/>
        <v>19.739497682763602</v>
      </c>
      <c r="AY97" s="72" t="str">
        <f t="shared" si="203"/>
        <v>DOS AÑOS</v>
      </c>
      <c r="AZ97" s="392"/>
      <c r="BA97" s="410"/>
      <c r="BB97" s="411"/>
      <c r="BC97" s="412"/>
      <c r="BD97" s="400"/>
    </row>
    <row r="98" spans="1:56" ht="15" customHeight="1" x14ac:dyDescent="0.25">
      <c r="B98" s="685"/>
      <c r="C98" s="450"/>
      <c r="D98" s="652"/>
      <c r="E98" s="652"/>
      <c r="F98" s="655"/>
      <c r="G98" s="466"/>
      <c r="H98" s="515"/>
      <c r="I98" s="398">
        <v>3</v>
      </c>
      <c r="J98" s="649"/>
      <c r="K98" s="70">
        <v>3</v>
      </c>
      <c r="L98" s="408"/>
      <c r="M98" s="393"/>
      <c r="N98" s="409"/>
      <c r="O98" s="393"/>
      <c r="P98" s="409"/>
      <c r="Q98" s="37"/>
      <c r="R98" s="37">
        <v>100.4</v>
      </c>
      <c r="S98" s="38"/>
      <c r="T98" s="475"/>
      <c r="U98" s="39"/>
      <c r="V98" s="39"/>
      <c r="W98" s="39"/>
      <c r="X98" s="39"/>
      <c r="Y98" s="39"/>
      <c r="Z98" s="39"/>
      <c r="AA98" s="39"/>
      <c r="AB98" s="39"/>
      <c r="AC98" s="39"/>
      <c r="AD98" s="40"/>
      <c r="AE98" s="40"/>
      <c r="AF98" s="40"/>
      <c r="AG98" s="41">
        <v>44420</v>
      </c>
      <c r="AH98" s="454">
        <v>66136</v>
      </c>
      <c r="AI98" s="42">
        <v>100.3</v>
      </c>
      <c r="AJ98" s="42">
        <f t="shared" ref="AJ98:AJ103" si="216">AI98-R98</f>
        <v>-0.10000000000000853</v>
      </c>
      <c r="AK98" s="42">
        <f>(AJ98*100)/R98</f>
        <v>-9.9601593625506496E-2</v>
      </c>
      <c r="AL98" s="42">
        <v>0.57999999999999996</v>
      </c>
      <c r="AM98" s="42">
        <f t="shared" ref="AM98:AM103" si="217">AL98*100/R98</f>
        <v>0.57768924302788838</v>
      </c>
      <c r="AN98" s="42"/>
      <c r="AO98" s="42"/>
      <c r="AP98" s="42">
        <v>1.9</v>
      </c>
      <c r="AQ98" s="42">
        <f t="shared" ref="AQ98:AQ99" si="218">(AP98*100)/R98</f>
        <v>1.892430278884462</v>
      </c>
      <c r="AR98" s="40">
        <f>(AK98+AQ98)</f>
        <v>1.7928286852589554</v>
      </c>
      <c r="AS98" s="40">
        <f>(AK98-AQ98)</f>
        <v>-1.9920318725099686</v>
      </c>
      <c r="AT98" s="40">
        <f t="shared" si="202"/>
        <v>1.7928286852589554</v>
      </c>
      <c r="AU98" s="43">
        <f>YEARFRAC(S98,AG98)</f>
        <v>121.61666666666666</v>
      </c>
      <c r="AV98" s="44">
        <f t="shared" si="205"/>
        <v>1.7928286852589554</v>
      </c>
      <c r="AW98" s="45">
        <f t="shared" si="206"/>
        <v>1.4741636441762003E-2</v>
      </c>
      <c r="AX98" s="46">
        <f t="shared" si="207"/>
        <v>203.50522222222321</v>
      </c>
      <c r="AY98" s="72" t="str">
        <f t="shared" si="203"/>
        <v>DOS AÑOS</v>
      </c>
      <c r="AZ98" s="392"/>
      <c r="BA98" s="410"/>
      <c r="BB98" s="411"/>
      <c r="BC98" s="412"/>
      <c r="BD98" s="400"/>
    </row>
    <row r="99" spans="1:56" ht="15" customHeight="1" x14ac:dyDescent="0.25">
      <c r="B99" s="685"/>
      <c r="C99" s="450"/>
      <c r="D99" s="652"/>
      <c r="E99" s="652"/>
      <c r="F99" s="655"/>
      <c r="G99" s="466"/>
      <c r="H99" s="515"/>
      <c r="I99" s="398">
        <v>3</v>
      </c>
      <c r="J99" s="649"/>
      <c r="K99" s="70">
        <v>3</v>
      </c>
      <c r="L99" s="408" t="s">
        <v>20</v>
      </c>
      <c r="M99" s="393"/>
      <c r="N99" s="409"/>
      <c r="O99" s="393"/>
      <c r="P99" s="409"/>
      <c r="Q99" s="37">
        <v>198.2</v>
      </c>
      <c r="R99" s="37">
        <v>200.9</v>
      </c>
      <c r="S99" s="38">
        <v>44101</v>
      </c>
      <c r="T99" s="475"/>
      <c r="U99" s="39">
        <v>200</v>
      </c>
      <c r="V99" s="39">
        <f t="shared" ref="V99:V103" si="219">U99-Q99</f>
        <v>1.8000000000000114</v>
      </c>
      <c r="W99" s="39">
        <f t="shared" ref="W99:W102" si="220">V99*100/Q99</f>
        <v>0.9081735620585325</v>
      </c>
      <c r="X99" s="39">
        <v>0</v>
      </c>
      <c r="Y99" s="39">
        <f t="shared" ref="Y99:Y103" si="221">X99*100/U99</f>
        <v>0</v>
      </c>
      <c r="Z99" s="39"/>
      <c r="AA99" s="39"/>
      <c r="AB99" s="39">
        <v>1.9</v>
      </c>
      <c r="AC99" s="39">
        <f t="shared" ref="AC99:AC103" si="222">AB99*100/Q99</f>
        <v>0.95862764883955609</v>
      </c>
      <c r="AD99" s="40">
        <f t="shared" ref="AD99:AD103" si="223">(W99+AC99)</f>
        <v>1.8668012108980885</v>
      </c>
      <c r="AE99" s="40">
        <f t="shared" ref="AE99:AE103" si="224">(W99-AC99)</f>
        <v>-5.0454086781023588E-2</v>
      </c>
      <c r="AF99" s="40">
        <f t="shared" ref="AF99:AF103" si="225">MAX(AD99:AE99)</f>
        <v>1.8668012108980885</v>
      </c>
      <c r="AG99" s="41">
        <v>44420</v>
      </c>
      <c r="AH99" s="455"/>
      <c r="AI99" s="42">
        <v>200.7</v>
      </c>
      <c r="AJ99" s="42">
        <f t="shared" si="216"/>
        <v>-0.20000000000001705</v>
      </c>
      <c r="AK99" s="42">
        <f t="shared" ref="AK99" si="226">(AJ99*100)/Q99</f>
        <v>-0.10090817356206713</v>
      </c>
      <c r="AL99" s="42">
        <v>0.57999999999999996</v>
      </c>
      <c r="AM99" s="42">
        <f t="shared" si="217"/>
        <v>0.28870084619213537</v>
      </c>
      <c r="AN99" s="42"/>
      <c r="AO99" s="42"/>
      <c r="AP99" s="42">
        <v>3.1</v>
      </c>
      <c r="AQ99" s="42">
        <f t="shared" si="218"/>
        <v>1.5430562468889994</v>
      </c>
      <c r="AR99" s="40">
        <f t="shared" ref="AR99:AR103" si="227">(AK99+AQ99)</f>
        <v>1.4421480733269323</v>
      </c>
      <c r="AS99" s="40">
        <f t="shared" ref="AS99:AS103" si="228">(AK99-AQ99)</f>
        <v>-1.6439644204510666</v>
      </c>
      <c r="AT99" s="40">
        <f t="shared" si="202"/>
        <v>1.4421480733269323</v>
      </c>
      <c r="AU99" s="43">
        <f t="shared" ref="AU99" si="229">YEARFRAC(S99,AG99)</f>
        <v>0.875</v>
      </c>
      <c r="AV99" s="44">
        <f t="shared" si="205"/>
        <v>0.42465313757115619</v>
      </c>
      <c r="AW99" s="45">
        <f t="shared" si="206"/>
        <v>0.48531787150989281</v>
      </c>
      <c r="AX99" s="46">
        <f t="shared" si="207"/>
        <v>6.1815156129869564</v>
      </c>
      <c r="AY99" s="72" t="str">
        <f t="shared" si="203"/>
        <v>DOS AÑOS</v>
      </c>
      <c r="AZ99" s="392"/>
      <c r="BA99" s="410"/>
      <c r="BB99" s="411"/>
      <c r="BC99" s="412"/>
      <c r="BD99" s="400"/>
    </row>
    <row r="100" spans="1:56" ht="15.75" customHeight="1" x14ac:dyDescent="0.25">
      <c r="B100" s="685"/>
      <c r="C100" s="450"/>
      <c r="D100" s="652"/>
      <c r="E100" s="652"/>
      <c r="F100" s="655"/>
      <c r="G100" s="466"/>
      <c r="H100" s="515"/>
      <c r="I100" s="398">
        <v>3</v>
      </c>
      <c r="J100" s="649"/>
      <c r="K100" s="70">
        <v>3</v>
      </c>
      <c r="L100" s="408"/>
      <c r="M100" s="393" t="s">
        <v>69</v>
      </c>
      <c r="N100" s="409"/>
      <c r="O100" s="393" t="s">
        <v>69</v>
      </c>
      <c r="P100" s="409"/>
      <c r="Q100" s="37">
        <v>396.6</v>
      </c>
      <c r="R100" s="37">
        <v>301.3</v>
      </c>
      <c r="S100" s="38">
        <v>44101</v>
      </c>
      <c r="T100" s="475"/>
      <c r="U100" s="39">
        <v>400</v>
      </c>
      <c r="V100" s="39">
        <f t="shared" si="219"/>
        <v>3.3999999999999773</v>
      </c>
      <c r="W100" s="39">
        <f t="shared" si="220"/>
        <v>0.85728693898133557</v>
      </c>
      <c r="X100" s="39">
        <v>0</v>
      </c>
      <c r="Y100" s="39">
        <f t="shared" si="221"/>
        <v>0</v>
      </c>
      <c r="Z100" s="39"/>
      <c r="AA100" s="39" t="s">
        <v>69</v>
      </c>
      <c r="AB100" s="39">
        <v>3.8</v>
      </c>
      <c r="AC100" s="39">
        <f t="shared" si="222"/>
        <v>0.95814422592032267</v>
      </c>
      <c r="AD100" s="40">
        <f t="shared" si="223"/>
        <v>1.8154311649016583</v>
      </c>
      <c r="AE100" s="40">
        <f t="shared" si="224"/>
        <v>-0.1008572869389871</v>
      </c>
      <c r="AF100" s="40">
        <f t="shared" si="225"/>
        <v>1.8154311649016583</v>
      </c>
      <c r="AG100" s="41">
        <v>44420</v>
      </c>
      <c r="AH100" s="455"/>
      <c r="AI100" s="42">
        <v>300.3</v>
      </c>
      <c r="AJ100" s="42">
        <f t="shared" si="216"/>
        <v>-1</v>
      </c>
      <c r="AK100" s="42">
        <f t="shared" ref="AK100:AK101" si="230">(AJ100*100)/R100</f>
        <v>-0.33189512114171921</v>
      </c>
      <c r="AL100" s="42">
        <v>0.57999999999999996</v>
      </c>
      <c r="AM100" s="42">
        <f t="shared" si="217"/>
        <v>0.19249917026219712</v>
      </c>
      <c r="AN100" s="42" t="s">
        <v>69</v>
      </c>
      <c r="AO100" s="42" t="s">
        <v>69</v>
      </c>
      <c r="AP100" s="42">
        <v>4.0999999999999996</v>
      </c>
      <c r="AQ100" s="42">
        <f>(AP100*100)/R100</f>
        <v>1.3607699966810485</v>
      </c>
      <c r="AR100" s="40">
        <f t="shared" si="227"/>
        <v>1.0288748755393293</v>
      </c>
      <c r="AS100" s="40">
        <f t="shared" si="228"/>
        <v>-1.6926651178227676</v>
      </c>
      <c r="AT100" s="40">
        <f t="shared" si="202"/>
        <v>1.0288748755393293</v>
      </c>
      <c r="AU100" s="43">
        <f>YEARFRAC(S100,AG100)</f>
        <v>0.875</v>
      </c>
      <c r="AV100" s="44" t="s">
        <v>69</v>
      </c>
      <c r="AW100" s="45" t="s">
        <v>69</v>
      </c>
      <c r="AX100" s="46" t="s">
        <v>69</v>
      </c>
      <c r="AY100" s="72" t="str">
        <f t="shared" si="203"/>
        <v>DOS AÑOS</v>
      </c>
      <c r="AZ100" s="392"/>
      <c r="BA100" s="410"/>
      <c r="BB100" s="411"/>
      <c r="BC100" s="412"/>
      <c r="BD100" s="400"/>
    </row>
    <row r="101" spans="1:56" ht="15.75" customHeight="1" x14ac:dyDescent="0.25">
      <c r="B101" s="685"/>
      <c r="C101" s="450"/>
      <c r="D101" s="652"/>
      <c r="E101" s="652"/>
      <c r="F101" s="655"/>
      <c r="G101" s="466"/>
      <c r="H101" s="515"/>
      <c r="I101" s="398">
        <v>3</v>
      </c>
      <c r="J101" s="649"/>
      <c r="K101" s="70">
        <v>3</v>
      </c>
      <c r="L101" s="408"/>
      <c r="M101" s="393"/>
      <c r="N101" s="409"/>
      <c r="O101" s="393"/>
      <c r="P101" s="409"/>
      <c r="Q101" s="37">
        <v>602.9</v>
      </c>
      <c r="R101" s="37">
        <v>401.8</v>
      </c>
      <c r="S101" s="38">
        <v>44101</v>
      </c>
      <c r="T101" s="475"/>
      <c r="U101" s="39">
        <v>600</v>
      </c>
      <c r="V101" s="39">
        <f t="shared" si="219"/>
        <v>-2.8999999999999773</v>
      </c>
      <c r="W101" s="39">
        <f t="shared" si="220"/>
        <v>-0.4810084591142772</v>
      </c>
      <c r="X101" s="39">
        <v>0</v>
      </c>
      <c r="Y101" s="39">
        <f t="shared" si="221"/>
        <v>0</v>
      </c>
      <c r="Z101" s="39"/>
      <c r="AA101" s="39"/>
      <c r="AB101" s="39">
        <v>5.7</v>
      </c>
      <c r="AC101" s="39">
        <f t="shared" si="222"/>
        <v>0.94543041963841434</v>
      </c>
      <c r="AD101" s="40">
        <f t="shared" si="223"/>
        <v>0.46442196052413715</v>
      </c>
      <c r="AE101" s="40">
        <f t="shared" si="224"/>
        <v>-1.4264388787526916</v>
      </c>
      <c r="AF101" s="40">
        <f t="shared" si="225"/>
        <v>0.46442196052413715</v>
      </c>
      <c r="AG101" s="41">
        <v>44420</v>
      </c>
      <c r="AH101" s="455"/>
      <c r="AI101" s="42">
        <v>401.3</v>
      </c>
      <c r="AJ101" s="42">
        <f t="shared" si="216"/>
        <v>-0.5</v>
      </c>
      <c r="AK101" s="42">
        <f t="shared" si="230"/>
        <v>-0.12444001991040318</v>
      </c>
      <c r="AL101" s="42">
        <v>0.57999999999999996</v>
      </c>
      <c r="AM101" s="42">
        <f t="shared" si="217"/>
        <v>0.14435042309606769</v>
      </c>
      <c r="AN101" s="42"/>
      <c r="AO101" s="42"/>
      <c r="AP101" s="42">
        <v>5.2</v>
      </c>
      <c r="AQ101" s="42">
        <f>(AP101*100)/R101</f>
        <v>1.294176207068193</v>
      </c>
      <c r="AR101" s="40">
        <f t="shared" si="227"/>
        <v>1.1697361871577898</v>
      </c>
      <c r="AS101" s="40">
        <f t="shared" si="228"/>
        <v>-1.4186162269785962</v>
      </c>
      <c r="AT101" s="40">
        <f t="shared" si="202"/>
        <v>1.1697361871577898</v>
      </c>
      <c r="AU101" s="43">
        <f>YEARFRAC(S101,AG101)</f>
        <v>0.875</v>
      </c>
      <c r="AV101" s="44"/>
      <c r="AW101" s="45"/>
      <c r="AX101" s="46"/>
      <c r="AY101" s="72" t="str">
        <f t="shared" si="203"/>
        <v>UN AÑO</v>
      </c>
      <c r="AZ101" s="392"/>
      <c r="BA101" s="410"/>
      <c r="BB101" s="411"/>
      <c r="BC101" s="412"/>
      <c r="BD101" s="400"/>
    </row>
    <row r="102" spans="1:56" ht="15.75" customHeight="1" x14ac:dyDescent="0.25">
      <c r="B102" s="685"/>
      <c r="C102" s="450"/>
      <c r="D102" s="652"/>
      <c r="E102" s="652"/>
      <c r="F102" s="655"/>
      <c r="G102" s="466"/>
      <c r="H102" s="515"/>
      <c r="I102" s="398">
        <v>3</v>
      </c>
      <c r="J102" s="649"/>
      <c r="K102" s="70">
        <v>3</v>
      </c>
      <c r="L102" s="408"/>
      <c r="M102" s="393"/>
      <c r="N102" s="409"/>
      <c r="O102" s="393"/>
      <c r="P102" s="409"/>
      <c r="Q102" s="37">
        <v>805.9</v>
      </c>
      <c r="R102" s="37">
        <v>502.3</v>
      </c>
      <c r="S102" s="38">
        <v>44101</v>
      </c>
      <c r="T102" s="475"/>
      <c r="U102" s="39">
        <v>800</v>
      </c>
      <c r="V102" s="39">
        <f t="shared" si="219"/>
        <v>-5.8999999999999773</v>
      </c>
      <c r="W102" s="39">
        <f t="shared" si="220"/>
        <v>-0.73210075691772891</v>
      </c>
      <c r="X102" s="39">
        <v>0</v>
      </c>
      <c r="Y102" s="39">
        <f t="shared" si="221"/>
        <v>0</v>
      </c>
      <c r="Z102" s="39"/>
      <c r="AA102" s="39"/>
      <c r="AB102" s="39">
        <v>7.6</v>
      </c>
      <c r="AC102" s="39">
        <f t="shared" si="222"/>
        <v>0.94304504280928159</v>
      </c>
      <c r="AD102" s="40">
        <f t="shared" si="223"/>
        <v>0.21094428589155267</v>
      </c>
      <c r="AE102" s="40">
        <f t="shared" si="224"/>
        <v>-1.6751457997270105</v>
      </c>
      <c r="AF102" s="40">
        <f t="shared" si="225"/>
        <v>0.21094428589155267</v>
      </c>
      <c r="AG102" s="41">
        <v>44420</v>
      </c>
      <c r="AH102" s="455"/>
      <c r="AI102" s="42">
        <v>501.36</v>
      </c>
      <c r="AJ102" s="42">
        <f t="shared" si="216"/>
        <v>-0.93999999999999773</v>
      </c>
      <c r="AK102" s="42">
        <f>(AJ102*100)/R102</f>
        <v>-0.18713915986462229</v>
      </c>
      <c r="AL102" s="42">
        <v>0.57999999999999996</v>
      </c>
      <c r="AM102" s="42">
        <f t="shared" si="217"/>
        <v>0.11546884332072464</v>
      </c>
      <c r="AN102" s="42"/>
      <c r="AO102" s="42"/>
      <c r="AP102" s="42">
        <v>6.4</v>
      </c>
      <c r="AQ102" s="42">
        <f>(AP102*100)/R102</f>
        <v>1.2741389607804101</v>
      </c>
      <c r="AR102" s="40">
        <f t="shared" si="227"/>
        <v>1.0869998009157877</v>
      </c>
      <c r="AS102" s="40">
        <f t="shared" si="228"/>
        <v>-1.4612781206450325</v>
      </c>
      <c r="AT102" s="40">
        <f t="shared" si="202"/>
        <v>1.0869998009157877</v>
      </c>
      <c r="AU102" s="43">
        <f t="shared" ref="AU102:AU103" si="231">YEARFRAC(S102,AG102)</f>
        <v>0.875</v>
      </c>
      <c r="AV102" s="44" t="s">
        <v>69</v>
      </c>
      <c r="AW102" s="45" t="s">
        <v>69</v>
      </c>
      <c r="AX102" s="46" t="s">
        <v>69</v>
      </c>
      <c r="AY102" s="72" t="str">
        <f t="shared" si="203"/>
        <v>DOS AÑOS</v>
      </c>
      <c r="AZ102" s="399"/>
      <c r="BA102" s="396"/>
      <c r="BB102" s="389"/>
      <c r="BC102" s="74"/>
      <c r="BD102" s="391"/>
    </row>
    <row r="103" spans="1:56" ht="15.75" customHeight="1" thickBot="1" x14ac:dyDescent="0.3">
      <c r="B103" s="686"/>
      <c r="C103" s="450"/>
      <c r="D103" s="653"/>
      <c r="E103" s="653"/>
      <c r="F103" s="656"/>
      <c r="G103" s="466"/>
      <c r="H103" s="515"/>
      <c r="I103" s="398">
        <v>3</v>
      </c>
      <c r="J103" s="650"/>
      <c r="K103" s="70">
        <v>3</v>
      </c>
      <c r="L103" s="408"/>
      <c r="M103" s="393"/>
      <c r="N103" s="409"/>
      <c r="O103" s="393"/>
      <c r="P103" s="409"/>
      <c r="Q103" s="47">
        <v>1007.9</v>
      </c>
      <c r="R103" s="47">
        <v>1004</v>
      </c>
      <c r="S103" s="111">
        <v>44101</v>
      </c>
      <c r="T103" s="476"/>
      <c r="U103" s="48">
        <v>1000</v>
      </c>
      <c r="V103" s="48">
        <f t="shared" si="219"/>
        <v>-7.8999999999999773</v>
      </c>
      <c r="W103" s="48">
        <f>V103*100/Q103</f>
        <v>-0.78380791745212597</v>
      </c>
      <c r="X103" s="48">
        <v>0</v>
      </c>
      <c r="Y103" s="48">
        <f t="shared" si="221"/>
        <v>0</v>
      </c>
      <c r="Z103" s="48"/>
      <c r="AA103" s="48"/>
      <c r="AB103" s="48">
        <v>9.4</v>
      </c>
      <c r="AC103" s="48">
        <f t="shared" si="222"/>
        <v>0.93263220557595006</v>
      </c>
      <c r="AD103" s="49">
        <f t="shared" si="223"/>
        <v>0.14882428812382409</v>
      </c>
      <c r="AE103" s="49">
        <f t="shared" si="224"/>
        <v>-1.7164401230280761</v>
      </c>
      <c r="AF103" s="49">
        <f t="shared" si="225"/>
        <v>0.14882428812382409</v>
      </c>
      <c r="AG103" s="114">
        <v>44420</v>
      </c>
      <c r="AH103" s="553"/>
      <c r="AI103" s="50">
        <v>1001</v>
      </c>
      <c r="AJ103" s="50">
        <f t="shared" si="216"/>
        <v>-3</v>
      </c>
      <c r="AK103" s="50">
        <f t="shared" ref="AK103" si="232">(AJ103*100)/R103</f>
        <v>-0.29880478087649404</v>
      </c>
      <c r="AL103" s="50">
        <v>1</v>
      </c>
      <c r="AM103" s="50">
        <f t="shared" si="217"/>
        <v>9.9601593625498003E-2</v>
      </c>
      <c r="AN103" s="50"/>
      <c r="AO103" s="50"/>
      <c r="AP103" s="50">
        <v>13</v>
      </c>
      <c r="AQ103" s="50">
        <f>(AP103*100)/R103</f>
        <v>1.2948207171314741</v>
      </c>
      <c r="AR103" s="49">
        <f t="shared" si="227"/>
        <v>0.99601593625498008</v>
      </c>
      <c r="AS103" s="49">
        <f t="shared" si="228"/>
        <v>-1.593625498007968</v>
      </c>
      <c r="AT103" s="49">
        <f t="shared" si="202"/>
        <v>0.99601593625498008</v>
      </c>
      <c r="AU103" s="51">
        <f t="shared" si="231"/>
        <v>0.875</v>
      </c>
      <c r="AV103" s="52">
        <f t="shared" ref="AV103" si="233">ABS(AT103-AF103)</f>
        <v>0.84719164813115599</v>
      </c>
      <c r="AW103" s="380">
        <f t="shared" ref="AW103" si="234">(AV103/AU103)</f>
        <v>0.96821902643560687</v>
      </c>
      <c r="AX103" s="53">
        <f t="shared" ref="AX103" si="235">(I103/AW103)</f>
        <v>3.0984724717135275</v>
      </c>
      <c r="AY103" s="120" t="str">
        <f t="shared" si="203"/>
        <v>DOS AÑOS</v>
      </c>
      <c r="AZ103" s="399"/>
      <c r="BA103" s="396"/>
      <c r="BB103" s="389"/>
      <c r="BC103" s="74"/>
      <c r="BD103" s="391"/>
    </row>
    <row r="104" spans="1:56" s="311" customFormat="1" ht="15.75" customHeight="1" x14ac:dyDescent="0.25">
      <c r="A104" s="333"/>
      <c r="B104" s="727" t="s">
        <v>206</v>
      </c>
      <c r="C104" s="449" t="s">
        <v>213</v>
      </c>
      <c r="D104" s="730" t="s">
        <v>104</v>
      </c>
      <c r="E104" s="730" t="s">
        <v>216</v>
      </c>
      <c r="F104" s="733">
        <v>18032107</v>
      </c>
      <c r="G104" s="465" t="s">
        <v>16</v>
      </c>
      <c r="H104" s="465" t="s">
        <v>205</v>
      </c>
      <c r="I104" s="312">
        <v>3</v>
      </c>
      <c r="J104" s="742" t="s">
        <v>20</v>
      </c>
      <c r="K104" s="313">
        <v>2</v>
      </c>
      <c r="L104" s="739" t="s">
        <v>20</v>
      </c>
      <c r="M104" s="314" t="s">
        <v>69</v>
      </c>
      <c r="N104" s="678" t="s">
        <v>20</v>
      </c>
      <c r="O104" s="314" t="s">
        <v>69</v>
      </c>
      <c r="P104" s="678" t="s">
        <v>20</v>
      </c>
      <c r="Q104" s="253">
        <v>0</v>
      </c>
      <c r="R104" s="253">
        <v>0</v>
      </c>
      <c r="S104" s="255">
        <v>44063</v>
      </c>
      <c r="T104" s="474" t="s">
        <v>167</v>
      </c>
      <c r="U104" s="315">
        <v>0</v>
      </c>
      <c r="V104" s="315">
        <f t="shared" ref="V104:V111" si="236">U104-Q104</f>
        <v>0</v>
      </c>
      <c r="W104" s="315">
        <v>0</v>
      </c>
      <c r="X104" s="39">
        <f t="shared" ref="W104:X113" si="237">W104*100/30000</f>
        <v>0</v>
      </c>
      <c r="Y104" s="315">
        <v>0</v>
      </c>
      <c r="Z104" s="315" t="s">
        <v>69</v>
      </c>
      <c r="AA104" s="315" t="s">
        <v>69</v>
      </c>
      <c r="AB104" s="315" t="s">
        <v>69</v>
      </c>
      <c r="AC104" s="315">
        <v>0.04</v>
      </c>
      <c r="AD104" s="257">
        <f>(W104+AC104)</f>
        <v>0.04</v>
      </c>
      <c r="AE104" s="257">
        <f>(W104-AC104)</f>
        <v>-0.04</v>
      </c>
      <c r="AF104" s="257">
        <f t="shared" ref="AF104:AF167" si="238">MAX(AD104:AE104)</f>
        <v>0.04</v>
      </c>
      <c r="AG104" s="258">
        <v>44420</v>
      </c>
      <c r="AH104" s="552">
        <v>66125</v>
      </c>
      <c r="AI104" s="316">
        <v>0</v>
      </c>
      <c r="AJ104" s="316">
        <v>0</v>
      </c>
      <c r="AK104" s="316">
        <v>0</v>
      </c>
      <c r="AL104" s="316">
        <v>0</v>
      </c>
      <c r="AM104" s="316">
        <v>0</v>
      </c>
      <c r="AN104" s="316" t="s">
        <v>69</v>
      </c>
      <c r="AO104" s="316" t="s">
        <v>69</v>
      </c>
      <c r="AP104" s="316">
        <v>1</v>
      </c>
      <c r="AQ104" s="42">
        <f>AP104*100/30000</f>
        <v>3.3333333333333335E-3</v>
      </c>
      <c r="AR104" s="257">
        <f>(AK104+AQ104)</f>
        <v>3.3333333333333335E-3</v>
      </c>
      <c r="AS104" s="257">
        <f>(AK104-AQ104)</f>
        <v>-3.3333333333333335E-3</v>
      </c>
      <c r="AT104" s="257">
        <f t="shared" ref="AT104:AT135" si="239">MAX(AR104:AS104)</f>
        <v>3.3333333333333335E-3</v>
      </c>
      <c r="AU104" s="260">
        <f t="shared" si="4"/>
        <v>0.97777777777777775</v>
      </c>
      <c r="AV104" s="261">
        <f t="shared" si="102"/>
        <v>3.6666666666666667E-2</v>
      </c>
      <c r="AW104" s="317">
        <f t="shared" ref="AW104:AW193" si="240">(AV104/AU104)</f>
        <v>3.7499999999999999E-2</v>
      </c>
      <c r="AX104" s="263">
        <f t="shared" si="6"/>
        <v>80</v>
      </c>
      <c r="AY104" s="295" t="str">
        <f t="shared" si="7"/>
        <v>DOS AÑOS</v>
      </c>
      <c r="AZ104" s="736" t="s">
        <v>54</v>
      </c>
      <c r="BA104" s="439" t="s">
        <v>35</v>
      </c>
      <c r="BB104" s="477" t="s">
        <v>34</v>
      </c>
      <c r="BC104" s="624">
        <f>MIN(AX104:AX135)</f>
        <v>1.5645952488057724</v>
      </c>
      <c r="BD104" s="480" t="e">
        <f>#REF!</f>
        <v>#REF!</v>
      </c>
    </row>
    <row r="105" spans="1:56" s="73" customFormat="1" ht="15.75" customHeight="1" x14ac:dyDescent="0.25">
      <c r="A105" s="333"/>
      <c r="B105" s="728"/>
      <c r="C105" s="450"/>
      <c r="D105" s="731"/>
      <c r="E105" s="731"/>
      <c r="F105" s="734"/>
      <c r="G105" s="466"/>
      <c r="H105" s="466"/>
      <c r="I105" s="69">
        <v>3</v>
      </c>
      <c r="J105" s="743"/>
      <c r="K105" s="70">
        <v>2</v>
      </c>
      <c r="L105" s="740"/>
      <c r="M105" s="71"/>
      <c r="N105" s="679"/>
      <c r="O105" s="71"/>
      <c r="P105" s="679"/>
      <c r="Q105" s="37">
        <v>249</v>
      </c>
      <c r="R105" s="37">
        <v>313.7</v>
      </c>
      <c r="S105" s="38">
        <v>44063</v>
      </c>
      <c r="T105" s="475"/>
      <c r="U105" s="39">
        <v>252</v>
      </c>
      <c r="V105" s="39">
        <f t="shared" si="236"/>
        <v>3</v>
      </c>
      <c r="W105" s="39">
        <f>V105*100/30000</f>
        <v>0.01</v>
      </c>
      <c r="X105" s="39">
        <v>1.5</v>
      </c>
      <c r="Y105" s="39">
        <f>X105*100/30000</f>
        <v>5.0000000000000001E-3</v>
      </c>
      <c r="Z105" s="39"/>
      <c r="AA105" s="39"/>
      <c r="AB105" s="39" t="s">
        <v>69</v>
      </c>
      <c r="AC105" s="39">
        <v>0.04</v>
      </c>
      <c r="AD105" s="257">
        <f t="shared" ref="AD105:AD111" si="241">(W105+AC105)</f>
        <v>0.05</v>
      </c>
      <c r="AE105" s="257">
        <f t="shared" ref="AE105:AE111" si="242">(W105-AC105)</f>
        <v>-0.03</v>
      </c>
      <c r="AF105" s="257">
        <f t="shared" ref="AF105:AF111" si="243">MAX(AD105:AE105)</f>
        <v>0.05</v>
      </c>
      <c r="AG105" s="41">
        <v>44420</v>
      </c>
      <c r="AH105" s="455"/>
      <c r="AI105" s="42">
        <v>326.8</v>
      </c>
      <c r="AJ105" s="42">
        <f>AI105-R105</f>
        <v>13.100000000000023</v>
      </c>
      <c r="AK105" s="42">
        <f>(AJ105*100)/30000</f>
        <v>4.3666666666666742E-2</v>
      </c>
      <c r="AL105" s="42">
        <v>2.2000000000000002</v>
      </c>
      <c r="AM105" s="42">
        <f>AL105*100/30000</f>
        <v>7.3333333333333341E-3</v>
      </c>
      <c r="AN105" s="42"/>
      <c r="AO105" s="42"/>
      <c r="AP105" s="42">
        <v>2.8</v>
      </c>
      <c r="AQ105" s="42">
        <f>AP105*100/30000</f>
        <v>9.3333333333333341E-3</v>
      </c>
      <c r="AR105" s="257">
        <f t="shared" ref="AR105:AR124" si="244">(AK105+AQ105)</f>
        <v>5.3000000000000075E-2</v>
      </c>
      <c r="AS105" s="257">
        <f t="shared" ref="AS105:AS124" si="245">(AK105-AQ105)</f>
        <v>3.433333333333341E-2</v>
      </c>
      <c r="AT105" s="257">
        <f t="shared" ref="AT105:AT114" si="246">MAX(AR105:AS105)</f>
        <v>5.3000000000000075E-2</v>
      </c>
      <c r="AU105" s="260">
        <f t="shared" ref="AU105:AU114" si="247">YEARFRAC(S105,AG105)</f>
        <v>0.97777777777777775</v>
      </c>
      <c r="AV105" s="261">
        <f t="shared" ref="AV105:AV112" si="248">ABS(AT105-AF105)</f>
        <v>3.0000000000000721E-3</v>
      </c>
      <c r="AW105" s="317">
        <f t="shared" ref="AW105:AW112" si="249">(AV105/AU105)</f>
        <v>3.0681818181818921E-3</v>
      </c>
      <c r="AX105" s="263">
        <f t="shared" ref="AX105:AX112" si="250">(I105/AW105)</f>
        <v>977.77777777775418</v>
      </c>
      <c r="AY105" s="295" t="str">
        <f t="shared" ref="AY105:AY114" si="251">IF(AX105&lt;=1,"UN AÑO",IF(AX105&gt;=1,"DOS AÑOS"))</f>
        <v>DOS AÑOS</v>
      </c>
      <c r="AZ105" s="737"/>
      <c r="BA105" s="440"/>
      <c r="BB105" s="478"/>
      <c r="BC105" s="625"/>
      <c r="BD105" s="481"/>
    </row>
    <row r="106" spans="1:56" s="73" customFormat="1" ht="15.75" customHeight="1" x14ac:dyDescent="0.25">
      <c r="A106" s="333"/>
      <c r="B106" s="728"/>
      <c r="C106" s="450"/>
      <c r="D106" s="731"/>
      <c r="E106" s="731"/>
      <c r="F106" s="734"/>
      <c r="G106" s="466"/>
      <c r="H106" s="466"/>
      <c r="I106" s="398">
        <v>3</v>
      </c>
      <c r="J106" s="743"/>
      <c r="K106" s="70">
        <v>2</v>
      </c>
      <c r="L106" s="740"/>
      <c r="M106" s="393"/>
      <c r="N106" s="679"/>
      <c r="O106" s="393"/>
      <c r="P106" s="679"/>
      <c r="Q106" s="37">
        <v>1246</v>
      </c>
      <c r="R106" s="37">
        <v>1568.4</v>
      </c>
      <c r="S106" s="38">
        <v>44063</v>
      </c>
      <c r="T106" s="475"/>
      <c r="U106" s="39">
        <v>1245</v>
      </c>
      <c r="V106" s="39">
        <f t="shared" si="236"/>
        <v>-1</v>
      </c>
      <c r="W106" s="39">
        <f t="shared" si="237"/>
        <v>-3.3333333333333335E-3</v>
      </c>
      <c r="X106" s="39">
        <v>1.73</v>
      </c>
      <c r="Y106" s="39">
        <f t="shared" ref="Y106:Y113" si="252">X106*100/30000</f>
        <v>5.7666666666666665E-3</v>
      </c>
      <c r="Z106" s="39"/>
      <c r="AA106" s="39"/>
      <c r="AB106" s="39"/>
      <c r="AC106" s="39">
        <v>0.04</v>
      </c>
      <c r="AD106" s="257">
        <f t="shared" si="241"/>
        <v>3.6666666666666667E-2</v>
      </c>
      <c r="AE106" s="257">
        <f t="shared" si="242"/>
        <v>-4.3333333333333335E-2</v>
      </c>
      <c r="AF106" s="257">
        <f t="shared" si="243"/>
        <v>3.6666666666666667E-2</v>
      </c>
      <c r="AG106" s="41">
        <v>44420</v>
      </c>
      <c r="AH106" s="455"/>
      <c r="AI106" s="42">
        <v>1443.6</v>
      </c>
      <c r="AJ106" s="42">
        <f>AI106-R106</f>
        <v>-124.80000000000018</v>
      </c>
      <c r="AK106" s="42">
        <f t="shared" ref="AK106:AK113" si="253">(AJ106*100)/30000</f>
        <v>-0.41600000000000059</v>
      </c>
      <c r="AL106" s="42">
        <v>3.5</v>
      </c>
      <c r="AM106" s="42">
        <f t="shared" ref="AM106:AM113" si="254">AL106*100/30000</f>
        <v>1.1666666666666667E-2</v>
      </c>
      <c r="AN106" s="42"/>
      <c r="AO106" s="42"/>
      <c r="AP106" s="42">
        <v>4.4000000000000004</v>
      </c>
      <c r="AQ106" s="42">
        <f t="shared" ref="AQ106:AQ123" si="255">AP106*100/30000</f>
        <v>1.4666666666666668E-2</v>
      </c>
      <c r="AR106" s="257">
        <f t="shared" si="244"/>
        <v>-0.40133333333333393</v>
      </c>
      <c r="AS106" s="257">
        <f t="shared" si="245"/>
        <v>-0.43066666666666725</v>
      </c>
      <c r="AT106" s="257">
        <f t="shared" ref="AT106:AT107" si="256">MAX(AR106:AS106)</f>
        <v>-0.40133333333333393</v>
      </c>
      <c r="AU106" s="260">
        <f t="shared" ref="AU106:AU107" si="257">YEARFRAC(S106,AG106)</f>
        <v>0.97777777777777775</v>
      </c>
      <c r="AV106" s="261">
        <f t="shared" ref="AV106:AV107" si="258">ABS(AT106-AF106)</f>
        <v>0.43800000000000061</v>
      </c>
      <c r="AW106" s="317">
        <f t="shared" ref="AW106:AW107" si="259">(AV106/AU106)</f>
        <v>0.4479545454545461</v>
      </c>
      <c r="AX106" s="263">
        <f t="shared" ref="AX106:AX107" si="260">(I106/AW106)</f>
        <v>6.6971080669710705</v>
      </c>
      <c r="AY106" s="295" t="str">
        <f t="shared" ref="AY106:AY107" si="261">IF(AX106&lt;=1,"UN AÑO",IF(AX106&gt;=1,"DOS AÑOS"))</f>
        <v>DOS AÑOS</v>
      </c>
      <c r="AZ106" s="737"/>
      <c r="BA106" s="440"/>
      <c r="BB106" s="478"/>
      <c r="BC106" s="625"/>
      <c r="BD106" s="481"/>
    </row>
    <row r="107" spans="1:56" s="73" customFormat="1" ht="15.75" customHeight="1" x14ac:dyDescent="0.25">
      <c r="A107" s="333"/>
      <c r="B107" s="728"/>
      <c r="C107" s="450"/>
      <c r="D107" s="731"/>
      <c r="E107" s="731"/>
      <c r="F107" s="734"/>
      <c r="G107" s="466"/>
      <c r="H107" s="466"/>
      <c r="I107" s="398">
        <v>3</v>
      </c>
      <c r="J107" s="743"/>
      <c r="K107" s="70">
        <v>2</v>
      </c>
      <c r="L107" s="740"/>
      <c r="M107" s="393"/>
      <c r="N107" s="679"/>
      <c r="O107" s="393"/>
      <c r="P107" s="679"/>
      <c r="Q107" s="37">
        <v>2491</v>
      </c>
      <c r="R107" s="37">
        <v>3136.8</v>
      </c>
      <c r="S107" s="38">
        <v>44063</v>
      </c>
      <c r="T107" s="475"/>
      <c r="U107" s="39">
        <v>2454</v>
      </c>
      <c r="V107" s="39">
        <f t="shared" si="236"/>
        <v>-37</v>
      </c>
      <c r="W107" s="39">
        <f t="shared" si="237"/>
        <v>-0.12333333333333334</v>
      </c>
      <c r="X107" s="39">
        <v>2.31</v>
      </c>
      <c r="Y107" s="39">
        <f t="shared" si="252"/>
        <v>7.7000000000000002E-3</v>
      </c>
      <c r="Z107" s="39"/>
      <c r="AA107" s="39"/>
      <c r="AB107" s="39"/>
      <c r="AC107" s="39">
        <v>0.06</v>
      </c>
      <c r="AD107" s="257">
        <f t="shared" si="241"/>
        <v>-6.3333333333333339E-2</v>
      </c>
      <c r="AE107" s="257">
        <f t="shared" si="242"/>
        <v>-0.18333333333333335</v>
      </c>
      <c r="AF107" s="257">
        <f t="shared" si="243"/>
        <v>-6.3333333333333339E-2</v>
      </c>
      <c r="AG107" s="41">
        <v>44420</v>
      </c>
      <c r="AH107" s="455"/>
      <c r="AI107" s="42">
        <v>2960.2</v>
      </c>
      <c r="AJ107" s="42">
        <f>AI107-R107</f>
        <v>-176.60000000000036</v>
      </c>
      <c r="AK107" s="42">
        <f t="shared" si="253"/>
        <v>-0.58866666666666789</v>
      </c>
      <c r="AL107" s="42">
        <v>2.2000000000000002</v>
      </c>
      <c r="AM107" s="42">
        <f t="shared" si="254"/>
        <v>7.3333333333333341E-3</v>
      </c>
      <c r="AN107" s="42"/>
      <c r="AO107" s="42"/>
      <c r="AP107" s="42">
        <v>7.3</v>
      </c>
      <c r="AQ107" s="42">
        <f t="shared" si="255"/>
        <v>2.4333333333333332E-2</v>
      </c>
      <c r="AR107" s="257">
        <f t="shared" si="244"/>
        <v>-0.56433333333333457</v>
      </c>
      <c r="AS107" s="257">
        <f t="shared" si="245"/>
        <v>-0.61300000000000121</v>
      </c>
      <c r="AT107" s="257">
        <f t="shared" si="256"/>
        <v>-0.56433333333333457</v>
      </c>
      <c r="AU107" s="260">
        <f t="shared" si="257"/>
        <v>0.97777777777777775</v>
      </c>
      <c r="AV107" s="261">
        <f t="shared" si="258"/>
        <v>0.50100000000000122</v>
      </c>
      <c r="AW107" s="317">
        <f t="shared" si="259"/>
        <v>0.51238636363636492</v>
      </c>
      <c r="AX107" s="263">
        <f t="shared" si="260"/>
        <v>5.854956753160331</v>
      </c>
      <c r="AY107" s="295" t="str">
        <f t="shared" si="261"/>
        <v>DOS AÑOS</v>
      </c>
      <c r="AZ107" s="737"/>
      <c r="BA107" s="440"/>
      <c r="BB107" s="478"/>
      <c r="BC107" s="625"/>
      <c r="BD107" s="481"/>
    </row>
    <row r="108" spans="1:56" s="73" customFormat="1" ht="15.75" customHeight="1" x14ac:dyDescent="0.25">
      <c r="A108" s="333"/>
      <c r="B108" s="728"/>
      <c r="C108" s="450"/>
      <c r="D108" s="731"/>
      <c r="E108" s="731"/>
      <c r="F108" s="734"/>
      <c r="G108" s="466"/>
      <c r="H108" s="466"/>
      <c r="I108" s="69">
        <v>3</v>
      </c>
      <c r="J108" s="743"/>
      <c r="K108" s="70">
        <v>2</v>
      </c>
      <c r="L108" s="740"/>
      <c r="M108" s="71"/>
      <c r="N108" s="679"/>
      <c r="O108" s="71"/>
      <c r="P108" s="679"/>
      <c r="Q108" s="37">
        <v>6228</v>
      </c>
      <c r="R108" s="37">
        <v>6274</v>
      </c>
      <c r="S108" s="38">
        <v>44063</v>
      </c>
      <c r="T108" s="475"/>
      <c r="U108" s="39">
        <v>6108</v>
      </c>
      <c r="V108" s="39">
        <f t="shared" si="236"/>
        <v>-120</v>
      </c>
      <c r="W108" s="39">
        <f t="shared" si="237"/>
        <v>-0.4</v>
      </c>
      <c r="X108" s="39">
        <v>2.31</v>
      </c>
      <c r="Y108" s="39">
        <f t="shared" si="252"/>
        <v>7.7000000000000002E-3</v>
      </c>
      <c r="Z108" s="39"/>
      <c r="AA108" s="39"/>
      <c r="AB108" s="39" t="s">
        <v>69</v>
      </c>
      <c r="AC108" s="39">
        <v>0.15</v>
      </c>
      <c r="AD108" s="257">
        <f t="shared" si="241"/>
        <v>-0.25</v>
      </c>
      <c r="AE108" s="257">
        <f t="shared" si="242"/>
        <v>-0.55000000000000004</v>
      </c>
      <c r="AF108" s="257">
        <f t="shared" si="243"/>
        <v>-0.25</v>
      </c>
      <c r="AG108" s="41">
        <v>44420</v>
      </c>
      <c r="AH108" s="455"/>
      <c r="AI108" s="42">
        <v>6238</v>
      </c>
      <c r="AJ108" s="42">
        <f t="shared" ref="AJ108:AJ113" si="262">AI108-R108</f>
        <v>-36</v>
      </c>
      <c r="AK108" s="42">
        <f t="shared" si="253"/>
        <v>-0.12</v>
      </c>
      <c r="AL108" s="42">
        <v>2.6</v>
      </c>
      <c r="AM108" s="42">
        <f t="shared" si="254"/>
        <v>8.6666666666666663E-3</v>
      </c>
      <c r="AN108" s="42"/>
      <c r="AO108" s="42"/>
      <c r="AP108" s="42">
        <v>14</v>
      </c>
      <c r="AQ108" s="42">
        <f t="shared" si="255"/>
        <v>4.6666666666666669E-2</v>
      </c>
      <c r="AR108" s="257">
        <f t="shared" si="244"/>
        <v>-7.3333333333333334E-2</v>
      </c>
      <c r="AS108" s="257">
        <f t="shared" si="245"/>
        <v>-0.16666666666666666</v>
      </c>
      <c r="AT108" s="257">
        <f t="shared" si="246"/>
        <v>-7.3333333333333334E-2</v>
      </c>
      <c r="AU108" s="260">
        <f t="shared" si="247"/>
        <v>0.97777777777777775</v>
      </c>
      <c r="AV108" s="261">
        <f t="shared" si="248"/>
        <v>0.17666666666666667</v>
      </c>
      <c r="AW108" s="317">
        <f t="shared" si="249"/>
        <v>0.18068181818181819</v>
      </c>
      <c r="AX108" s="263">
        <f t="shared" si="250"/>
        <v>16.60377358490566</v>
      </c>
      <c r="AY108" s="295" t="str">
        <f t="shared" si="251"/>
        <v>DOS AÑOS</v>
      </c>
      <c r="AZ108" s="737"/>
      <c r="BA108" s="440"/>
      <c r="BB108" s="478"/>
      <c r="BC108" s="625"/>
      <c r="BD108" s="481"/>
    </row>
    <row r="109" spans="1:56" s="73" customFormat="1" ht="15.75" customHeight="1" x14ac:dyDescent="0.25">
      <c r="A109" s="333"/>
      <c r="B109" s="728"/>
      <c r="C109" s="450"/>
      <c r="D109" s="731"/>
      <c r="E109" s="731"/>
      <c r="F109" s="734"/>
      <c r="G109" s="466"/>
      <c r="H109" s="466"/>
      <c r="I109" s="69">
        <v>3</v>
      </c>
      <c r="J109" s="743"/>
      <c r="K109" s="70">
        <v>2</v>
      </c>
      <c r="L109" s="740"/>
      <c r="M109" s="71"/>
      <c r="N109" s="679"/>
      <c r="O109" s="71"/>
      <c r="P109" s="679"/>
      <c r="Q109" s="37">
        <v>12455</v>
      </c>
      <c r="R109" s="37">
        <v>9410</v>
      </c>
      <c r="S109" s="38">
        <v>44063</v>
      </c>
      <c r="T109" s="475"/>
      <c r="U109" s="39">
        <v>12350</v>
      </c>
      <c r="V109" s="39">
        <f t="shared" si="236"/>
        <v>-105</v>
      </c>
      <c r="W109" s="39">
        <f t="shared" si="237"/>
        <v>-0.35</v>
      </c>
      <c r="X109" s="39">
        <v>1.73</v>
      </c>
      <c r="Y109" s="39">
        <f t="shared" si="252"/>
        <v>5.7666666666666665E-3</v>
      </c>
      <c r="Z109" s="39"/>
      <c r="AA109" s="39"/>
      <c r="AB109" s="39" t="s">
        <v>69</v>
      </c>
      <c r="AC109" s="39">
        <v>0.27</v>
      </c>
      <c r="AD109" s="257">
        <f t="shared" si="241"/>
        <v>-7.999999999999996E-2</v>
      </c>
      <c r="AE109" s="257">
        <f t="shared" si="242"/>
        <v>-0.62</v>
      </c>
      <c r="AF109" s="257">
        <f t="shared" si="243"/>
        <v>-7.999999999999996E-2</v>
      </c>
      <c r="AG109" s="41">
        <v>44420</v>
      </c>
      <c r="AH109" s="455"/>
      <c r="AI109" s="42">
        <v>9295</v>
      </c>
      <c r="AJ109" s="42">
        <f t="shared" si="262"/>
        <v>-115</v>
      </c>
      <c r="AK109" s="42">
        <f t="shared" si="253"/>
        <v>-0.38333333333333336</v>
      </c>
      <c r="AL109" s="42">
        <v>2.9</v>
      </c>
      <c r="AM109" s="42">
        <f t="shared" si="254"/>
        <v>9.6666666666666672E-3</v>
      </c>
      <c r="AN109" s="42"/>
      <c r="AO109" s="42"/>
      <c r="AP109" s="42">
        <v>20</v>
      </c>
      <c r="AQ109" s="42">
        <f t="shared" si="255"/>
        <v>6.6666666666666666E-2</v>
      </c>
      <c r="AR109" s="257">
        <f t="shared" si="244"/>
        <v>-0.31666666666666671</v>
      </c>
      <c r="AS109" s="257">
        <f t="shared" si="245"/>
        <v>-0.45</v>
      </c>
      <c r="AT109" s="257">
        <f t="shared" si="246"/>
        <v>-0.31666666666666671</v>
      </c>
      <c r="AU109" s="260">
        <f t="shared" si="247"/>
        <v>0.97777777777777775</v>
      </c>
      <c r="AV109" s="261">
        <f t="shared" si="248"/>
        <v>0.23666666666666675</v>
      </c>
      <c r="AW109" s="317">
        <f t="shared" si="249"/>
        <v>0.24204545454545465</v>
      </c>
      <c r="AX109" s="263">
        <f t="shared" si="250"/>
        <v>12.394366197183093</v>
      </c>
      <c r="AY109" s="295" t="str">
        <f t="shared" si="251"/>
        <v>DOS AÑOS</v>
      </c>
      <c r="AZ109" s="737"/>
      <c r="BA109" s="440"/>
      <c r="BB109" s="478"/>
      <c r="BC109" s="625"/>
      <c r="BD109" s="481"/>
    </row>
    <row r="110" spans="1:56" s="73" customFormat="1" ht="15.75" customHeight="1" x14ac:dyDescent="0.25">
      <c r="A110" s="333"/>
      <c r="B110" s="728"/>
      <c r="C110" s="450"/>
      <c r="D110" s="731"/>
      <c r="E110" s="731"/>
      <c r="F110" s="734"/>
      <c r="G110" s="466"/>
      <c r="H110" s="466"/>
      <c r="I110" s="69">
        <v>3</v>
      </c>
      <c r="J110" s="743"/>
      <c r="K110" s="70">
        <v>2</v>
      </c>
      <c r="L110" s="740"/>
      <c r="M110" s="71" t="s">
        <v>69</v>
      </c>
      <c r="N110" s="679"/>
      <c r="O110" s="71" t="s">
        <v>69</v>
      </c>
      <c r="P110" s="679"/>
      <c r="Q110" s="37">
        <v>18683.2</v>
      </c>
      <c r="R110" s="37">
        <v>15684</v>
      </c>
      <c r="S110" s="38">
        <v>44063</v>
      </c>
      <c r="T110" s="475"/>
      <c r="U110" s="39">
        <v>18629</v>
      </c>
      <c r="V110" s="39">
        <f t="shared" si="236"/>
        <v>-54.200000000000728</v>
      </c>
      <c r="W110" s="39">
        <f t="shared" si="237"/>
        <v>-0.18066666666666908</v>
      </c>
      <c r="X110" s="39">
        <v>1.73</v>
      </c>
      <c r="Y110" s="39">
        <f t="shared" si="252"/>
        <v>5.7666666666666665E-3</v>
      </c>
      <c r="Z110" s="39" t="s">
        <v>69</v>
      </c>
      <c r="AA110" s="39" t="s">
        <v>69</v>
      </c>
      <c r="AB110" s="39" t="s">
        <v>69</v>
      </c>
      <c r="AC110" s="39">
        <v>0.4</v>
      </c>
      <c r="AD110" s="257">
        <f t="shared" si="241"/>
        <v>0.21933333333333094</v>
      </c>
      <c r="AE110" s="257">
        <f t="shared" si="242"/>
        <v>-0.58066666666666911</v>
      </c>
      <c r="AF110" s="257">
        <f t="shared" si="243"/>
        <v>0.21933333333333094</v>
      </c>
      <c r="AG110" s="41">
        <v>44420</v>
      </c>
      <c r="AH110" s="455"/>
      <c r="AI110" s="42">
        <v>15653</v>
      </c>
      <c r="AJ110" s="42">
        <f t="shared" si="262"/>
        <v>-31</v>
      </c>
      <c r="AK110" s="42">
        <f t="shared" si="253"/>
        <v>-0.10333333333333333</v>
      </c>
      <c r="AL110" s="42">
        <v>3.6</v>
      </c>
      <c r="AM110" s="42">
        <f t="shared" si="254"/>
        <v>1.2E-2</v>
      </c>
      <c r="AN110" s="42" t="s">
        <v>69</v>
      </c>
      <c r="AO110" s="42" t="s">
        <v>69</v>
      </c>
      <c r="AP110" s="42">
        <v>33</v>
      </c>
      <c r="AQ110" s="42">
        <f t="shared" si="255"/>
        <v>0.11</v>
      </c>
      <c r="AR110" s="257">
        <f t="shared" si="244"/>
        <v>6.666666666666668E-3</v>
      </c>
      <c r="AS110" s="257">
        <f t="shared" si="245"/>
        <v>-0.21333333333333332</v>
      </c>
      <c r="AT110" s="257">
        <f t="shared" si="246"/>
        <v>6.666666666666668E-3</v>
      </c>
      <c r="AU110" s="260">
        <f t="shared" si="247"/>
        <v>0.97777777777777775</v>
      </c>
      <c r="AV110" s="261">
        <f t="shared" si="248"/>
        <v>0.21266666666666428</v>
      </c>
      <c r="AW110" s="317">
        <f t="shared" si="249"/>
        <v>0.21749999999999756</v>
      </c>
      <c r="AX110" s="263">
        <f t="shared" si="250"/>
        <v>13.793103448276018</v>
      </c>
      <c r="AY110" s="295" t="str">
        <f t="shared" si="251"/>
        <v>DOS AÑOS</v>
      </c>
      <c r="AZ110" s="737"/>
      <c r="BA110" s="440"/>
      <c r="BB110" s="478"/>
      <c r="BC110" s="625"/>
      <c r="BD110" s="481"/>
    </row>
    <row r="111" spans="1:56" s="73" customFormat="1" ht="15.75" customHeight="1" x14ac:dyDescent="0.25">
      <c r="A111" s="333"/>
      <c r="B111" s="728"/>
      <c r="C111" s="450"/>
      <c r="D111" s="731"/>
      <c r="E111" s="731"/>
      <c r="F111" s="734"/>
      <c r="G111" s="466"/>
      <c r="H111" s="466"/>
      <c r="I111" s="288">
        <v>3</v>
      </c>
      <c r="J111" s="743"/>
      <c r="K111" s="70">
        <v>2</v>
      </c>
      <c r="L111" s="740"/>
      <c r="M111" s="286"/>
      <c r="N111" s="679"/>
      <c r="O111" s="286"/>
      <c r="P111" s="679"/>
      <c r="Q111" s="37">
        <v>24911</v>
      </c>
      <c r="R111" s="37">
        <v>21958</v>
      </c>
      <c r="S111" s="38">
        <v>44063</v>
      </c>
      <c r="T111" s="475"/>
      <c r="U111" s="39">
        <v>24718</v>
      </c>
      <c r="V111" s="39">
        <f t="shared" si="236"/>
        <v>-193</v>
      </c>
      <c r="W111" s="39">
        <f t="shared" si="237"/>
        <v>-0.64333333333333331</v>
      </c>
      <c r="X111" s="39">
        <v>1.73</v>
      </c>
      <c r="Y111" s="39">
        <f t="shared" si="252"/>
        <v>5.7666666666666665E-3</v>
      </c>
      <c r="Z111" s="39"/>
      <c r="AA111" s="39"/>
      <c r="AB111" s="39" t="s">
        <v>69</v>
      </c>
      <c r="AC111" s="39">
        <v>0.53</v>
      </c>
      <c r="AD111" s="257">
        <f t="shared" si="241"/>
        <v>-0.11333333333333329</v>
      </c>
      <c r="AE111" s="257">
        <f t="shared" si="242"/>
        <v>-1.1733333333333333</v>
      </c>
      <c r="AF111" s="257">
        <f t="shared" si="243"/>
        <v>-0.11333333333333329</v>
      </c>
      <c r="AG111" s="41">
        <v>44420</v>
      </c>
      <c r="AH111" s="455"/>
      <c r="AI111" s="42">
        <v>21812</v>
      </c>
      <c r="AJ111" s="42">
        <f t="shared" si="262"/>
        <v>-146</v>
      </c>
      <c r="AK111" s="42">
        <f t="shared" si="253"/>
        <v>-0.48666666666666669</v>
      </c>
      <c r="AL111" s="42">
        <v>4.9000000000000004</v>
      </c>
      <c r="AM111" s="42">
        <f t="shared" si="254"/>
        <v>1.6333333333333335E-2</v>
      </c>
      <c r="AN111" s="42"/>
      <c r="AO111" s="42"/>
      <c r="AP111" s="42">
        <v>45</v>
      </c>
      <c r="AQ111" s="42">
        <f t="shared" si="255"/>
        <v>0.15</v>
      </c>
      <c r="AR111" s="257">
        <f t="shared" si="244"/>
        <v>-0.33666666666666667</v>
      </c>
      <c r="AS111" s="257">
        <f t="shared" si="245"/>
        <v>-0.63666666666666671</v>
      </c>
      <c r="AT111" s="257">
        <f t="shared" si="246"/>
        <v>-0.33666666666666667</v>
      </c>
      <c r="AU111" s="260">
        <f t="shared" si="247"/>
        <v>0.97777777777777775</v>
      </c>
      <c r="AV111" s="261">
        <f t="shared" si="248"/>
        <v>0.22333333333333338</v>
      </c>
      <c r="AW111" s="317">
        <f t="shared" si="249"/>
        <v>0.22840909090909098</v>
      </c>
      <c r="AX111" s="263">
        <f t="shared" si="250"/>
        <v>13.134328358208951</v>
      </c>
      <c r="AY111" s="295" t="str">
        <f t="shared" si="251"/>
        <v>DOS AÑOS</v>
      </c>
      <c r="AZ111" s="737"/>
      <c r="BA111" s="440"/>
      <c r="BB111" s="478"/>
      <c r="BC111" s="625"/>
      <c r="BD111" s="481"/>
    </row>
    <row r="112" spans="1:56" s="73" customFormat="1" ht="15.75" customHeight="1" x14ac:dyDescent="0.25">
      <c r="A112" s="333"/>
      <c r="B112" s="728"/>
      <c r="C112" s="450"/>
      <c r="D112" s="731"/>
      <c r="E112" s="731"/>
      <c r="F112" s="734"/>
      <c r="G112" s="466"/>
      <c r="H112" s="466"/>
      <c r="I112" s="69">
        <v>3</v>
      </c>
      <c r="J112" s="743"/>
      <c r="K112" s="70">
        <v>2</v>
      </c>
      <c r="L112" s="740"/>
      <c r="M112" s="71" t="s">
        <v>69</v>
      </c>
      <c r="N112" s="679"/>
      <c r="O112" s="71" t="s">
        <v>69</v>
      </c>
      <c r="P112" s="679"/>
      <c r="Q112" s="37"/>
      <c r="R112" s="37">
        <v>28231</v>
      </c>
      <c r="S112" s="38"/>
      <c r="T112" s="475"/>
      <c r="U112" s="39"/>
      <c r="V112" s="39"/>
      <c r="W112" s="39"/>
      <c r="X112" s="39"/>
      <c r="Y112" s="39"/>
      <c r="Z112" s="39" t="s">
        <v>69</v>
      </c>
      <c r="AA112" s="39" t="s">
        <v>69</v>
      </c>
      <c r="AB112" s="39" t="s">
        <v>69</v>
      </c>
      <c r="AC112" s="39"/>
      <c r="AD112" s="40"/>
      <c r="AE112" s="40"/>
      <c r="AF112" s="40"/>
      <c r="AG112" s="41">
        <v>44420</v>
      </c>
      <c r="AH112" s="455"/>
      <c r="AI112" s="42">
        <v>28157</v>
      </c>
      <c r="AJ112" s="42">
        <f t="shared" si="262"/>
        <v>-74</v>
      </c>
      <c r="AK112" s="42">
        <f t="shared" si="253"/>
        <v>-0.24666666666666667</v>
      </c>
      <c r="AL112" s="42">
        <v>3.7</v>
      </c>
      <c r="AM112" s="42">
        <f t="shared" si="254"/>
        <v>1.2333333333333333E-2</v>
      </c>
      <c r="AN112" s="42" t="s">
        <v>69</v>
      </c>
      <c r="AO112" s="42" t="s">
        <v>69</v>
      </c>
      <c r="AP112" s="42">
        <v>58</v>
      </c>
      <c r="AQ112" s="42">
        <f t="shared" si="255"/>
        <v>0.19333333333333333</v>
      </c>
      <c r="AR112" s="257">
        <f t="shared" si="244"/>
        <v>-5.3333333333333344E-2</v>
      </c>
      <c r="AS112" s="257">
        <f t="shared" si="245"/>
        <v>-0.44</v>
      </c>
      <c r="AT112" s="257">
        <f t="shared" si="246"/>
        <v>-5.3333333333333344E-2</v>
      </c>
      <c r="AU112" s="260">
        <f t="shared" si="247"/>
        <v>121.61666666666666</v>
      </c>
      <c r="AV112" s="261">
        <f t="shared" si="248"/>
        <v>5.3333333333333344E-2</v>
      </c>
      <c r="AW112" s="317">
        <f t="shared" si="249"/>
        <v>4.3853638481567781E-4</v>
      </c>
      <c r="AX112" s="263">
        <f t="shared" si="250"/>
        <v>6840.9374999999982</v>
      </c>
      <c r="AY112" s="295" t="str">
        <f t="shared" si="251"/>
        <v>DOS AÑOS</v>
      </c>
      <c r="AZ112" s="737"/>
      <c r="BA112" s="440"/>
      <c r="BB112" s="478"/>
      <c r="BC112" s="625"/>
      <c r="BD112" s="481"/>
    </row>
    <row r="113" spans="1:56" s="75" customFormat="1" ht="15.75" customHeight="1" thickBot="1" x14ac:dyDescent="0.3">
      <c r="A113" s="333"/>
      <c r="B113" s="728"/>
      <c r="C113" s="450"/>
      <c r="D113" s="731"/>
      <c r="E113" s="731"/>
      <c r="F113" s="734"/>
      <c r="G113" s="466"/>
      <c r="H113" s="466"/>
      <c r="I113" s="69">
        <v>3</v>
      </c>
      <c r="J113" s="743"/>
      <c r="K113" s="70">
        <v>2</v>
      </c>
      <c r="L113" s="740"/>
      <c r="M113" s="71" t="s">
        <v>69</v>
      </c>
      <c r="N113" s="679"/>
      <c r="O113" s="71" t="s">
        <v>69</v>
      </c>
      <c r="P113" s="679"/>
      <c r="Q113" s="37">
        <v>29893.200000000001</v>
      </c>
      <c r="R113" s="37">
        <v>29800</v>
      </c>
      <c r="S113" s="38">
        <v>44063</v>
      </c>
      <c r="T113" s="475"/>
      <c r="U113" s="39">
        <v>29767</v>
      </c>
      <c r="V113" s="39">
        <f>U113-Q113</f>
        <v>-126.20000000000073</v>
      </c>
      <c r="W113" s="39">
        <f t="shared" si="237"/>
        <v>-0.42066666666666908</v>
      </c>
      <c r="X113" s="39">
        <v>2.89</v>
      </c>
      <c r="Y113" s="39">
        <f t="shared" si="252"/>
        <v>9.633333333333334E-3</v>
      </c>
      <c r="Z113" s="39" t="s">
        <v>69</v>
      </c>
      <c r="AA113" s="39" t="s">
        <v>69</v>
      </c>
      <c r="AB113" s="39" t="s">
        <v>69</v>
      </c>
      <c r="AC113" s="39">
        <v>0.64</v>
      </c>
      <c r="AD113" s="257">
        <f t="shared" ref="AD113" si="263">(W113+AC113)</f>
        <v>0.21933333333333094</v>
      </c>
      <c r="AE113" s="257">
        <f t="shared" ref="AE113" si="264">(W113-AC113)</f>
        <v>-1.0606666666666691</v>
      </c>
      <c r="AF113" s="257">
        <f t="shared" ref="AF113" si="265">MAX(AD113:AE113)</f>
        <v>0.21933333333333094</v>
      </c>
      <c r="AG113" s="41">
        <v>44420</v>
      </c>
      <c r="AH113" s="455"/>
      <c r="AI113" s="42">
        <v>29772</v>
      </c>
      <c r="AJ113" s="42">
        <f t="shared" si="262"/>
        <v>-28</v>
      </c>
      <c r="AK113" s="42">
        <f t="shared" si="253"/>
        <v>-9.3333333333333338E-2</v>
      </c>
      <c r="AL113" s="42">
        <v>5.9</v>
      </c>
      <c r="AM113" s="42">
        <f t="shared" si="254"/>
        <v>1.9666666666666666E-2</v>
      </c>
      <c r="AN113" s="42" t="s">
        <v>69</v>
      </c>
      <c r="AO113" s="42" t="s">
        <v>69</v>
      </c>
      <c r="AP113" s="42">
        <v>61</v>
      </c>
      <c r="AQ113" s="42">
        <f t="shared" si="255"/>
        <v>0.20333333333333334</v>
      </c>
      <c r="AR113" s="257">
        <f t="shared" si="244"/>
        <v>0.11</v>
      </c>
      <c r="AS113" s="257">
        <f t="shared" si="245"/>
        <v>-0.29666666666666669</v>
      </c>
      <c r="AT113" s="257">
        <f t="shared" si="246"/>
        <v>0.11</v>
      </c>
      <c r="AU113" s="260">
        <f t="shared" si="247"/>
        <v>0.97777777777777775</v>
      </c>
      <c r="AV113" s="261" t="s">
        <v>69</v>
      </c>
      <c r="AW113" s="317" t="s">
        <v>69</v>
      </c>
      <c r="AX113" s="263" t="s">
        <v>69</v>
      </c>
      <c r="AY113" s="295" t="str">
        <f t="shared" si="251"/>
        <v>DOS AÑOS</v>
      </c>
      <c r="AZ113" s="737"/>
      <c r="BA113" s="440"/>
      <c r="BB113" s="478"/>
      <c r="BC113" s="625"/>
      <c r="BD113" s="481"/>
    </row>
    <row r="114" spans="1:56" s="311" customFormat="1" ht="15.75" customHeight="1" x14ac:dyDescent="0.25">
      <c r="A114" s="333"/>
      <c r="B114" s="728"/>
      <c r="C114" s="449" t="s">
        <v>214</v>
      </c>
      <c r="D114" s="731"/>
      <c r="E114" s="731"/>
      <c r="F114" s="734"/>
      <c r="G114" s="465" t="s">
        <v>16</v>
      </c>
      <c r="H114" s="465" t="s">
        <v>205</v>
      </c>
      <c r="I114" s="397">
        <v>3</v>
      </c>
      <c r="J114" s="743"/>
      <c r="K114" s="313">
        <v>2</v>
      </c>
      <c r="L114" s="740"/>
      <c r="M114" s="401" t="s">
        <v>69</v>
      </c>
      <c r="N114" s="679"/>
      <c r="O114" s="401" t="s">
        <v>69</v>
      </c>
      <c r="P114" s="679"/>
      <c r="Q114" s="253">
        <v>0</v>
      </c>
      <c r="R114" s="253">
        <v>0</v>
      </c>
      <c r="S114" s="255">
        <v>44063</v>
      </c>
      <c r="T114" s="475"/>
      <c r="U114" s="315">
        <v>0</v>
      </c>
      <c r="V114" s="315">
        <f t="shared" ref="V114:V117" si="266">U114-Q114</f>
        <v>0</v>
      </c>
      <c r="W114" s="315">
        <v>0</v>
      </c>
      <c r="X114" s="39">
        <v>0</v>
      </c>
      <c r="Y114" s="315">
        <v>0</v>
      </c>
      <c r="Z114" s="315" t="s">
        <v>69</v>
      </c>
      <c r="AA114" s="315" t="s">
        <v>69</v>
      </c>
      <c r="AB114" s="315" t="s">
        <v>69</v>
      </c>
      <c r="AC114" s="315">
        <v>0.04</v>
      </c>
      <c r="AD114" s="257">
        <f t="shared" ref="AD114:AD119" si="267">(W114+AC114)</f>
        <v>0.04</v>
      </c>
      <c r="AE114" s="257">
        <f>(W114-AC114)</f>
        <v>-0.04</v>
      </c>
      <c r="AF114" s="257">
        <f t="shared" ref="AF114:AF117" si="268">MAX(AD114:AE114)</f>
        <v>0.04</v>
      </c>
      <c r="AG114" s="258">
        <v>44420</v>
      </c>
      <c r="AH114" s="455"/>
      <c r="AI114" s="316">
        <v>0</v>
      </c>
      <c r="AJ114" s="316">
        <v>0</v>
      </c>
      <c r="AK114" s="316">
        <v>0</v>
      </c>
      <c r="AL114" s="316">
        <v>0</v>
      </c>
      <c r="AM114" s="316">
        <v>0</v>
      </c>
      <c r="AN114" s="316" t="s">
        <v>69</v>
      </c>
      <c r="AO114" s="316" t="s">
        <v>69</v>
      </c>
      <c r="AP114" s="316">
        <v>1</v>
      </c>
      <c r="AQ114" s="42">
        <f>AP114*100/30000</f>
        <v>3.3333333333333335E-3</v>
      </c>
      <c r="AR114" s="257">
        <f>(AK114+AQ114)</f>
        <v>3.3333333333333335E-3</v>
      </c>
      <c r="AS114" s="257">
        <f>(AK114-AQ114)</f>
        <v>-3.3333333333333335E-3</v>
      </c>
      <c r="AT114" s="257">
        <f t="shared" si="246"/>
        <v>3.3333333333333335E-3</v>
      </c>
      <c r="AU114" s="260">
        <f t="shared" si="247"/>
        <v>0.97777777777777775</v>
      </c>
      <c r="AV114" s="261">
        <f t="shared" ref="AV114:AV122" si="269">ABS(AT114-AF114)</f>
        <v>3.6666666666666667E-2</v>
      </c>
      <c r="AW114" s="317">
        <f t="shared" ref="AW114:AW122" si="270">(AV114/AU114)</f>
        <v>3.7499999999999999E-2</v>
      </c>
      <c r="AX114" s="263">
        <f t="shared" ref="AX114:AX122" si="271">(I114/AW114)</f>
        <v>80</v>
      </c>
      <c r="AY114" s="295" t="str">
        <f t="shared" si="251"/>
        <v>DOS AÑOS</v>
      </c>
      <c r="AZ114" s="737"/>
      <c r="BA114" s="440"/>
      <c r="BB114" s="478"/>
      <c r="BC114" s="625"/>
      <c r="BD114" s="481"/>
    </row>
    <row r="115" spans="1:56" s="73" customFormat="1" ht="15.75" customHeight="1" x14ac:dyDescent="0.25">
      <c r="A115" s="333"/>
      <c r="B115" s="728"/>
      <c r="C115" s="450"/>
      <c r="D115" s="731"/>
      <c r="E115" s="731"/>
      <c r="F115" s="734"/>
      <c r="G115" s="466"/>
      <c r="H115" s="466"/>
      <c r="I115" s="398">
        <v>3</v>
      </c>
      <c r="J115" s="743"/>
      <c r="K115" s="70">
        <v>2</v>
      </c>
      <c r="L115" s="740"/>
      <c r="M115" s="393"/>
      <c r="N115" s="679"/>
      <c r="O115" s="393"/>
      <c r="P115" s="679"/>
      <c r="Q115" s="37">
        <v>249</v>
      </c>
      <c r="R115" s="37">
        <v>313.7</v>
      </c>
      <c r="S115" s="38">
        <v>44063</v>
      </c>
      <c r="T115" s="475"/>
      <c r="U115" s="39">
        <v>247</v>
      </c>
      <c r="V115" s="39">
        <f t="shared" si="266"/>
        <v>-2</v>
      </c>
      <c r="W115" s="39">
        <f>V115*100/30000</f>
        <v>-6.6666666666666671E-3</v>
      </c>
      <c r="X115" s="39">
        <v>2</v>
      </c>
      <c r="Y115" s="39">
        <f>X115*100/30000</f>
        <v>6.6666666666666671E-3</v>
      </c>
      <c r="Z115" s="39"/>
      <c r="AA115" s="39"/>
      <c r="AB115" s="39" t="s">
        <v>69</v>
      </c>
      <c r="AC115" s="39">
        <v>0.04</v>
      </c>
      <c r="AD115" s="40">
        <f t="shared" si="267"/>
        <v>3.3333333333333333E-2</v>
      </c>
      <c r="AE115" s="40">
        <f t="shared" ref="AE115:AE117" si="272">(W115-AC115)</f>
        <v>-4.6666666666666669E-2</v>
      </c>
      <c r="AF115" s="40">
        <f t="shared" si="268"/>
        <v>3.3333333333333333E-2</v>
      </c>
      <c r="AG115" s="41">
        <v>44420</v>
      </c>
      <c r="AH115" s="455"/>
      <c r="AI115" s="42">
        <v>366.8</v>
      </c>
      <c r="AJ115" s="42">
        <f>AI115-R115</f>
        <v>53.100000000000023</v>
      </c>
      <c r="AK115" s="42">
        <f>(AJ115*100)/30000</f>
        <v>0.17700000000000007</v>
      </c>
      <c r="AL115" s="42">
        <v>2.2999999999999998</v>
      </c>
      <c r="AM115" s="42">
        <f>AL115*100/30000</f>
        <v>7.6666666666666654E-3</v>
      </c>
      <c r="AN115" s="42"/>
      <c r="AO115" s="42"/>
      <c r="AP115" s="42">
        <v>2.9</v>
      </c>
      <c r="AQ115" s="42">
        <f>AP115*100/30000</f>
        <v>9.6666666666666672E-3</v>
      </c>
      <c r="AR115" s="257">
        <f t="shared" ref="AR115:AR123" si="273">(AK115+AQ115)</f>
        <v>0.18666666666666673</v>
      </c>
      <c r="AS115" s="257">
        <f t="shared" ref="AS115:AS123" si="274">(AK115-AQ115)</f>
        <v>0.16733333333333342</v>
      </c>
      <c r="AT115" s="257">
        <f t="shared" ref="AT115:AT123" si="275">MAX(AR115:AS115)</f>
        <v>0.18666666666666673</v>
      </c>
      <c r="AU115" s="260">
        <f t="shared" ref="AU115:AU123" si="276">YEARFRAC(S115,AG115)</f>
        <v>0.97777777777777775</v>
      </c>
      <c r="AV115" s="261">
        <f t="shared" si="269"/>
        <v>0.1533333333333334</v>
      </c>
      <c r="AW115" s="317">
        <f t="shared" si="270"/>
        <v>0.15681818181818188</v>
      </c>
      <c r="AX115" s="263">
        <f t="shared" si="271"/>
        <v>19.130434782608688</v>
      </c>
      <c r="AY115" s="295" t="str">
        <f t="shared" ref="AY115:AY123" si="277">IF(AX115&lt;=1,"UN AÑO",IF(AX115&gt;=1,"DOS AÑOS"))</f>
        <v>DOS AÑOS</v>
      </c>
      <c r="AZ115" s="737"/>
      <c r="BA115" s="440"/>
      <c r="BB115" s="478"/>
      <c r="BC115" s="625"/>
      <c r="BD115" s="481"/>
    </row>
    <row r="116" spans="1:56" s="73" customFormat="1" ht="15.75" customHeight="1" x14ac:dyDescent="0.25">
      <c r="A116" s="333"/>
      <c r="B116" s="728"/>
      <c r="C116" s="450"/>
      <c r="D116" s="731"/>
      <c r="E116" s="731"/>
      <c r="F116" s="734"/>
      <c r="G116" s="466"/>
      <c r="H116" s="466"/>
      <c r="I116" s="398">
        <v>3</v>
      </c>
      <c r="J116" s="743"/>
      <c r="K116" s="70">
        <v>2</v>
      </c>
      <c r="L116" s="740"/>
      <c r="M116" s="393"/>
      <c r="N116" s="679"/>
      <c r="O116" s="393"/>
      <c r="P116" s="679"/>
      <c r="Q116" s="37">
        <v>1246</v>
      </c>
      <c r="R116" s="37">
        <v>1568.4</v>
      </c>
      <c r="S116" s="38">
        <v>44063</v>
      </c>
      <c r="T116" s="475"/>
      <c r="U116" s="39">
        <v>1238</v>
      </c>
      <c r="V116" s="39">
        <f t="shared" si="266"/>
        <v>-8</v>
      </c>
      <c r="W116" s="39">
        <f t="shared" ref="W116:W123" si="278">V116*100/30000</f>
        <v>-2.6666666666666668E-2</v>
      </c>
      <c r="X116" s="39">
        <v>1.73</v>
      </c>
      <c r="Y116" s="39">
        <f t="shared" ref="Y116:Y123" si="279">X116*100/30000</f>
        <v>5.7666666666666665E-3</v>
      </c>
      <c r="Z116" s="39"/>
      <c r="AA116" s="39"/>
      <c r="AB116" s="39"/>
      <c r="AC116" s="39">
        <v>0.04</v>
      </c>
      <c r="AD116" s="40">
        <f t="shared" si="267"/>
        <v>1.3333333333333332E-2</v>
      </c>
      <c r="AE116" s="40">
        <f t="shared" si="272"/>
        <v>-6.6666666666666666E-2</v>
      </c>
      <c r="AF116" s="40">
        <f t="shared" si="268"/>
        <v>1.3333333333333332E-2</v>
      </c>
      <c r="AG116" s="41">
        <v>44420</v>
      </c>
      <c r="AH116" s="455"/>
      <c r="AI116" s="42">
        <v>1575.8</v>
      </c>
      <c r="AJ116" s="42">
        <f>AI116-R116</f>
        <v>7.3999999999998636</v>
      </c>
      <c r="AK116" s="42">
        <f t="shared" ref="AK116:AK123" si="280">(AJ116*100)/30000</f>
        <v>2.4666666666666212E-2</v>
      </c>
      <c r="AL116" s="42">
        <v>2.9</v>
      </c>
      <c r="AM116" s="42">
        <f t="shared" ref="AM116:AM123" si="281">AL116*100/30000</f>
        <v>9.6666666666666672E-3</v>
      </c>
      <c r="AN116" s="42"/>
      <c r="AO116" s="42"/>
      <c r="AP116" s="42">
        <v>4.2</v>
      </c>
      <c r="AQ116" s="42">
        <f t="shared" si="255"/>
        <v>1.4E-2</v>
      </c>
      <c r="AR116" s="257">
        <f t="shared" si="273"/>
        <v>3.8666666666666211E-2</v>
      </c>
      <c r="AS116" s="257">
        <f t="shared" si="274"/>
        <v>1.0666666666666212E-2</v>
      </c>
      <c r="AT116" s="257">
        <f t="shared" si="275"/>
        <v>3.8666666666666211E-2</v>
      </c>
      <c r="AU116" s="260">
        <f t="shared" si="276"/>
        <v>0.97777777777777775</v>
      </c>
      <c r="AV116" s="261">
        <f t="shared" si="269"/>
        <v>2.5333333333332878E-2</v>
      </c>
      <c r="AW116" s="317">
        <f t="shared" si="270"/>
        <v>2.5909090909090444E-2</v>
      </c>
      <c r="AX116" s="263">
        <f t="shared" si="271"/>
        <v>115.78947368421261</v>
      </c>
      <c r="AY116" s="295" t="str">
        <f t="shared" si="277"/>
        <v>DOS AÑOS</v>
      </c>
      <c r="AZ116" s="737"/>
      <c r="BA116" s="440"/>
      <c r="BB116" s="478"/>
      <c r="BC116" s="625"/>
      <c r="BD116" s="481"/>
    </row>
    <row r="117" spans="1:56" s="73" customFormat="1" ht="15.75" customHeight="1" x14ac:dyDescent="0.25">
      <c r="A117" s="333"/>
      <c r="B117" s="728"/>
      <c r="C117" s="450"/>
      <c r="D117" s="731"/>
      <c r="E117" s="731"/>
      <c r="F117" s="734"/>
      <c r="G117" s="466"/>
      <c r="H117" s="466"/>
      <c r="I117" s="398">
        <v>3</v>
      </c>
      <c r="J117" s="743"/>
      <c r="K117" s="70">
        <v>2</v>
      </c>
      <c r="L117" s="740"/>
      <c r="M117" s="393"/>
      <c r="N117" s="679"/>
      <c r="O117" s="393"/>
      <c r="P117" s="679"/>
      <c r="Q117" s="37">
        <v>2491</v>
      </c>
      <c r="R117" s="37">
        <v>3136.8</v>
      </c>
      <c r="S117" s="38">
        <v>44063</v>
      </c>
      <c r="T117" s="475"/>
      <c r="U117" s="39">
        <v>2571</v>
      </c>
      <c r="V117" s="39">
        <f t="shared" si="266"/>
        <v>80</v>
      </c>
      <c r="W117" s="39">
        <f t="shared" si="278"/>
        <v>0.26666666666666666</v>
      </c>
      <c r="X117" s="39">
        <v>1.73</v>
      </c>
      <c r="Y117" s="39">
        <f t="shared" si="279"/>
        <v>5.7666666666666665E-3</v>
      </c>
      <c r="Z117" s="39"/>
      <c r="AA117" s="39"/>
      <c r="AB117" s="39"/>
      <c r="AC117" s="39">
        <v>0.06</v>
      </c>
      <c r="AD117" s="40">
        <f t="shared" si="267"/>
        <v>0.32666666666666666</v>
      </c>
      <c r="AE117" s="40">
        <f t="shared" si="272"/>
        <v>0.20666666666666667</v>
      </c>
      <c r="AF117" s="40">
        <f t="shared" si="268"/>
        <v>0.32666666666666666</v>
      </c>
      <c r="AG117" s="41">
        <v>44420</v>
      </c>
      <c r="AH117" s="455"/>
      <c r="AI117" s="42">
        <v>3056</v>
      </c>
      <c r="AJ117" s="42">
        <f>AI117-R117</f>
        <v>-80.800000000000182</v>
      </c>
      <c r="AK117" s="42">
        <f t="shared" si="280"/>
        <v>-0.26933333333333392</v>
      </c>
      <c r="AL117" s="42">
        <v>5.3</v>
      </c>
      <c r="AM117" s="42">
        <f t="shared" si="281"/>
        <v>1.7666666666666667E-2</v>
      </c>
      <c r="AN117" s="42"/>
      <c r="AO117" s="42"/>
      <c r="AP117" s="42">
        <v>7.3</v>
      </c>
      <c r="AQ117" s="42">
        <f t="shared" si="255"/>
        <v>2.4333333333333332E-2</v>
      </c>
      <c r="AR117" s="257">
        <f t="shared" si="273"/>
        <v>-0.24500000000000061</v>
      </c>
      <c r="AS117" s="257">
        <f t="shared" si="274"/>
        <v>-0.29366666666666724</v>
      </c>
      <c r="AT117" s="257">
        <f t="shared" si="275"/>
        <v>-0.24500000000000061</v>
      </c>
      <c r="AU117" s="260">
        <f t="shared" si="276"/>
        <v>0.97777777777777775</v>
      </c>
      <c r="AV117" s="261">
        <f t="shared" si="269"/>
        <v>0.57166666666666721</v>
      </c>
      <c r="AW117" s="317">
        <f t="shared" si="270"/>
        <v>0.58465909090909152</v>
      </c>
      <c r="AX117" s="263">
        <f t="shared" si="271"/>
        <v>5.1311953352769626</v>
      </c>
      <c r="AY117" s="295" t="str">
        <f t="shared" si="277"/>
        <v>DOS AÑOS</v>
      </c>
      <c r="AZ117" s="737"/>
      <c r="BA117" s="440"/>
      <c r="BB117" s="478"/>
      <c r="BC117" s="625"/>
      <c r="BD117" s="481"/>
    </row>
    <row r="118" spans="1:56" s="73" customFormat="1" ht="15.75" customHeight="1" x14ac:dyDescent="0.25">
      <c r="A118" s="333"/>
      <c r="B118" s="728"/>
      <c r="C118" s="450"/>
      <c r="D118" s="731"/>
      <c r="E118" s="731"/>
      <c r="F118" s="734"/>
      <c r="G118" s="466"/>
      <c r="H118" s="466"/>
      <c r="I118" s="398">
        <v>3</v>
      </c>
      <c r="J118" s="743"/>
      <c r="K118" s="70">
        <v>2</v>
      </c>
      <c r="L118" s="740"/>
      <c r="M118" s="393"/>
      <c r="N118" s="679"/>
      <c r="O118" s="393"/>
      <c r="P118" s="679"/>
      <c r="Q118" s="37">
        <v>6228</v>
      </c>
      <c r="R118" s="37">
        <v>6274</v>
      </c>
      <c r="S118" s="38">
        <v>44063</v>
      </c>
      <c r="T118" s="475"/>
      <c r="U118" s="39">
        <v>6343</v>
      </c>
      <c r="V118" s="39">
        <f t="shared" ref="V118:V123" si="282">U118-Q118</f>
        <v>115</v>
      </c>
      <c r="W118" s="39">
        <f t="shared" si="278"/>
        <v>0.38333333333333336</v>
      </c>
      <c r="X118" s="39">
        <v>1.73</v>
      </c>
      <c r="Y118" s="39">
        <f t="shared" si="279"/>
        <v>5.7666666666666665E-3</v>
      </c>
      <c r="Z118" s="39"/>
      <c r="AA118" s="39"/>
      <c r="AB118" s="39" t="s">
        <v>69</v>
      </c>
      <c r="AC118" s="39">
        <v>0.15</v>
      </c>
      <c r="AD118" s="40">
        <f t="shared" si="267"/>
        <v>0.53333333333333333</v>
      </c>
      <c r="AE118" s="40">
        <f t="shared" ref="AE118:AE121" si="283">(W118-AC118)</f>
        <v>0.23333333333333336</v>
      </c>
      <c r="AF118" s="40">
        <f t="shared" ref="AF118:AF121" si="284">MAX(AD118:AE118)</f>
        <v>0.53333333333333333</v>
      </c>
      <c r="AG118" s="41">
        <v>44420</v>
      </c>
      <c r="AH118" s="455"/>
      <c r="AI118" s="42">
        <v>6088</v>
      </c>
      <c r="AJ118" s="42">
        <f t="shared" ref="AJ118:AJ123" si="285">AI118-R118</f>
        <v>-186</v>
      </c>
      <c r="AK118" s="42">
        <f t="shared" si="280"/>
        <v>-0.62</v>
      </c>
      <c r="AL118" s="42">
        <v>5</v>
      </c>
      <c r="AM118" s="42">
        <f t="shared" si="281"/>
        <v>1.6666666666666666E-2</v>
      </c>
      <c r="AN118" s="42"/>
      <c r="AO118" s="42"/>
      <c r="AP118" s="42">
        <v>14</v>
      </c>
      <c r="AQ118" s="42">
        <f t="shared" si="255"/>
        <v>4.6666666666666669E-2</v>
      </c>
      <c r="AR118" s="257">
        <f t="shared" si="273"/>
        <v>-0.57333333333333336</v>
      </c>
      <c r="AS118" s="257">
        <f t="shared" si="274"/>
        <v>-0.66666666666666663</v>
      </c>
      <c r="AT118" s="257">
        <f t="shared" si="275"/>
        <v>-0.57333333333333336</v>
      </c>
      <c r="AU118" s="260">
        <f t="shared" si="276"/>
        <v>0.97777777777777775</v>
      </c>
      <c r="AV118" s="261">
        <f t="shared" si="269"/>
        <v>1.1066666666666667</v>
      </c>
      <c r="AW118" s="317">
        <f t="shared" si="270"/>
        <v>1.1318181818181818</v>
      </c>
      <c r="AX118" s="263">
        <f t="shared" si="271"/>
        <v>2.6506024096385543</v>
      </c>
      <c r="AY118" s="295" t="str">
        <f t="shared" si="277"/>
        <v>DOS AÑOS</v>
      </c>
      <c r="AZ118" s="737"/>
      <c r="BA118" s="440"/>
      <c r="BB118" s="478"/>
      <c r="BC118" s="625"/>
      <c r="BD118" s="481"/>
    </row>
    <row r="119" spans="1:56" s="73" customFormat="1" ht="15.75" customHeight="1" x14ac:dyDescent="0.25">
      <c r="A119" s="333"/>
      <c r="B119" s="728"/>
      <c r="C119" s="450"/>
      <c r="D119" s="731"/>
      <c r="E119" s="731"/>
      <c r="F119" s="734"/>
      <c r="G119" s="466"/>
      <c r="H119" s="466"/>
      <c r="I119" s="398">
        <v>3</v>
      </c>
      <c r="J119" s="743"/>
      <c r="K119" s="70">
        <v>2</v>
      </c>
      <c r="L119" s="740"/>
      <c r="M119" s="393"/>
      <c r="N119" s="679"/>
      <c r="O119" s="393"/>
      <c r="P119" s="679"/>
      <c r="Q119" s="37">
        <v>12455</v>
      </c>
      <c r="R119" s="37">
        <v>9410</v>
      </c>
      <c r="S119" s="38">
        <v>44063</v>
      </c>
      <c r="T119" s="475"/>
      <c r="U119" s="39">
        <v>12415</v>
      </c>
      <c r="V119" s="39">
        <f t="shared" si="282"/>
        <v>-40</v>
      </c>
      <c r="W119" s="39">
        <f t="shared" si="278"/>
        <v>-0.13333333333333333</v>
      </c>
      <c r="X119" s="39">
        <v>2.31</v>
      </c>
      <c r="Y119" s="39">
        <f t="shared" si="279"/>
        <v>7.7000000000000002E-3</v>
      </c>
      <c r="Z119" s="39"/>
      <c r="AA119" s="39"/>
      <c r="AB119" s="39" t="s">
        <v>69</v>
      </c>
      <c r="AC119" s="39">
        <v>0.27</v>
      </c>
      <c r="AD119" s="40">
        <f t="shared" si="267"/>
        <v>0.13666666666666669</v>
      </c>
      <c r="AE119" s="40">
        <f t="shared" si="283"/>
        <v>-0.40333333333333332</v>
      </c>
      <c r="AF119" s="40">
        <f t="shared" si="284"/>
        <v>0.13666666666666669</v>
      </c>
      <c r="AG119" s="41">
        <v>44420</v>
      </c>
      <c r="AH119" s="455"/>
      <c r="AI119" s="42">
        <v>9194</v>
      </c>
      <c r="AJ119" s="42">
        <f t="shared" si="285"/>
        <v>-216</v>
      </c>
      <c r="AK119" s="42">
        <f t="shared" si="280"/>
        <v>-0.72</v>
      </c>
      <c r="AL119" s="42">
        <v>3.1</v>
      </c>
      <c r="AM119" s="42">
        <f t="shared" si="281"/>
        <v>1.0333333333333333E-2</v>
      </c>
      <c r="AN119" s="42"/>
      <c r="AO119" s="42"/>
      <c r="AP119" s="42">
        <v>20</v>
      </c>
      <c r="AQ119" s="42">
        <f t="shared" si="255"/>
        <v>6.6666666666666666E-2</v>
      </c>
      <c r="AR119" s="257">
        <f t="shared" si="273"/>
        <v>-0.65333333333333332</v>
      </c>
      <c r="AS119" s="257">
        <f t="shared" si="274"/>
        <v>-0.78666666666666663</v>
      </c>
      <c r="AT119" s="257">
        <f t="shared" si="275"/>
        <v>-0.65333333333333332</v>
      </c>
      <c r="AU119" s="260">
        <f t="shared" si="276"/>
        <v>0.97777777777777775</v>
      </c>
      <c r="AV119" s="261">
        <f t="shared" si="269"/>
        <v>0.79</v>
      </c>
      <c r="AW119" s="317">
        <f t="shared" si="270"/>
        <v>0.80795454545454548</v>
      </c>
      <c r="AX119" s="263">
        <f t="shared" si="271"/>
        <v>3.7130801687763713</v>
      </c>
      <c r="AY119" s="295" t="str">
        <f t="shared" si="277"/>
        <v>DOS AÑOS</v>
      </c>
      <c r="AZ119" s="737"/>
      <c r="BA119" s="440"/>
      <c r="BB119" s="478"/>
      <c r="BC119" s="625"/>
      <c r="BD119" s="481"/>
    </row>
    <row r="120" spans="1:56" s="73" customFormat="1" ht="15.75" customHeight="1" x14ac:dyDescent="0.25">
      <c r="A120" s="333"/>
      <c r="B120" s="728"/>
      <c r="C120" s="450"/>
      <c r="D120" s="731"/>
      <c r="E120" s="731"/>
      <c r="F120" s="734"/>
      <c r="G120" s="466"/>
      <c r="H120" s="466"/>
      <c r="I120" s="398">
        <v>3</v>
      </c>
      <c r="J120" s="743"/>
      <c r="K120" s="70">
        <v>2</v>
      </c>
      <c r="L120" s="740"/>
      <c r="M120" s="393" t="s">
        <v>69</v>
      </c>
      <c r="N120" s="679"/>
      <c r="O120" s="393" t="s">
        <v>69</v>
      </c>
      <c r="P120" s="679"/>
      <c r="Q120" s="37">
        <v>18683.2</v>
      </c>
      <c r="R120" s="37">
        <v>15684</v>
      </c>
      <c r="S120" s="38">
        <v>44063</v>
      </c>
      <c r="T120" s="475"/>
      <c r="U120" s="39">
        <v>18518.3</v>
      </c>
      <c r="V120" s="39">
        <f t="shared" si="282"/>
        <v>-164.90000000000146</v>
      </c>
      <c r="W120" s="39">
        <f t="shared" si="278"/>
        <v>-0.54966666666667152</v>
      </c>
      <c r="X120" s="39">
        <v>2.31</v>
      </c>
      <c r="Y120" s="39">
        <f t="shared" si="279"/>
        <v>7.7000000000000002E-3</v>
      </c>
      <c r="Z120" s="39" t="s">
        <v>69</v>
      </c>
      <c r="AA120" s="39" t="s">
        <v>69</v>
      </c>
      <c r="AB120" s="39" t="s">
        <v>69</v>
      </c>
      <c r="AC120" s="39">
        <v>0.4</v>
      </c>
      <c r="AD120" s="40">
        <f t="shared" ref="AD120:AD121" si="286">(W120+AC120)</f>
        <v>-0.1496666666666715</v>
      </c>
      <c r="AE120" s="40">
        <f t="shared" si="283"/>
        <v>-0.94966666666667154</v>
      </c>
      <c r="AF120" s="40">
        <f t="shared" si="284"/>
        <v>-0.1496666666666715</v>
      </c>
      <c r="AG120" s="41">
        <v>44420</v>
      </c>
      <c r="AH120" s="455"/>
      <c r="AI120" s="42">
        <v>15379</v>
      </c>
      <c r="AJ120" s="42">
        <f t="shared" si="285"/>
        <v>-305</v>
      </c>
      <c r="AK120" s="42">
        <f t="shared" si="280"/>
        <v>-1.0166666666666666</v>
      </c>
      <c r="AL120" s="42">
        <v>6.9</v>
      </c>
      <c r="AM120" s="42">
        <f t="shared" si="281"/>
        <v>2.3E-2</v>
      </c>
      <c r="AN120" s="42" t="s">
        <v>69</v>
      </c>
      <c r="AO120" s="42" t="s">
        <v>69</v>
      </c>
      <c r="AP120" s="42">
        <v>33</v>
      </c>
      <c r="AQ120" s="42">
        <f t="shared" si="255"/>
        <v>0.11</v>
      </c>
      <c r="AR120" s="257">
        <f t="shared" si="273"/>
        <v>-0.90666666666666662</v>
      </c>
      <c r="AS120" s="257">
        <f t="shared" si="274"/>
        <v>-1.1266666666666667</v>
      </c>
      <c r="AT120" s="257">
        <f t="shared" si="275"/>
        <v>-0.90666666666666662</v>
      </c>
      <c r="AU120" s="260">
        <f t="shared" si="276"/>
        <v>0.97777777777777775</v>
      </c>
      <c r="AV120" s="261">
        <f t="shared" si="269"/>
        <v>0.75699999999999512</v>
      </c>
      <c r="AW120" s="317">
        <f t="shared" si="270"/>
        <v>0.77420454545454054</v>
      </c>
      <c r="AX120" s="263">
        <f t="shared" si="271"/>
        <v>3.8749449581682325</v>
      </c>
      <c r="AY120" s="295" t="str">
        <f t="shared" si="277"/>
        <v>DOS AÑOS</v>
      </c>
      <c r="AZ120" s="737"/>
      <c r="BA120" s="440"/>
      <c r="BB120" s="478"/>
      <c r="BC120" s="625"/>
      <c r="BD120" s="481"/>
    </row>
    <row r="121" spans="1:56" s="73" customFormat="1" ht="15.75" customHeight="1" x14ac:dyDescent="0.25">
      <c r="A121" s="333"/>
      <c r="B121" s="728"/>
      <c r="C121" s="450"/>
      <c r="D121" s="731"/>
      <c r="E121" s="731"/>
      <c r="F121" s="734"/>
      <c r="G121" s="466"/>
      <c r="H121" s="466"/>
      <c r="I121" s="398">
        <v>3</v>
      </c>
      <c r="J121" s="743"/>
      <c r="K121" s="70">
        <v>2</v>
      </c>
      <c r="L121" s="740"/>
      <c r="M121" s="393"/>
      <c r="N121" s="679"/>
      <c r="O121" s="393"/>
      <c r="P121" s="679"/>
      <c r="Q121" s="37">
        <v>24911</v>
      </c>
      <c r="R121" s="37">
        <v>21958</v>
      </c>
      <c r="S121" s="38">
        <v>44063</v>
      </c>
      <c r="T121" s="475"/>
      <c r="U121" s="39">
        <v>24773.7</v>
      </c>
      <c r="V121" s="39">
        <f t="shared" si="282"/>
        <v>-137.29999999999927</v>
      </c>
      <c r="W121" s="39">
        <f t="shared" si="278"/>
        <v>-0.45766666666666422</v>
      </c>
      <c r="X121" s="39">
        <v>2.89</v>
      </c>
      <c r="Y121" s="39">
        <f t="shared" si="279"/>
        <v>9.633333333333334E-3</v>
      </c>
      <c r="Z121" s="39"/>
      <c r="AA121" s="39"/>
      <c r="AB121" s="39" t="s">
        <v>69</v>
      </c>
      <c r="AC121" s="39">
        <v>0.53</v>
      </c>
      <c r="AD121" s="40">
        <f t="shared" si="286"/>
        <v>7.2333333333335803E-2</v>
      </c>
      <c r="AE121" s="40">
        <f t="shared" si="283"/>
        <v>-0.98766666666666425</v>
      </c>
      <c r="AF121" s="40">
        <f t="shared" si="284"/>
        <v>7.2333333333335803E-2</v>
      </c>
      <c r="AG121" s="41">
        <v>44420</v>
      </c>
      <c r="AH121" s="455"/>
      <c r="AI121" s="42">
        <v>21715</v>
      </c>
      <c r="AJ121" s="42">
        <f t="shared" si="285"/>
        <v>-243</v>
      </c>
      <c r="AK121" s="42">
        <f t="shared" si="280"/>
        <v>-0.81</v>
      </c>
      <c r="AL121" s="42">
        <v>5.2</v>
      </c>
      <c r="AM121" s="42">
        <f t="shared" si="281"/>
        <v>1.7333333333333333E-2</v>
      </c>
      <c r="AN121" s="42"/>
      <c r="AO121" s="42"/>
      <c r="AP121" s="42">
        <v>45</v>
      </c>
      <c r="AQ121" s="42">
        <f t="shared" si="255"/>
        <v>0.15</v>
      </c>
      <c r="AR121" s="257">
        <f t="shared" si="273"/>
        <v>-0.66</v>
      </c>
      <c r="AS121" s="257">
        <f t="shared" si="274"/>
        <v>-0.96000000000000008</v>
      </c>
      <c r="AT121" s="257">
        <f t="shared" si="275"/>
        <v>-0.66</v>
      </c>
      <c r="AU121" s="260">
        <f t="shared" si="276"/>
        <v>0.97777777777777775</v>
      </c>
      <c r="AV121" s="261">
        <f t="shared" si="269"/>
        <v>0.73233333333333583</v>
      </c>
      <c r="AW121" s="317">
        <f t="shared" si="270"/>
        <v>0.74897727272727532</v>
      </c>
      <c r="AX121" s="263">
        <f t="shared" si="271"/>
        <v>4.0054619936276605</v>
      </c>
      <c r="AY121" s="295" t="str">
        <f t="shared" si="277"/>
        <v>DOS AÑOS</v>
      </c>
      <c r="AZ121" s="737"/>
      <c r="BA121" s="440"/>
      <c r="BB121" s="478"/>
      <c r="BC121" s="625"/>
      <c r="BD121" s="481"/>
    </row>
    <row r="122" spans="1:56" s="73" customFormat="1" ht="15.75" customHeight="1" x14ac:dyDescent="0.25">
      <c r="A122" s="333"/>
      <c r="B122" s="728"/>
      <c r="C122" s="450"/>
      <c r="D122" s="731"/>
      <c r="E122" s="731"/>
      <c r="F122" s="734"/>
      <c r="G122" s="466"/>
      <c r="H122" s="466"/>
      <c r="I122" s="398">
        <v>3</v>
      </c>
      <c r="J122" s="743"/>
      <c r="K122" s="70">
        <v>2</v>
      </c>
      <c r="L122" s="740"/>
      <c r="M122" s="393" t="s">
        <v>69</v>
      </c>
      <c r="N122" s="679"/>
      <c r="O122" s="393" t="s">
        <v>69</v>
      </c>
      <c r="P122" s="679"/>
      <c r="Q122" s="37"/>
      <c r="R122" s="37">
        <v>28231</v>
      </c>
      <c r="S122" s="38"/>
      <c r="T122" s="475"/>
      <c r="U122" s="39"/>
      <c r="V122" s="39"/>
      <c r="W122" s="39"/>
      <c r="X122" s="39"/>
      <c r="Y122" s="39"/>
      <c r="Z122" s="39" t="s">
        <v>69</v>
      </c>
      <c r="AA122" s="39" t="s">
        <v>69</v>
      </c>
      <c r="AB122" s="39" t="s">
        <v>69</v>
      </c>
      <c r="AC122" s="39"/>
      <c r="AD122" s="40"/>
      <c r="AE122" s="40"/>
      <c r="AF122" s="40"/>
      <c r="AG122" s="41">
        <v>44420</v>
      </c>
      <c r="AH122" s="455"/>
      <c r="AI122" s="42">
        <v>28077</v>
      </c>
      <c r="AJ122" s="42">
        <f t="shared" si="285"/>
        <v>-154</v>
      </c>
      <c r="AK122" s="42">
        <f t="shared" si="280"/>
        <v>-0.51333333333333331</v>
      </c>
      <c r="AL122" s="42">
        <v>5.2</v>
      </c>
      <c r="AM122" s="42">
        <f t="shared" si="281"/>
        <v>1.7333333333333333E-2</v>
      </c>
      <c r="AN122" s="42" t="s">
        <v>69</v>
      </c>
      <c r="AO122" s="42" t="s">
        <v>69</v>
      </c>
      <c r="AP122" s="42">
        <v>58</v>
      </c>
      <c r="AQ122" s="42">
        <f t="shared" si="255"/>
        <v>0.19333333333333333</v>
      </c>
      <c r="AR122" s="257">
        <f t="shared" si="273"/>
        <v>-0.31999999999999995</v>
      </c>
      <c r="AS122" s="257">
        <f t="shared" si="274"/>
        <v>-0.70666666666666667</v>
      </c>
      <c r="AT122" s="257">
        <f t="shared" si="275"/>
        <v>-0.31999999999999995</v>
      </c>
      <c r="AU122" s="260">
        <f t="shared" si="276"/>
        <v>121.61666666666666</v>
      </c>
      <c r="AV122" s="261">
        <f t="shared" si="269"/>
        <v>0.31999999999999995</v>
      </c>
      <c r="AW122" s="317">
        <f t="shared" si="270"/>
        <v>2.631218308894066E-3</v>
      </c>
      <c r="AX122" s="263">
        <f t="shared" si="271"/>
        <v>1140.15625</v>
      </c>
      <c r="AY122" s="295" t="str">
        <f t="shared" si="277"/>
        <v>DOS AÑOS</v>
      </c>
      <c r="AZ122" s="737"/>
      <c r="BA122" s="440"/>
      <c r="BB122" s="478"/>
      <c r="BC122" s="625"/>
      <c r="BD122" s="481"/>
    </row>
    <row r="123" spans="1:56" s="75" customFormat="1" ht="15.75" customHeight="1" thickBot="1" x14ac:dyDescent="0.3">
      <c r="A123" s="333"/>
      <c r="B123" s="728"/>
      <c r="C123" s="450"/>
      <c r="D123" s="731"/>
      <c r="E123" s="731"/>
      <c r="F123" s="734"/>
      <c r="G123" s="466"/>
      <c r="H123" s="466"/>
      <c r="I123" s="398">
        <v>3</v>
      </c>
      <c r="J123" s="743"/>
      <c r="K123" s="70">
        <v>2</v>
      </c>
      <c r="L123" s="740"/>
      <c r="M123" s="393" t="s">
        <v>69</v>
      </c>
      <c r="N123" s="679"/>
      <c r="O123" s="393" t="s">
        <v>69</v>
      </c>
      <c r="P123" s="679"/>
      <c r="Q123" s="37">
        <v>29893.200000000001</v>
      </c>
      <c r="R123" s="37">
        <v>29800</v>
      </c>
      <c r="S123" s="38">
        <v>44063</v>
      </c>
      <c r="T123" s="475"/>
      <c r="U123" s="39">
        <v>29748.3</v>
      </c>
      <c r="V123" s="39">
        <f t="shared" si="282"/>
        <v>-144.90000000000146</v>
      </c>
      <c r="W123" s="39">
        <f t="shared" si="278"/>
        <v>-0.48300000000000487</v>
      </c>
      <c r="X123" s="39">
        <v>2.31</v>
      </c>
      <c r="Y123" s="39">
        <f t="shared" si="279"/>
        <v>7.7000000000000002E-3</v>
      </c>
      <c r="Z123" s="39" t="s">
        <v>69</v>
      </c>
      <c r="AA123" s="39" t="s">
        <v>69</v>
      </c>
      <c r="AB123" s="39" t="s">
        <v>69</v>
      </c>
      <c r="AC123" s="39">
        <v>0.64</v>
      </c>
      <c r="AD123" s="40">
        <f t="shared" ref="AD123" si="287">(W123+AC123)</f>
        <v>0.15699999999999514</v>
      </c>
      <c r="AE123" s="40">
        <f t="shared" ref="AE123" si="288">(W123-AC123)</f>
        <v>-1.1230000000000049</v>
      </c>
      <c r="AF123" s="40">
        <f t="shared" ref="AF123" si="289">MAX(AD123:AE123)</f>
        <v>0.15699999999999514</v>
      </c>
      <c r="AG123" s="41">
        <v>44420</v>
      </c>
      <c r="AH123" s="456"/>
      <c r="AI123" s="42">
        <v>29656</v>
      </c>
      <c r="AJ123" s="42">
        <f t="shared" si="285"/>
        <v>-144</v>
      </c>
      <c r="AK123" s="42">
        <f t="shared" si="280"/>
        <v>-0.48</v>
      </c>
      <c r="AL123" s="42">
        <v>5.8</v>
      </c>
      <c r="AM123" s="42">
        <f t="shared" si="281"/>
        <v>1.9333333333333334E-2</v>
      </c>
      <c r="AN123" s="42" t="s">
        <v>69</v>
      </c>
      <c r="AO123" s="42" t="s">
        <v>69</v>
      </c>
      <c r="AP123" s="42">
        <v>61</v>
      </c>
      <c r="AQ123" s="42">
        <f t="shared" si="255"/>
        <v>0.20333333333333334</v>
      </c>
      <c r="AR123" s="257">
        <f t="shared" si="273"/>
        <v>-0.27666666666666662</v>
      </c>
      <c r="AS123" s="257">
        <f t="shared" si="274"/>
        <v>-0.68333333333333335</v>
      </c>
      <c r="AT123" s="257">
        <f t="shared" si="275"/>
        <v>-0.27666666666666662</v>
      </c>
      <c r="AU123" s="260">
        <f t="shared" si="276"/>
        <v>0.97777777777777775</v>
      </c>
      <c r="AV123" s="261" t="s">
        <v>69</v>
      </c>
      <c r="AW123" s="317" t="s">
        <v>69</v>
      </c>
      <c r="AX123" s="263" t="s">
        <v>69</v>
      </c>
      <c r="AY123" s="295" t="str">
        <f t="shared" si="277"/>
        <v>DOS AÑOS</v>
      </c>
      <c r="AZ123" s="737"/>
      <c r="BA123" s="440"/>
      <c r="BB123" s="478"/>
      <c r="BC123" s="625"/>
      <c r="BD123" s="481"/>
    </row>
    <row r="124" spans="1:56" ht="15.75" customHeight="1" x14ac:dyDescent="0.25">
      <c r="B124" s="728"/>
      <c r="C124" s="450" t="s">
        <v>215</v>
      </c>
      <c r="D124" s="731"/>
      <c r="E124" s="731"/>
      <c r="F124" s="734"/>
      <c r="G124" s="466" t="s">
        <v>105</v>
      </c>
      <c r="H124" s="515" t="s">
        <v>200</v>
      </c>
      <c r="I124" s="69">
        <v>3</v>
      </c>
      <c r="J124" s="743"/>
      <c r="K124" s="70">
        <v>3</v>
      </c>
      <c r="L124" s="740"/>
      <c r="M124" s="71" t="s">
        <v>69</v>
      </c>
      <c r="N124" s="679"/>
      <c r="O124" s="71" t="s">
        <v>69</v>
      </c>
      <c r="P124" s="679"/>
      <c r="Q124" s="37">
        <v>0</v>
      </c>
      <c r="R124" s="37">
        <v>0</v>
      </c>
      <c r="S124" s="38">
        <v>44063</v>
      </c>
      <c r="T124" s="475"/>
      <c r="U124" s="39">
        <v>0</v>
      </c>
      <c r="V124" s="39">
        <f>U124-Q124</f>
        <v>0</v>
      </c>
      <c r="W124" s="39">
        <v>0</v>
      </c>
      <c r="X124" s="39" t="s">
        <v>69</v>
      </c>
      <c r="Y124" s="39">
        <v>0</v>
      </c>
      <c r="Z124" s="39"/>
      <c r="AA124" s="39" t="s">
        <v>69</v>
      </c>
      <c r="AB124" s="39"/>
      <c r="AC124" s="39"/>
      <c r="AD124" s="40">
        <f>(W124+AC124)</f>
        <v>0</v>
      </c>
      <c r="AE124" s="40">
        <f t="shared" si="90"/>
        <v>0</v>
      </c>
      <c r="AF124" s="40">
        <f t="shared" si="238"/>
        <v>0</v>
      </c>
      <c r="AG124" s="41">
        <v>44420</v>
      </c>
      <c r="AH124" s="454">
        <v>66128</v>
      </c>
      <c r="AI124" s="42">
        <v>0</v>
      </c>
      <c r="AJ124" s="42">
        <f>AI124-Q124</f>
        <v>0</v>
      </c>
      <c r="AK124" s="42">
        <v>0</v>
      </c>
      <c r="AL124" s="42">
        <v>0</v>
      </c>
      <c r="AM124" s="42">
        <v>0</v>
      </c>
      <c r="AN124" s="42" t="s">
        <v>69</v>
      </c>
      <c r="AO124" s="42" t="s">
        <v>69</v>
      </c>
      <c r="AP124" s="42">
        <v>0.56999999999999995</v>
      </c>
      <c r="AQ124" s="42">
        <v>0.56999999999999995</v>
      </c>
      <c r="AR124" s="257">
        <f t="shared" si="244"/>
        <v>0.56999999999999995</v>
      </c>
      <c r="AS124" s="257">
        <f t="shared" si="245"/>
        <v>-0.56999999999999995</v>
      </c>
      <c r="AT124" s="40">
        <f t="shared" si="239"/>
        <v>0.56999999999999995</v>
      </c>
      <c r="AU124" s="43">
        <f t="shared" si="4"/>
        <v>0.97777777777777775</v>
      </c>
      <c r="AV124" s="44">
        <f t="shared" si="102"/>
        <v>0.56999999999999995</v>
      </c>
      <c r="AW124" s="45">
        <f t="shared" si="240"/>
        <v>0.58295454545454539</v>
      </c>
      <c r="AX124" s="46">
        <f t="shared" si="6"/>
        <v>5.1461988304093573</v>
      </c>
      <c r="AY124" s="72" t="str">
        <f t="shared" si="7"/>
        <v>DOS AÑOS</v>
      </c>
      <c r="AZ124" s="737"/>
      <c r="BA124" s="440"/>
      <c r="BB124" s="478"/>
      <c r="BC124" s="625"/>
      <c r="BD124" s="481"/>
    </row>
    <row r="125" spans="1:56" ht="15.75" customHeight="1" x14ac:dyDescent="0.25">
      <c r="B125" s="728"/>
      <c r="C125" s="450"/>
      <c r="D125" s="731"/>
      <c r="E125" s="731"/>
      <c r="F125" s="734"/>
      <c r="G125" s="466"/>
      <c r="H125" s="515"/>
      <c r="I125" s="323">
        <v>3</v>
      </c>
      <c r="J125" s="743"/>
      <c r="K125" s="70">
        <v>3</v>
      </c>
      <c r="L125" s="740"/>
      <c r="M125" s="324"/>
      <c r="N125" s="679"/>
      <c r="O125" s="324"/>
      <c r="P125" s="679"/>
      <c r="Q125" s="37" t="s">
        <v>69</v>
      </c>
      <c r="R125" s="37">
        <v>30</v>
      </c>
      <c r="S125" s="38"/>
      <c r="T125" s="475"/>
      <c r="U125" s="39"/>
      <c r="V125" s="39"/>
      <c r="W125" s="39"/>
      <c r="X125" s="39"/>
      <c r="Y125" s="39"/>
      <c r="Z125" s="39"/>
      <c r="AA125" s="39"/>
      <c r="AB125" s="39"/>
      <c r="AC125" s="39"/>
      <c r="AD125" s="40"/>
      <c r="AE125" s="40"/>
      <c r="AF125" s="40"/>
      <c r="AG125" s="41">
        <v>44420</v>
      </c>
      <c r="AH125" s="455"/>
      <c r="AI125" s="42">
        <v>30</v>
      </c>
      <c r="AJ125" s="42">
        <f t="shared" ref="AJ125:AJ132" si="290">AI125-R125</f>
        <v>0</v>
      </c>
      <c r="AK125" s="42">
        <f>(AJ125*100)/R125</f>
        <v>0</v>
      </c>
      <c r="AL125" s="42">
        <v>0</v>
      </c>
      <c r="AM125" s="42">
        <f t="shared" ref="AM125:AM132" si="291">AL125*100/R125</f>
        <v>0</v>
      </c>
      <c r="AN125" s="42"/>
      <c r="AO125" s="42"/>
      <c r="AP125" s="42">
        <v>0.56999999999999995</v>
      </c>
      <c r="AQ125" s="42">
        <f>AP125*100/R125</f>
        <v>1.8999999999999997</v>
      </c>
      <c r="AR125" s="40">
        <f t="shared" ref="AR125:AR127" si="292">(AJ125+AQ125)</f>
        <v>1.8999999999999997</v>
      </c>
      <c r="AS125" s="40">
        <f t="shared" ref="AS125:AS127" si="293">(AK125-AQ125)</f>
        <v>-1.8999999999999997</v>
      </c>
      <c r="AT125" s="40">
        <f t="shared" ref="AT125:AT127" si="294">MAX(AR125:AS125)</f>
        <v>1.8999999999999997</v>
      </c>
      <c r="AU125" s="43" t="s">
        <v>69</v>
      </c>
      <c r="AV125" s="44" t="s">
        <v>69</v>
      </c>
      <c r="AW125" s="45" t="s">
        <v>69</v>
      </c>
      <c r="AX125" s="46" t="s">
        <v>69</v>
      </c>
      <c r="AY125" s="72" t="str">
        <f t="shared" ref="AY125:AY126" si="295">IF(AX125&lt;=1,"UN AÑO",IF(AX125&gt;=1,"DOS AÑOS"))</f>
        <v>DOS AÑOS</v>
      </c>
      <c r="AZ125" s="737"/>
      <c r="BA125" s="440"/>
      <c r="BB125" s="478"/>
      <c r="BC125" s="625"/>
      <c r="BD125" s="481"/>
    </row>
    <row r="126" spans="1:56" ht="15.75" customHeight="1" x14ac:dyDescent="0.25">
      <c r="B126" s="728"/>
      <c r="C126" s="450"/>
      <c r="D126" s="731"/>
      <c r="E126" s="731"/>
      <c r="F126" s="734"/>
      <c r="G126" s="466"/>
      <c r="H126" s="515"/>
      <c r="I126" s="323">
        <v>3</v>
      </c>
      <c r="J126" s="743"/>
      <c r="K126" s="70">
        <v>3</v>
      </c>
      <c r="L126" s="740"/>
      <c r="M126" s="324"/>
      <c r="N126" s="679"/>
      <c r="O126" s="324"/>
      <c r="P126" s="679"/>
      <c r="Q126" s="37" t="s">
        <v>69</v>
      </c>
      <c r="R126" s="37">
        <v>40</v>
      </c>
      <c r="S126" s="38"/>
      <c r="T126" s="475"/>
      <c r="U126" s="39"/>
      <c r="V126" s="39"/>
      <c r="W126" s="39"/>
      <c r="X126" s="39"/>
      <c r="Y126" s="39"/>
      <c r="Z126" s="39"/>
      <c r="AA126" s="39"/>
      <c r="AB126" s="39"/>
      <c r="AC126" s="39"/>
      <c r="AD126" s="40"/>
      <c r="AE126" s="40"/>
      <c r="AF126" s="40"/>
      <c r="AG126" s="41">
        <v>44420</v>
      </c>
      <c r="AH126" s="455"/>
      <c r="AI126" s="42">
        <v>40</v>
      </c>
      <c r="AJ126" s="42">
        <f t="shared" si="290"/>
        <v>0</v>
      </c>
      <c r="AK126" s="42">
        <f>(AJ126*100)/R126</f>
        <v>0</v>
      </c>
      <c r="AL126" s="42">
        <v>0</v>
      </c>
      <c r="AM126" s="42">
        <f t="shared" si="291"/>
        <v>0</v>
      </c>
      <c r="AN126" s="42"/>
      <c r="AO126" s="42"/>
      <c r="AP126" s="42">
        <v>0.57999999999999996</v>
      </c>
      <c r="AQ126" s="42">
        <f t="shared" ref="AQ126:AQ137" si="296">AP126*100/R126</f>
        <v>1.4499999999999997</v>
      </c>
      <c r="AR126" s="40">
        <f t="shared" si="292"/>
        <v>1.4499999999999997</v>
      </c>
      <c r="AS126" s="40">
        <f t="shared" si="293"/>
        <v>-1.4499999999999997</v>
      </c>
      <c r="AT126" s="40">
        <f t="shared" si="294"/>
        <v>1.4499999999999997</v>
      </c>
      <c r="AU126" s="43" t="s">
        <v>69</v>
      </c>
      <c r="AV126" s="44" t="s">
        <v>69</v>
      </c>
      <c r="AW126" s="45" t="s">
        <v>69</v>
      </c>
      <c r="AX126" s="46" t="s">
        <v>69</v>
      </c>
      <c r="AY126" s="72" t="str">
        <f t="shared" si="295"/>
        <v>DOS AÑOS</v>
      </c>
      <c r="AZ126" s="737"/>
      <c r="BA126" s="440"/>
      <c r="BB126" s="478"/>
      <c r="BC126" s="625"/>
      <c r="BD126" s="481"/>
    </row>
    <row r="127" spans="1:56" ht="15" customHeight="1" x14ac:dyDescent="0.25">
      <c r="B127" s="728"/>
      <c r="C127" s="450"/>
      <c r="D127" s="731"/>
      <c r="E127" s="731"/>
      <c r="F127" s="734"/>
      <c r="G127" s="466"/>
      <c r="H127" s="515"/>
      <c r="I127" s="69">
        <v>3</v>
      </c>
      <c r="J127" s="743"/>
      <c r="K127" s="70">
        <v>3</v>
      </c>
      <c r="L127" s="740"/>
      <c r="M127" s="71" t="s">
        <v>69</v>
      </c>
      <c r="N127" s="679"/>
      <c r="O127" s="71" t="s">
        <v>69</v>
      </c>
      <c r="P127" s="679"/>
      <c r="Q127" s="37"/>
      <c r="R127" s="37">
        <v>60</v>
      </c>
      <c r="S127" s="38"/>
      <c r="T127" s="475"/>
      <c r="U127" s="39"/>
      <c r="V127" s="39"/>
      <c r="W127" s="39"/>
      <c r="X127" s="39"/>
      <c r="Y127" s="39"/>
      <c r="Z127" s="39"/>
      <c r="AA127" s="39" t="s">
        <v>69</v>
      </c>
      <c r="AB127" s="39"/>
      <c r="AC127" s="39"/>
      <c r="AD127" s="40"/>
      <c r="AE127" s="40"/>
      <c r="AF127" s="40"/>
      <c r="AG127" s="41">
        <v>44420</v>
      </c>
      <c r="AH127" s="455"/>
      <c r="AI127" s="42">
        <v>60</v>
      </c>
      <c r="AJ127" s="42">
        <f t="shared" si="290"/>
        <v>0</v>
      </c>
      <c r="AK127" s="42">
        <f>(AJ127*100)/R127</f>
        <v>0</v>
      </c>
      <c r="AL127" s="42">
        <v>0</v>
      </c>
      <c r="AM127" s="42">
        <f t="shared" si="291"/>
        <v>0</v>
      </c>
      <c r="AN127" s="42" t="s">
        <v>69</v>
      </c>
      <c r="AO127" s="42" t="s">
        <v>69</v>
      </c>
      <c r="AP127" s="42">
        <v>0.59</v>
      </c>
      <c r="AQ127" s="42">
        <f t="shared" si="296"/>
        <v>0.98333333333333328</v>
      </c>
      <c r="AR127" s="40">
        <f t="shared" si="292"/>
        <v>0.98333333333333328</v>
      </c>
      <c r="AS127" s="40">
        <f t="shared" si="293"/>
        <v>-0.98333333333333328</v>
      </c>
      <c r="AT127" s="40">
        <f t="shared" si="294"/>
        <v>0.98333333333333328</v>
      </c>
      <c r="AU127" s="43">
        <f t="shared" si="4"/>
        <v>121.61666666666666</v>
      </c>
      <c r="AV127" s="44">
        <f t="shared" si="102"/>
        <v>0.98333333333333328</v>
      </c>
      <c r="AW127" s="45">
        <f t="shared" si="240"/>
        <v>8.0855145950390565E-3</v>
      </c>
      <c r="AX127" s="46">
        <f t="shared" si="6"/>
        <v>371.03389830508479</v>
      </c>
      <c r="AY127" s="72" t="str">
        <f t="shared" si="7"/>
        <v>DOS AÑOS</v>
      </c>
      <c r="AZ127" s="737"/>
      <c r="BA127" s="440"/>
      <c r="BB127" s="478"/>
      <c r="BC127" s="625"/>
      <c r="BD127" s="481"/>
    </row>
    <row r="128" spans="1:56" ht="15" customHeight="1" x14ac:dyDescent="0.25">
      <c r="B128" s="728"/>
      <c r="C128" s="450"/>
      <c r="D128" s="731"/>
      <c r="E128" s="731"/>
      <c r="F128" s="734"/>
      <c r="G128" s="466"/>
      <c r="H128" s="515"/>
      <c r="I128" s="69">
        <v>3</v>
      </c>
      <c r="J128" s="743"/>
      <c r="K128" s="70">
        <v>3</v>
      </c>
      <c r="L128" s="740"/>
      <c r="M128" s="71" t="s">
        <v>69</v>
      </c>
      <c r="N128" s="679"/>
      <c r="O128" s="71" t="s">
        <v>69</v>
      </c>
      <c r="P128" s="679"/>
      <c r="Q128" s="37">
        <v>99.6</v>
      </c>
      <c r="R128" s="37">
        <v>100</v>
      </c>
      <c r="S128" s="38">
        <v>44063</v>
      </c>
      <c r="T128" s="475"/>
      <c r="U128" s="39">
        <v>100.8</v>
      </c>
      <c r="V128" s="39">
        <f>U128-Q128</f>
        <v>1.2000000000000028</v>
      </c>
      <c r="W128" s="39">
        <f t="shared" ref="W128:W136" si="297">V128*100/Q128</f>
        <v>1.2048192771084367</v>
      </c>
      <c r="X128" s="39">
        <v>0</v>
      </c>
      <c r="Y128" s="39">
        <f>X128*100/U128</f>
        <v>0</v>
      </c>
      <c r="Z128" s="39"/>
      <c r="AA128" s="39" t="s">
        <v>69</v>
      </c>
      <c r="AB128" s="39"/>
      <c r="AC128" s="39">
        <v>1.3</v>
      </c>
      <c r="AD128" s="40">
        <f t="shared" si="100"/>
        <v>2.504819277108437</v>
      </c>
      <c r="AE128" s="40">
        <f t="shared" si="90"/>
        <v>-9.5180722891563319E-2</v>
      </c>
      <c r="AF128" s="40">
        <f t="shared" si="238"/>
        <v>2.504819277108437</v>
      </c>
      <c r="AG128" s="41">
        <v>44420</v>
      </c>
      <c r="AH128" s="456"/>
      <c r="AI128" s="42">
        <v>100</v>
      </c>
      <c r="AJ128" s="42">
        <f t="shared" si="290"/>
        <v>0</v>
      </c>
      <c r="AK128" s="42">
        <f t="shared" ref="AK128:AK134" si="298">(AJ128*100)/Q128</f>
        <v>0</v>
      </c>
      <c r="AL128" s="42">
        <v>0</v>
      </c>
      <c r="AM128" s="42">
        <f t="shared" si="291"/>
        <v>0</v>
      </c>
      <c r="AN128" s="42" t="s">
        <v>69</v>
      </c>
      <c r="AO128" s="42" t="s">
        <v>69</v>
      </c>
      <c r="AP128" s="42">
        <v>0.63</v>
      </c>
      <c r="AQ128" s="42">
        <f t="shared" si="296"/>
        <v>0.63</v>
      </c>
      <c r="AR128" s="40">
        <f t="shared" si="59"/>
        <v>0.63</v>
      </c>
      <c r="AS128" s="40">
        <f t="shared" ref="AS128:AS132" si="299">(AK128-AQ128)</f>
        <v>-0.63</v>
      </c>
      <c r="AT128" s="40">
        <f t="shared" si="239"/>
        <v>0.63</v>
      </c>
      <c r="AU128" s="43">
        <f t="shared" si="4"/>
        <v>0.97777777777777775</v>
      </c>
      <c r="AV128" s="44">
        <f t="shared" si="102"/>
        <v>1.8748192771084371</v>
      </c>
      <c r="AW128" s="45">
        <f t="shared" si="240"/>
        <v>1.9174288061336289</v>
      </c>
      <c r="AX128" s="46">
        <f t="shared" si="6"/>
        <v>1.5645952488057724</v>
      </c>
      <c r="AY128" s="72" t="str">
        <f t="shared" si="7"/>
        <v>DOS AÑOS</v>
      </c>
      <c r="AZ128" s="737"/>
      <c r="BA128" s="440"/>
      <c r="BB128" s="478"/>
      <c r="BC128" s="625"/>
      <c r="BD128" s="481"/>
    </row>
    <row r="129" spans="2:56" ht="15" customHeight="1" x14ac:dyDescent="0.25">
      <c r="B129" s="728"/>
      <c r="C129" s="450"/>
      <c r="D129" s="731"/>
      <c r="E129" s="731"/>
      <c r="F129" s="734"/>
      <c r="G129" s="466"/>
      <c r="H129" s="515"/>
      <c r="I129" s="398">
        <v>3</v>
      </c>
      <c r="J129" s="743"/>
      <c r="K129" s="70">
        <v>3</v>
      </c>
      <c r="L129" s="740"/>
      <c r="M129" s="393"/>
      <c r="N129" s="679"/>
      <c r="O129" s="393"/>
      <c r="P129" s="679"/>
      <c r="Q129" s="37"/>
      <c r="R129" s="37">
        <v>100</v>
      </c>
      <c r="S129" s="38"/>
      <c r="T129" s="475"/>
      <c r="U129" s="39"/>
      <c r="V129" s="39"/>
      <c r="W129" s="39"/>
      <c r="X129" s="39"/>
      <c r="Y129" s="39"/>
      <c r="Z129" s="39"/>
      <c r="AA129" s="39"/>
      <c r="AB129" s="39"/>
      <c r="AC129" s="39"/>
      <c r="AD129" s="40"/>
      <c r="AE129" s="40"/>
      <c r="AF129" s="40"/>
      <c r="AG129" s="41">
        <v>44421</v>
      </c>
      <c r="AH129" s="454">
        <v>66135</v>
      </c>
      <c r="AI129" s="42">
        <v>99.7</v>
      </c>
      <c r="AJ129" s="42">
        <f t="shared" si="290"/>
        <v>-0.29999999999999716</v>
      </c>
      <c r="AK129" s="42">
        <f t="shared" ref="AK129:AK132" si="300">(AJ129*100)/R129</f>
        <v>-0.29999999999999716</v>
      </c>
      <c r="AL129" s="42">
        <v>0.57999999999999996</v>
      </c>
      <c r="AM129" s="42">
        <f t="shared" si="291"/>
        <v>0.57999999999999996</v>
      </c>
      <c r="AN129" s="42"/>
      <c r="AO129" s="42"/>
      <c r="AP129" s="42">
        <v>1.9</v>
      </c>
      <c r="AQ129" s="42">
        <f t="shared" si="296"/>
        <v>1.9</v>
      </c>
      <c r="AR129" s="40">
        <f t="shared" si="59"/>
        <v>1.6000000000000028</v>
      </c>
      <c r="AS129" s="40">
        <f t="shared" si="299"/>
        <v>-2.1999999999999971</v>
      </c>
      <c r="AT129" s="40">
        <f t="shared" si="239"/>
        <v>1.6000000000000028</v>
      </c>
      <c r="AU129" s="43">
        <f t="shared" ref="AU129:AU132" si="301">YEARFRAC(S129,AG129)</f>
        <v>121.61944444444444</v>
      </c>
      <c r="AV129" s="44">
        <f t="shared" ref="AV129:AV132" si="302">ABS(AT129-AF129)</f>
        <v>1.6000000000000028</v>
      </c>
      <c r="AW129" s="45">
        <f t="shared" ref="AW129:AW132" si="303">(AV129/AU129)</f>
        <v>1.3155791060457278E-2</v>
      </c>
      <c r="AX129" s="46">
        <f t="shared" ref="AX129:AX132" si="304">(I129/AW129)</f>
        <v>228.03645833333294</v>
      </c>
      <c r="AY129" s="72" t="str">
        <f t="shared" ref="AY129:AY132" si="305">IF(AX129&lt;=1,"UN AÑO",IF(AX129&gt;=1,"DOS AÑOS"))</f>
        <v>DOS AÑOS</v>
      </c>
      <c r="AZ129" s="737"/>
      <c r="BA129" s="440"/>
      <c r="BB129" s="478"/>
      <c r="BC129" s="625"/>
      <c r="BD129" s="481"/>
    </row>
    <row r="130" spans="2:56" ht="15" customHeight="1" x14ac:dyDescent="0.25">
      <c r="B130" s="728"/>
      <c r="C130" s="450"/>
      <c r="D130" s="731"/>
      <c r="E130" s="731"/>
      <c r="F130" s="734"/>
      <c r="G130" s="466"/>
      <c r="H130" s="515"/>
      <c r="I130" s="398">
        <v>3</v>
      </c>
      <c r="J130" s="743"/>
      <c r="K130" s="70">
        <v>3</v>
      </c>
      <c r="L130" s="740"/>
      <c r="M130" s="393"/>
      <c r="N130" s="679"/>
      <c r="O130" s="393"/>
      <c r="P130" s="679"/>
      <c r="Q130" s="37">
        <v>199.5</v>
      </c>
      <c r="R130" s="37">
        <v>300</v>
      </c>
      <c r="S130" s="38">
        <v>44063</v>
      </c>
      <c r="T130" s="475"/>
      <c r="U130" s="39">
        <v>201</v>
      </c>
      <c r="V130" s="39">
        <f>U130-Q130</f>
        <v>1.5</v>
      </c>
      <c r="W130" s="39">
        <f t="shared" si="297"/>
        <v>0.75187969924812026</v>
      </c>
      <c r="X130" s="39">
        <v>0.57999999999999996</v>
      </c>
      <c r="Y130" s="39">
        <f>X130*100/U130</f>
        <v>0.28855721393034822</v>
      </c>
      <c r="Z130" s="39"/>
      <c r="AA130" s="39"/>
      <c r="AB130" s="39"/>
      <c r="AC130" s="39">
        <v>1.1000000000000001</v>
      </c>
      <c r="AD130" s="40">
        <f t="shared" ref="AD130" si="306">(W130+AC130)</f>
        <v>1.8518796992481203</v>
      </c>
      <c r="AE130" s="40">
        <f t="shared" ref="AE130" si="307">(W130-AC130)</f>
        <v>-0.34812030075187983</v>
      </c>
      <c r="AF130" s="40">
        <f t="shared" ref="AF130" si="308">MAX(AD130:AE130)</f>
        <v>1.8518796992481203</v>
      </c>
      <c r="AG130" s="41">
        <v>44422</v>
      </c>
      <c r="AH130" s="455"/>
      <c r="AI130" s="42">
        <v>299</v>
      </c>
      <c r="AJ130" s="42">
        <f t="shared" si="290"/>
        <v>-1</v>
      </c>
      <c r="AK130" s="42">
        <f t="shared" si="300"/>
        <v>-0.33333333333333331</v>
      </c>
      <c r="AL130" s="42">
        <v>1</v>
      </c>
      <c r="AM130" s="42">
        <f t="shared" si="291"/>
        <v>0.33333333333333331</v>
      </c>
      <c r="AN130" s="42"/>
      <c r="AO130" s="42"/>
      <c r="AP130" s="42">
        <v>4.0999999999999996</v>
      </c>
      <c r="AQ130" s="42">
        <f t="shared" si="296"/>
        <v>1.3666666666666665</v>
      </c>
      <c r="AR130" s="40">
        <f t="shared" si="59"/>
        <v>0.36666666666666647</v>
      </c>
      <c r="AS130" s="40">
        <f t="shared" si="299"/>
        <v>-1.6999999999999997</v>
      </c>
      <c r="AT130" s="40">
        <f t="shared" si="239"/>
        <v>0.36666666666666647</v>
      </c>
      <c r="AU130" s="43">
        <f t="shared" si="301"/>
        <v>0.98333333333333328</v>
      </c>
      <c r="AV130" s="44">
        <f t="shared" si="302"/>
        <v>1.4852130325814539</v>
      </c>
      <c r="AW130" s="45">
        <f t="shared" si="303"/>
        <v>1.5103861348285972</v>
      </c>
      <c r="AX130" s="46">
        <f t="shared" si="304"/>
        <v>1.9862470469119133</v>
      </c>
      <c r="AY130" s="72" t="str">
        <f t="shared" si="305"/>
        <v>DOS AÑOS</v>
      </c>
      <c r="AZ130" s="737"/>
      <c r="BA130" s="440"/>
      <c r="BB130" s="478"/>
      <c r="BC130" s="625"/>
      <c r="BD130" s="481"/>
    </row>
    <row r="131" spans="2:56" ht="15" customHeight="1" x14ac:dyDescent="0.25">
      <c r="B131" s="728"/>
      <c r="C131" s="450"/>
      <c r="D131" s="731"/>
      <c r="E131" s="731"/>
      <c r="F131" s="734"/>
      <c r="G131" s="466"/>
      <c r="H131" s="515"/>
      <c r="I131" s="398">
        <v>3</v>
      </c>
      <c r="J131" s="743"/>
      <c r="K131" s="70">
        <v>3</v>
      </c>
      <c r="L131" s="740"/>
      <c r="M131" s="393"/>
      <c r="N131" s="679"/>
      <c r="O131" s="393"/>
      <c r="P131" s="679"/>
      <c r="Q131" s="37"/>
      <c r="R131" s="37">
        <v>500</v>
      </c>
      <c r="S131" s="38"/>
      <c r="T131" s="475"/>
      <c r="U131" s="39"/>
      <c r="V131" s="39"/>
      <c r="W131" s="39"/>
      <c r="X131" s="39"/>
      <c r="Y131" s="39"/>
      <c r="Z131" s="39"/>
      <c r="AA131" s="39"/>
      <c r="AB131" s="39"/>
      <c r="AC131" s="39"/>
      <c r="AD131" s="40"/>
      <c r="AE131" s="40"/>
      <c r="AF131" s="40"/>
      <c r="AG131" s="41">
        <v>44423</v>
      </c>
      <c r="AH131" s="455"/>
      <c r="AI131" s="42">
        <v>499.3</v>
      </c>
      <c r="AJ131" s="42">
        <f t="shared" si="290"/>
        <v>-0.69999999999998863</v>
      </c>
      <c r="AK131" s="42">
        <f t="shared" si="300"/>
        <v>-0.13999999999999774</v>
      </c>
      <c r="AL131" s="42">
        <v>0.57999999999999996</v>
      </c>
      <c r="AM131" s="42">
        <f t="shared" si="291"/>
        <v>0.11599999999999999</v>
      </c>
      <c r="AN131" s="42"/>
      <c r="AO131" s="42"/>
      <c r="AP131" s="42">
        <v>6.9</v>
      </c>
      <c r="AQ131" s="42">
        <f t="shared" si="296"/>
        <v>1.38</v>
      </c>
      <c r="AR131" s="40">
        <f t="shared" si="59"/>
        <v>0.68000000000001126</v>
      </c>
      <c r="AS131" s="40">
        <f t="shared" si="299"/>
        <v>-1.5199999999999976</v>
      </c>
      <c r="AT131" s="40">
        <f t="shared" si="239"/>
        <v>0.68000000000001126</v>
      </c>
      <c r="AU131" s="43">
        <f t="shared" si="301"/>
        <v>121.625</v>
      </c>
      <c r="AV131" s="44">
        <f t="shared" si="302"/>
        <v>0.68000000000001126</v>
      </c>
      <c r="AW131" s="45">
        <f t="shared" si="303"/>
        <v>5.5909558067832373E-3</v>
      </c>
      <c r="AX131" s="46">
        <f t="shared" si="304"/>
        <v>536.58088235293235</v>
      </c>
      <c r="AY131" s="72" t="str">
        <f t="shared" si="305"/>
        <v>DOS AÑOS</v>
      </c>
      <c r="AZ131" s="737"/>
      <c r="BA131" s="440"/>
      <c r="BB131" s="478"/>
      <c r="BC131" s="625"/>
      <c r="BD131" s="481"/>
    </row>
    <row r="132" spans="2:56" ht="15" customHeight="1" x14ac:dyDescent="0.25">
      <c r="B132" s="728"/>
      <c r="C132" s="450"/>
      <c r="D132" s="731"/>
      <c r="E132" s="731"/>
      <c r="F132" s="734"/>
      <c r="G132" s="466"/>
      <c r="H132" s="515"/>
      <c r="I132" s="398">
        <v>3</v>
      </c>
      <c r="J132" s="743"/>
      <c r="K132" s="70">
        <v>3</v>
      </c>
      <c r="L132" s="740"/>
      <c r="M132" s="393"/>
      <c r="N132" s="679"/>
      <c r="O132" s="393"/>
      <c r="P132" s="679"/>
      <c r="Q132" s="37">
        <v>749</v>
      </c>
      <c r="R132" s="37">
        <v>1000</v>
      </c>
      <c r="S132" s="38">
        <v>44063</v>
      </c>
      <c r="T132" s="475"/>
      <c r="U132" s="39">
        <v>751</v>
      </c>
      <c r="V132" s="39">
        <f t="shared" ref="V132:V136" si="309">U132-Q132</f>
        <v>2</v>
      </c>
      <c r="W132" s="39">
        <f t="shared" si="297"/>
        <v>0.26702269692923897</v>
      </c>
      <c r="X132" s="39">
        <v>1.1499999999999999</v>
      </c>
      <c r="Y132" s="39">
        <f t="shared" ref="Y132:Y137" si="310">X132*100/U132</f>
        <v>0.15312916111850863</v>
      </c>
      <c r="Z132" s="39"/>
      <c r="AA132" s="39"/>
      <c r="AB132" s="39"/>
      <c r="AC132" s="39">
        <v>2.5</v>
      </c>
      <c r="AD132" s="40">
        <f t="shared" ref="AD132:AD136" si="311">(W132+AC132)</f>
        <v>2.7670226969292391</v>
      </c>
      <c r="AE132" s="40">
        <f t="shared" ref="AE132:AE136" si="312">(W132-AC132)</f>
        <v>-2.2329773030707609</v>
      </c>
      <c r="AF132" s="40">
        <f t="shared" ref="AF132:AF136" si="313">MAX(AD132:AE132)</f>
        <v>2.7670226969292391</v>
      </c>
      <c r="AG132" s="41">
        <v>44424</v>
      </c>
      <c r="AH132" s="455"/>
      <c r="AI132" s="42">
        <v>1001</v>
      </c>
      <c r="AJ132" s="42">
        <f t="shared" si="290"/>
        <v>1</v>
      </c>
      <c r="AK132" s="42">
        <f t="shared" si="300"/>
        <v>0.1</v>
      </c>
      <c r="AL132" s="42">
        <v>1</v>
      </c>
      <c r="AM132" s="42">
        <f t="shared" si="291"/>
        <v>0.1</v>
      </c>
      <c r="AN132" s="42"/>
      <c r="AO132" s="42"/>
      <c r="AP132" s="42">
        <v>13</v>
      </c>
      <c r="AQ132" s="42">
        <f t="shared" si="296"/>
        <v>1.3</v>
      </c>
      <c r="AR132" s="40">
        <f t="shared" si="59"/>
        <v>2.2999999999999998</v>
      </c>
      <c r="AS132" s="40">
        <f t="shared" si="299"/>
        <v>-1.2</v>
      </c>
      <c r="AT132" s="40">
        <f t="shared" si="239"/>
        <v>2.2999999999999998</v>
      </c>
      <c r="AU132" s="43">
        <f t="shared" si="301"/>
        <v>0.98888888888888893</v>
      </c>
      <c r="AV132" s="44">
        <f t="shared" si="302"/>
        <v>0.46702269692923926</v>
      </c>
      <c r="AW132" s="45">
        <f t="shared" si="303"/>
        <v>0.47227014296215203</v>
      </c>
      <c r="AX132" s="46">
        <f t="shared" si="304"/>
        <v>6.352296550409755</v>
      </c>
      <c r="AY132" s="72" t="str">
        <f t="shared" si="305"/>
        <v>DOS AÑOS</v>
      </c>
      <c r="AZ132" s="737"/>
      <c r="BA132" s="440"/>
      <c r="BB132" s="478"/>
      <c r="BC132" s="625"/>
      <c r="BD132" s="481"/>
    </row>
    <row r="133" spans="2:56" ht="15" customHeight="1" x14ac:dyDescent="0.25">
      <c r="B133" s="728"/>
      <c r="C133" s="450"/>
      <c r="D133" s="731"/>
      <c r="E133" s="731"/>
      <c r="F133" s="734"/>
      <c r="G133" s="466"/>
      <c r="H133" s="515"/>
      <c r="I133" s="69">
        <v>3</v>
      </c>
      <c r="J133" s="743"/>
      <c r="K133" s="70">
        <v>3</v>
      </c>
      <c r="L133" s="740"/>
      <c r="M133" s="71"/>
      <c r="N133" s="679"/>
      <c r="O133" s="71"/>
      <c r="P133" s="679"/>
      <c r="Q133" s="37">
        <v>1200</v>
      </c>
      <c r="R133" s="37">
        <v>1200</v>
      </c>
      <c r="S133" s="38">
        <v>44063</v>
      </c>
      <c r="T133" s="475"/>
      <c r="U133" s="39">
        <v>1202</v>
      </c>
      <c r="V133" s="39">
        <f t="shared" si="309"/>
        <v>2</v>
      </c>
      <c r="W133" s="39">
        <f t="shared" si="297"/>
        <v>0.16666666666666666</v>
      </c>
      <c r="X133" s="39">
        <v>0.57999999999999996</v>
      </c>
      <c r="Y133" s="39">
        <f t="shared" si="310"/>
        <v>4.8252911813643919E-2</v>
      </c>
      <c r="Z133" s="39"/>
      <c r="AA133" s="39"/>
      <c r="AB133" s="39"/>
      <c r="AC133" s="39">
        <v>2.5</v>
      </c>
      <c r="AD133" s="40">
        <f t="shared" si="311"/>
        <v>2.6666666666666665</v>
      </c>
      <c r="AE133" s="40">
        <f t="shared" si="312"/>
        <v>-2.3333333333333335</v>
      </c>
      <c r="AF133" s="40">
        <f t="shared" si="313"/>
        <v>2.6666666666666665</v>
      </c>
      <c r="AG133" s="41">
        <v>44420</v>
      </c>
      <c r="AH133" s="455"/>
      <c r="AI133" s="42">
        <v>1200</v>
      </c>
      <c r="AJ133" s="42">
        <f t="shared" ref="AJ133:AJ137" si="314">AI133-R133</f>
        <v>0</v>
      </c>
      <c r="AK133" s="42">
        <f>(AJ133*100)/R133</f>
        <v>0</v>
      </c>
      <c r="AL133" s="42">
        <v>1</v>
      </c>
      <c r="AM133" s="42">
        <f t="shared" ref="AM133:AM137" si="315">AL133*100/R133</f>
        <v>8.3333333333333329E-2</v>
      </c>
      <c r="AN133" s="42"/>
      <c r="AO133" s="42"/>
      <c r="AP133" s="42">
        <v>15</v>
      </c>
      <c r="AQ133" s="42">
        <f t="shared" si="296"/>
        <v>1.25</v>
      </c>
      <c r="AR133" s="40">
        <f>(AK133+AQ133)</f>
        <v>1.25</v>
      </c>
      <c r="AS133" s="40">
        <f>(AK133-AQ133)</f>
        <v>-1.25</v>
      </c>
      <c r="AT133" s="40">
        <f t="shared" ref="AT133:AT134" si="316">MAX(AR133:AS133)</f>
        <v>1.25</v>
      </c>
      <c r="AU133" s="43">
        <f>YEARFRAC(S133,AG133)</f>
        <v>0.97777777777777775</v>
      </c>
      <c r="AV133" s="44">
        <f t="shared" ref="AV133:AV134" si="317">ABS(AT133-AF133)</f>
        <v>1.4166666666666665</v>
      </c>
      <c r="AW133" s="45">
        <f t="shared" ref="AW133:AW134" si="318">(AV133/AU133)</f>
        <v>1.4488636363636362</v>
      </c>
      <c r="AX133" s="46">
        <f t="shared" ref="AX133:AX134" si="319">(I133/AW133)</f>
        <v>2.0705882352941178</v>
      </c>
      <c r="AY133" s="72" t="str">
        <f t="shared" ref="AY133:AY134" si="320">IF(AX133&lt;=1,"UN AÑO",IF(AX133&gt;=1,"DOS AÑOS"))</f>
        <v>DOS AÑOS</v>
      </c>
      <c r="AZ133" s="737"/>
      <c r="BA133" s="440"/>
      <c r="BB133" s="478"/>
      <c r="BC133" s="625"/>
      <c r="BD133" s="481"/>
    </row>
    <row r="134" spans="2:56" ht="15" customHeight="1" x14ac:dyDescent="0.25">
      <c r="B134" s="728"/>
      <c r="C134" s="450"/>
      <c r="D134" s="731"/>
      <c r="E134" s="731"/>
      <c r="F134" s="734"/>
      <c r="G134" s="466"/>
      <c r="H134" s="515"/>
      <c r="I134" s="69">
        <v>3</v>
      </c>
      <c r="J134" s="743"/>
      <c r="K134" s="70">
        <v>3</v>
      </c>
      <c r="L134" s="740"/>
      <c r="M134" s="71"/>
      <c r="N134" s="679"/>
      <c r="O134" s="71"/>
      <c r="P134" s="679"/>
      <c r="Q134" s="37">
        <v>2400</v>
      </c>
      <c r="R134" s="37">
        <v>2400</v>
      </c>
      <c r="S134" s="38">
        <v>44063</v>
      </c>
      <c r="T134" s="475"/>
      <c r="U134" s="39">
        <v>2402</v>
      </c>
      <c r="V134" s="39">
        <f t="shared" si="309"/>
        <v>2</v>
      </c>
      <c r="W134" s="39">
        <f t="shared" si="297"/>
        <v>8.3333333333333329E-2</v>
      </c>
      <c r="X134" s="39">
        <v>0.57999999999999996</v>
      </c>
      <c r="Y134" s="39">
        <f t="shared" si="310"/>
        <v>2.4146544546211488E-2</v>
      </c>
      <c r="Z134" s="39"/>
      <c r="AA134" s="39"/>
      <c r="AB134" s="39"/>
      <c r="AC134" s="39">
        <v>2.2999999999999998</v>
      </c>
      <c r="AD134" s="40">
        <f t="shared" si="311"/>
        <v>2.3833333333333333</v>
      </c>
      <c r="AE134" s="40">
        <f t="shared" si="312"/>
        <v>-2.2166666666666663</v>
      </c>
      <c r="AF134" s="40">
        <f t="shared" si="313"/>
        <v>2.3833333333333333</v>
      </c>
      <c r="AG134" s="41">
        <v>44420</v>
      </c>
      <c r="AH134" s="455"/>
      <c r="AI134" s="42">
        <v>2399</v>
      </c>
      <c r="AJ134" s="42">
        <f t="shared" si="314"/>
        <v>-1</v>
      </c>
      <c r="AK134" s="42">
        <f t="shared" si="298"/>
        <v>-4.1666666666666664E-2</v>
      </c>
      <c r="AL134" s="42">
        <v>0.57999999999999996</v>
      </c>
      <c r="AM134" s="42">
        <f t="shared" si="315"/>
        <v>2.4166666666666663E-2</v>
      </c>
      <c r="AN134" s="42"/>
      <c r="AO134" s="42"/>
      <c r="AP134" s="42">
        <v>29</v>
      </c>
      <c r="AQ134" s="42">
        <f t="shared" si="296"/>
        <v>1.2083333333333333</v>
      </c>
      <c r="AR134" s="40">
        <f t="shared" ref="AR134:AR138" si="321">(AK134+AQ134)</f>
        <v>1.1666666666666665</v>
      </c>
      <c r="AS134" s="40">
        <f t="shared" ref="AS134:AS146" si="322">(AK134-AQ134)</f>
        <v>-1.25</v>
      </c>
      <c r="AT134" s="40">
        <f t="shared" si="316"/>
        <v>1.1666666666666665</v>
      </c>
      <c r="AU134" s="43">
        <f t="shared" ref="AU134" si="323">YEARFRAC(S134,AG134)</f>
        <v>0.97777777777777775</v>
      </c>
      <c r="AV134" s="44">
        <f t="shared" si="317"/>
        <v>1.2166666666666668</v>
      </c>
      <c r="AW134" s="45">
        <f t="shared" si="318"/>
        <v>1.2443181818181819</v>
      </c>
      <c r="AX134" s="46">
        <f t="shared" si="319"/>
        <v>2.4109589041095889</v>
      </c>
      <c r="AY134" s="72" t="str">
        <f t="shared" si="320"/>
        <v>DOS AÑOS</v>
      </c>
      <c r="AZ134" s="737"/>
      <c r="BA134" s="440"/>
      <c r="BB134" s="478"/>
      <c r="BC134" s="625"/>
      <c r="BD134" s="481"/>
    </row>
    <row r="135" spans="2:56" ht="15.75" customHeight="1" x14ac:dyDescent="0.25">
      <c r="B135" s="728"/>
      <c r="C135" s="450"/>
      <c r="D135" s="731"/>
      <c r="E135" s="731"/>
      <c r="F135" s="734"/>
      <c r="G135" s="466"/>
      <c r="H135" s="515"/>
      <c r="I135" s="69">
        <v>3</v>
      </c>
      <c r="J135" s="743"/>
      <c r="K135" s="70">
        <v>3</v>
      </c>
      <c r="L135" s="740"/>
      <c r="M135" s="71" t="s">
        <v>69</v>
      </c>
      <c r="N135" s="679"/>
      <c r="O135" s="71" t="s">
        <v>69</v>
      </c>
      <c r="P135" s="679"/>
      <c r="Q135" s="37">
        <v>3601</v>
      </c>
      <c r="R135" s="37">
        <v>3600</v>
      </c>
      <c r="S135" s="38">
        <v>44063</v>
      </c>
      <c r="T135" s="475"/>
      <c r="U135" s="39">
        <v>3603</v>
      </c>
      <c r="V135" s="39">
        <f t="shared" si="309"/>
        <v>2</v>
      </c>
      <c r="W135" s="39">
        <f t="shared" si="297"/>
        <v>5.5540127742293804E-2</v>
      </c>
      <c r="X135" s="39">
        <v>0</v>
      </c>
      <c r="Y135" s="39">
        <f t="shared" si="310"/>
        <v>0</v>
      </c>
      <c r="Z135" s="39"/>
      <c r="AA135" s="39" t="s">
        <v>69</v>
      </c>
      <c r="AB135" s="39" t="s">
        <v>69</v>
      </c>
      <c r="AC135" s="39">
        <v>1.8</v>
      </c>
      <c r="AD135" s="40">
        <f t="shared" si="311"/>
        <v>1.8555401277422938</v>
      </c>
      <c r="AE135" s="40">
        <f t="shared" si="312"/>
        <v>-1.7444598722577063</v>
      </c>
      <c r="AF135" s="40">
        <f t="shared" si="313"/>
        <v>1.8555401277422938</v>
      </c>
      <c r="AG135" s="41">
        <v>44420</v>
      </c>
      <c r="AH135" s="455"/>
      <c r="AI135" s="42">
        <v>3600</v>
      </c>
      <c r="AJ135" s="42">
        <f t="shared" si="314"/>
        <v>0</v>
      </c>
      <c r="AK135" s="42">
        <f t="shared" ref="AK135" si="324">(AJ135*100)/R135</f>
        <v>0</v>
      </c>
      <c r="AL135" s="42">
        <v>1.1499999999999999</v>
      </c>
      <c r="AM135" s="42">
        <f t="shared" si="315"/>
        <v>3.1944444444444442E-2</v>
      </c>
      <c r="AN135" s="42" t="s">
        <v>69</v>
      </c>
      <c r="AO135" s="42" t="s">
        <v>69</v>
      </c>
      <c r="AP135" s="42">
        <v>44</v>
      </c>
      <c r="AQ135" s="42">
        <f t="shared" si="296"/>
        <v>1.2222222222222223</v>
      </c>
      <c r="AR135" s="40">
        <f t="shared" si="321"/>
        <v>1.2222222222222223</v>
      </c>
      <c r="AS135" s="40">
        <f t="shared" si="322"/>
        <v>-1.2222222222222223</v>
      </c>
      <c r="AT135" s="40">
        <f t="shared" si="239"/>
        <v>1.2222222222222223</v>
      </c>
      <c r="AU135" s="43">
        <f>YEARFRAC(S135,AG135)</f>
        <v>0.97777777777777775</v>
      </c>
      <c r="AV135" s="44">
        <f t="shared" ref="AV135:AV138" si="325">ABS(AT135-AF135)</f>
        <v>0.6333179055200715</v>
      </c>
      <c r="AW135" s="45">
        <f t="shared" ref="AW135:AW138" si="326">(AV135/AU135)</f>
        <v>0.64771149428189134</v>
      </c>
      <c r="AX135" s="46">
        <f t="shared" ref="AX135:AX138" si="327">(I135/AW135)</f>
        <v>4.6316917740143824</v>
      </c>
      <c r="AY135" s="72" t="str">
        <f t="shared" ref="AY135:AY138" si="328">IF(AX135&lt;=1,"UN AÑO",IF(AX135&gt;=1,"DOS AÑOS"))</f>
        <v>DOS AÑOS</v>
      </c>
      <c r="AZ135" s="737"/>
      <c r="BA135" s="440"/>
      <c r="BB135" s="478"/>
      <c r="BC135" s="633"/>
      <c r="BD135" s="481"/>
    </row>
    <row r="136" spans="2:56" ht="15.75" customHeight="1" x14ac:dyDescent="0.25">
      <c r="B136" s="728"/>
      <c r="C136" s="450"/>
      <c r="D136" s="731"/>
      <c r="E136" s="731"/>
      <c r="F136" s="734"/>
      <c r="G136" s="466"/>
      <c r="H136" s="515"/>
      <c r="I136" s="69">
        <v>3</v>
      </c>
      <c r="J136" s="743"/>
      <c r="K136" s="70">
        <v>3</v>
      </c>
      <c r="L136" s="740"/>
      <c r="M136" s="71"/>
      <c r="N136" s="679"/>
      <c r="O136" s="71"/>
      <c r="P136" s="679"/>
      <c r="Q136" s="37">
        <v>4815</v>
      </c>
      <c r="R136" s="37">
        <v>4800</v>
      </c>
      <c r="S136" s="38">
        <v>44063</v>
      </c>
      <c r="T136" s="475"/>
      <c r="U136" s="39">
        <v>4807.3999999999996</v>
      </c>
      <c r="V136" s="39">
        <f t="shared" si="309"/>
        <v>-7.6000000000003638</v>
      </c>
      <c r="W136" s="39">
        <f t="shared" si="297"/>
        <v>-0.15784008307373548</v>
      </c>
      <c r="X136" s="39">
        <v>1</v>
      </c>
      <c r="Y136" s="39">
        <f t="shared" si="310"/>
        <v>2.080126471689479E-2</v>
      </c>
      <c r="Z136" s="39"/>
      <c r="AA136" s="39"/>
      <c r="AB136" s="39" t="s">
        <v>69</v>
      </c>
      <c r="AC136" s="39">
        <v>2.2999999999999998</v>
      </c>
      <c r="AD136" s="40">
        <f t="shared" si="311"/>
        <v>2.1421599169262642</v>
      </c>
      <c r="AE136" s="40">
        <f t="shared" si="312"/>
        <v>-2.4578400830737355</v>
      </c>
      <c r="AF136" s="40">
        <f t="shared" si="313"/>
        <v>2.1421599169262642</v>
      </c>
      <c r="AG136" s="41">
        <v>44420</v>
      </c>
      <c r="AH136" s="455"/>
      <c r="AI136" s="42">
        <v>4799</v>
      </c>
      <c r="AJ136" s="42">
        <f t="shared" si="314"/>
        <v>-1</v>
      </c>
      <c r="AK136" s="42">
        <f>(AJ136*100)/R136</f>
        <v>-2.0833333333333332E-2</v>
      </c>
      <c r="AL136" s="42">
        <v>0.57999999999999996</v>
      </c>
      <c r="AM136" s="42">
        <f t="shared" si="315"/>
        <v>1.2083333333333331E-2</v>
      </c>
      <c r="AN136" s="42"/>
      <c r="AO136" s="42"/>
      <c r="AP136" s="42">
        <v>66</v>
      </c>
      <c r="AQ136" s="42">
        <f t="shared" si="296"/>
        <v>1.375</v>
      </c>
      <c r="AR136" s="40">
        <f t="shared" si="321"/>
        <v>1.3541666666666667</v>
      </c>
      <c r="AS136" s="40">
        <f t="shared" si="322"/>
        <v>-1.3958333333333333</v>
      </c>
      <c r="AT136" s="40">
        <f t="shared" ref="AT136:AT149" si="329">MAX(AR136:AS136)</f>
        <v>1.3541666666666667</v>
      </c>
      <c r="AU136" s="43">
        <f t="shared" ref="AU136:AU138" si="330">YEARFRAC(S136,AG136)</f>
        <v>0.97777777777777775</v>
      </c>
      <c r="AV136" s="44">
        <f t="shared" si="325"/>
        <v>0.78799325025959743</v>
      </c>
      <c r="AW136" s="45">
        <f t="shared" si="326"/>
        <v>0.80590218776549738</v>
      </c>
      <c r="AX136" s="46">
        <f t="shared" si="327"/>
        <v>3.7225361160986754</v>
      </c>
      <c r="AY136" s="72" t="str">
        <f t="shared" si="328"/>
        <v>DOS AÑOS</v>
      </c>
      <c r="AZ136" s="737"/>
      <c r="BA136" s="126"/>
      <c r="BB136" s="132"/>
      <c r="BC136" s="74"/>
      <c r="BD136" s="122"/>
    </row>
    <row r="137" spans="2:56" ht="15.75" customHeight="1" thickBot="1" x14ac:dyDescent="0.3">
      <c r="B137" s="728"/>
      <c r="C137" s="450"/>
      <c r="D137" s="731"/>
      <c r="E137" s="731"/>
      <c r="F137" s="734"/>
      <c r="G137" s="466"/>
      <c r="H137" s="515"/>
      <c r="I137" s="69">
        <v>3</v>
      </c>
      <c r="J137" s="743"/>
      <c r="K137" s="70">
        <v>3</v>
      </c>
      <c r="L137" s="740"/>
      <c r="M137" s="71"/>
      <c r="N137" s="679"/>
      <c r="O137" s="71"/>
      <c r="P137" s="679"/>
      <c r="Q137" s="37">
        <v>6060</v>
      </c>
      <c r="R137" s="37">
        <v>6000</v>
      </c>
      <c r="S137" s="38">
        <v>44063</v>
      </c>
      <c r="T137" s="475"/>
      <c r="U137" s="39">
        <v>5999</v>
      </c>
      <c r="V137" s="39">
        <f t="shared" ref="V137" si="331">U137-Q137</f>
        <v>-61</v>
      </c>
      <c r="W137" s="39">
        <f>V137*100/Q137</f>
        <v>-1.0066006600660067</v>
      </c>
      <c r="X137" s="39">
        <v>1.1499999999999999</v>
      </c>
      <c r="Y137" s="39">
        <f t="shared" si="310"/>
        <v>1.9169861643607265E-2</v>
      </c>
      <c r="Z137" s="39"/>
      <c r="AA137" s="39"/>
      <c r="AB137" s="39"/>
      <c r="AC137" s="39">
        <v>1</v>
      </c>
      <c r="AD137" s="40">
        <f t="shared" ref="AD137" si="332">(W137+AC137)</f>
        <v>-6.6006600660066805E-3</v>
      </c>
      <c r="AE137" s="40">
        <f t="shared" ref="AE137:AE138" si="333">(W137-AC137)</f>
        <v>-2.0066006600660069</v>
      </c>
      <c r="AF137" s="40">
        <f t="shared" ref="AF137:AF138" si="334">MAX(AD137:AE137)</f>
        <v>-6.6006600660066805E-3</v>
      </c>
      <c r="AG137" s="41">
        <v>44420</v>
      </c>
      <c r="AH137" s="553"/>
      <c r="AI137" s="42">
        <v>6002</v>
      </c>
      <c r="AJ137" s="42">
        <f t="shared" si="314"/>
        <v>2</v>
      </c>
      <c r="AK137" s="42">
        <f t="shared" ref="AK137" si="335">(AJ137*100)/R137</f>
        <v>3.3333333333333333E-2</v>
      </c>
      <c r="AL137" s="42">
        <v>0.57999999999999996</v>
      </c>
      <c r="AM137" s="42">
        <f t="shared" si="315"/>
        <v>9.6666666666666654E-3</v>
      </c>
      <c r="AN137" s="42"/>
      <c r="AO137" s="42"/>
      <c r="AP137" s="42">
        <v>82</v>
      </c>
      <c r="AQ137" s="42">
        <f t="shared" si="296"/>
        <v>1.3666666666666667</v>
      </c>
      <c r="AR137" s="40">
        <f t="shared" si="321"/>
        <v>1.4000000000000001</v>
      </c>
      <c r="AS137" s="40">
        <f t="shared" si="322"/>
        <v>-1.3333333333333333</v>
      </c>
      <c r="AT137" s="40">
        <f t="shared" si="329"/>
        <v>1.4000000000000001</v>
      </c>
      <c r="AU137" s="43">
        <f t="shared" si="330"/>
        <v>0.97777777777777775</v>
      </c>
      <c r="AV137" s="44">
        <f t="shared" si="325"/>
        <v>1.4066006600660068</v>
      </c>
      <c r="AW137" s="45">
        <f t="shared" si="326"/>
        <v>1.4385688568856889</v>
      </c>
      <c r="AX137" s="46">
        <f t="shared" si="327"/>
        <v>2.0854059127170337</v>
      </c>
      <c r="AY137" s="72" t="str">
        <f t="shared" si="328"/>
        <v>DOS AÑOS</v>
      </c>
      <c r="AZ137" s="737"/>
      <c r="BA137" s="126"/>
      <c r="BB137" s="132"/>
      <c r="BC137" s="74"/>
      <c r="BD137" s="122"/>
    </row>
    <row r="138" spans="2:56" ht="15.75" customHeight="1" x14ac:dyDescent="0.25">
      <c r="B138" s="728"/>
      <c r="C138" s="450" t="s">
        <v>208</v>
      </c>
      <c r="D138" s="731"/>
      <c r="E138" s="731"/>
      <c r="F138" s="734"/>
      <c r="G138" s="466" t="s">
        <v>105</v>
      </c>
      <c r="H138" s="515" t="s">
        <v>200</v>
      </c>
      <c r="I138" s="398">
        <v>3</v>
      </c>
      <c r="J138" s="743"/>
      <c r="K138" s="70">
        <v>3</v>
      </c>
      <c r="L138" s="740"/>
      <c r="M138" s="393" t="s">
        <v>69</v>
      </c>
      <c r="N138" s="394"/>
      <c r="O138" s="393" t="s">
        <v>69</v>
      </c>
      <c r="P138" s="394"/>
      <c r="Q138" s="37">
        <v>0</v>
      </c>
      <c r="R138" s="37">
        <v>0</v>
      </c>
      <c r="S138" s="38">
        <v>44063</v>
      </c>
      <c r="T138" s="475"/>
      <c r="U138" s="39">
        <v>0</v>
      </c>
      <c r="V138" s="39">
        <f>U138-Q138</f>
        <v>0</v>
      </c>
      <c r="W138" s="39">
        <v>0</v>
      </c>
      <c r="X138" s="39" t="s">
        <v>69</v>
      </c>
      <c r="Y138" s="39">
        <v>0</v>
      </c>
      <c r="Z138" s="39"/>
      <c r="AA138" s="39" t="s">
        <v>69</v>
      </c>
      <c r="AB138" s="39"/>
      <c r="AC138" s="39"/>
      <c r="AD138" s="40">
        <f>(W138+AC138)</f>
        <v>0</v>
      </c>
      <c r="AE138" s="40">
        <f t="shared" si="333"/>
        <v>0</v>
      </c>
      <c r="AF138" s="40">
        <f t="shared" si="334"/>
        <v>0</v>
      </c>
      <c r="AG138" s="41">
        <v>44420</v>
      </c>
      <c r="AH138" s="454">
        <v>66128</v>
      </c>
      <c r="AI138" s="42">
        <v>0</v>
      </c>
      <c r="AJ138" s="42">
        <f>AI138-Q138</f>
        <v>0</v>
      </c>
      <c r="AK138" s="42">
        <v>0</v>
      </c>
      <c r="AL138" s="42">
        <v>0</v>
      </c>
      <c r="AM138" s="42">
        <v>0</v>
      </c>
      <c r="AN138" s="42" t="s">
        <v>69</v>
      </c>
      <c r="AO138" s="42" t="s">
        <v>69</v>
      </c>
      <c r="AP138" s="42">
        <v>0.56999999999999995</v>
      </c>
      <c r="AQ138" s="42">
        <v>0.56999999999999995</v>
      </c>
      <c r="AR138" s="257">
        <f t="shared" si="321"/>
        <v>0.56999999999999995</v>
      </c>
      <c r="AS138" s="257">
        <f t="shared" si="322"/>
        <v>-0.56999999999999995</v>
      </c>
      <c r="AT138" s="40">
        <f t="shared" si="329"/>
        <v>0.56999999999999995</v>
      </c>
      <c r="AU138" s="43">
        <f t="shared" si="330"/>
        <v>0.97777777777777775</v>
      </c>
      <c r="AV138" s="44">
        <f t="shared" si="325"/>
        <v>0.56999999999999995</v>
      </c>
      <c r="AW138" s="45">
        <f t="shared" si="326"/>
        <v>0.58295454545454539</v>
      </c>
      <c r="AX138" s="46">
        <f t="shared" si="327"/>
        <v>5.1461988304093573</v>
      </c>
      <c r="AY138" s="72" t="str">
        <f t="shared" si="328"/>
        <v>DOS AÑOS</v>
      </c>
      <c r="AZ138" s="737"/>
      <c r="BA138" s="395"/>
      <c r="BB138" s="388"/>
      <c r="BC138" s="414"/>
      <c r="BD138" s="390"/>
    </row>
    <row r="139" spans="2:56" ht="15.75" customHeight="1" x14ac:dyDescent="0.25">
      <c r="B139" s="728"/>
      <c r="C139" s="450"/>
      <c r="D139" s="731"/>
      <c r="E139" s="731"/>
      <c r="F139" s="734"/>
      <c r="G139" s="466"/>
      <c r="H139" s="515"/>
      <c r="I139" s="398">
        <v>3</v>
      </c>
      <c r="J139" s="743"/>
      <c r="K139" s="70">
        <v>3</v>
      </c>
      <c r="L139" s="740"/>
      <c r="M139" s="393"/>
      <c r="N139" s="394"/>
      <c r="O139" s="393"/>
      <c r="P139" s="394"/>
      <c r="Q139" s="37" t="s">
        <v>69</v>
      </c>
      <c r="R139" s="37">
        <v>30</v>
      </c>
      <c r="S139" s="38"/>
      <c r="T139" s="475"/>
      <c r="U139" s="39"/>
      <c r="V139" s="39"/>
      <c r="W139" s="39"/>
      <c r="X139" s="39"/>
      <c r="Y139" s="39"/>
      <c r="Z139" s="39"/>
      <c r="AA139" s="39"/>
      <c r="AB139" s="39"/>
      <c r="AC139" s="39"/>
      <c r="AD139" s="40"/>
      <c r="AE139" s="40"/>
      <c r="AF139" s="40"/>
      <c r="AG139" s="41">
        <v>44420</v>
      </c>
      <c r="AH139" s="455"/>
      <c r="AI139" s="42">
        <v>30</v>
      </c>
      <c r="AJ139" s="42">
        <f t="shared" ref="AJ139:AJ146" si="336">AI139-R139</f>
        <v>0</v>
      </c>
      <c r="AK139" s="42">
        <f>(AJ139*100)/R139</f>
        <v>0</v>
      </c>
      <c r="AL139" s="42">
        <v>0</v>
      </c>
      <c r="AM139" s="42">
        <f t="shared" ref="AM139:AM146" si="337">AL139*100/R139</f>
        <v>0</v>
      </c>
      <c r="AN139" s="42"/>
      <c r="AO139" s="42"/>
      <c r="AP139" s="42">
        <v>0.56999999999999995</v>
      </c>
      <c r="AQ139" s="42">
        <f>AP139*100/R139</f>
        <v>1.8999999999999997</v>
      </c>
      <c r="AR139" s="40">
        <f t="shared" ref="AR139:AR146" si="338">(AJ139+AQ139)</f>
        <v>1.8999999999999997</v>
      </c>
      <c r="AS139" s="40">
        <f t="shared" si="322"/>
        <v>-1.8999999999999997</v>
      </c>
      <c r="AT139" s="40">
        <f t="shared" si="329"/>
        <v>1.8999999999999997</v>
      </c>
      <c r="AU139" s="43" t="s">
        <v>69</v>
      </c>
      <c r="AV139" s="44" t="s">
        <v>69</v>
      </c>
      <c r="AW139" s="45" t="s">
        <v>69</v>
      </c>
      <c r="AX139" s="46" t="s">
        <v>69</v>
      </c>
      <c r="AY139" s="72" t="str">
        <f t="shared" ref="AY139:AY142" si="339">IF(AX139&lt;=1,"UN AÑO",IF(AX139&gt;=1,"DOS AÑOS"))</f>
        <v>DOS AÑOS</v>
      </c>
      <c r="AZ139" s="737"/>
      <c r="BA139" s="395"/>
      <c r="BB139" s="388"/>
      <c r="BC139" s="414"/>
      <c r="BD139" s="390"/>
    </row>
    <row r="140" spans="2:56" ht="15.75" customHeight="1" x14ac:dyDescent="0.25">
      <c r="B140" s="728"/>
      <c r="C140" s="450"/>
      <c r="D140" s="731"/>
      <c r="E140" s="731"/>
      <c r="F140" s="734"/>
      <c r="G140" s="466"/>
      <c r="H140" s="515"/>
      <c r="I140" s="398">
        <v>3</v>
      </c>
      <c r="J140" s="743"/>
      <c r="K140" s="70">
        <v>3</v>
      </c>
      <c r="L140" s="740"/>
      <c r="M140" s="393"/>
      <c r="N140" s="394"/>
      <c r="O140" s="393"/>
      <c r="P140" s="394"/>
      <c r="Q140" s="37" t="s">
        <v>69</v>
      </c>
      <c r="R140" s="37">
        <v>40</v>
      </c>
      <c r="S140" s="38"/>
      <c r="T140" s="475"/>
      <c r="U140" s="39"/>
      <c r="V140" s="39"/>
      <c r="W140" s="39"/>
      <c r="X140" s="39"/>
      <c r="Y140" s="39"/>
      <c r="Z140" s="39"/>
      <c r="AA140" s="39"/>
      <c r="AB140" s="39"/>
      <c r="AC140" s="39"/>
      <c r="AD140" s="40"/>
      <c r="AE140" s="40"/>
      <c r="AF140" s="40"/>
      <c r="AG140" s="41">
        <v>44420</v>
      </c>
      <c r="AH140" s="455"/>
      <c r="AI140" s="42">
        <v>40</v>
      </c>
      <c r="AJ140" s="42">
        <f t="shared" si="336"/>
        <v>0</v>
      </c>
      <c r="AK140" s="42">
        <f>(AJ140*100)/R140</f>
        <v>0</v>
      </c>
      <c r="AL140" s="42">
        <v>0</v>
      </c>
      <c r="AM140" s="42">
        <f t="shared" si="337"/>
        <v>0</v>
      </c>
      <c r="AN140" s="42"/>
      <c r="AO140" s="42"/>
      <c r="AP140" s="42">
        <v>0.57999999999999996</v>
      </c>
      <c r="AQ140" s="42">
        <f t="shared" ref="AQ140:AQ151" si="340">AP140*100/R140</f>
        <v>1.4499999999999997</v>
      </c>
      <c r="AR140" s="40">
        <f t="shared" si="338"/>
        <v>1.4499999999999997</v>
      </c>
      <c r="AS140" s="40">
        <f t="shared" si="322"/>
        <v>-1.4499999999999997</v>
      </c>
      <c r="AT140" s="40">
        <f t="shared" si="329"/>
        <v>1.4499999999999997</v>
      </c>
      <c r="AU140" s="43" t="s">
        <v>69</v>
      </c>
      <c r="AV140" s="44" t="s">
        <v>69</v>
      </c>
      <c r="AW140" s="45" t="s">
        <v>69</v>
      </c>
      <c r="AX140" s="46" t="s">
        <v>69</v>
      </c>
      <c r="AY140" s="72" t="str">
        <f t="shared" si="339"/>
        <v>DOS AÑOS</v>
      </c>
      <c r="AZ140" s="737"/>
      <c r="BA140" s="395"/>
      <c r="BB140" s="388"/>
      <c r="BC140" s="414"/>
      <c r="BD140" s="390"/>
    </row>
    <row r="141" spans="2:56" ht="15" customHeight="1" x14ac:dyDescent="0.25">
      <c r="B141" s="728"/>
      <c r="C141" s="450"/>
      <c r="D141" s="731"/>
      <c r="E141" s="731"/>
      <c r="F141" s="734"/>
      <c r="G141" s="466"/>
      <c r="H141" s="515"/>
      <c r="I141" s="398">
        <v>3</v>
      </c>
      <c r="J141" s="743"/>
      <c r="K141" s="70">
        <v>3</v>
      </c>
      <c r="L141" s="740"/>
      <c r="M141" s="393" t="s">
        <v>69</v>
      </c>
      <c r="N141" s="394"/>
      <c r="O141" s="393" t="s">
        <v>69</v>
      </c>
      <c r="P141" s="394"/>
      <c r="Q141" s="37"/>
      <c r="R141" s="37">
        <v>60</v>
      </c>
      <c r="S141" s="38"/>
      <c r="T141" s="475"/>
      <c r="U141" s="39"/>
      <c r="V141" s="39"/>
      <c r="W141" s="39"/>
      <c r="X141" s="39"/>
      <c r="Y141" s="39"/>
      <c r="Z141" s="39"/>
      <c r="AA141" s="39" t="s">
        <v>69</v>
      </c>
      <c r="AB141" s="39"/>
      <c r="AC141" s="39"/>
      <c r="AD141" s="40"/>
      <c r="AE141" s="40"/>
      <c r="AF141" s="40"/>
      <c r="AG141" s="41">
        <v>44420</v>
      </c>
      <c r="AH141" s="455"/>
      <c r="AI141" s="42">
        <v>60</v>
      </c>
      <c r="AJ141" s="42">
        <f t="shared" si="336"/>
        <v>0</v>
      </c>
      <c r="AK141" s="42">
        <f>(AJ141*100)/R141</f>
        <v>0</v>
      </c>
      <c r="AL141" s="42">
        <v>0</v>
      </c>
      <c r="AM141" s="42">
        <f t="shared" si="337"/>
        <v>0</v>
      </c>
      <c r="AN141" s="42" t="s">
        <v>69</v>
      </c>
      <c r="AO141" s="42" t="s">
        <v>69</v>
      </c>
      <c r="AP141" s="42">
        <v>0.59</v>
      </c>
      <c r="AQ141" s="42">
        <f t="shared" si="340"/>
        <v>0.98333333333333328</v>
      </c>
      <c r="AR141" s="40">
        <f t="shared" si="338"/>
        <v>0.98333333333333328</v>
      </c>
      <c r="AS141" s="40">
        <f t="shared" si="322"/>
        <v>-0.98333333333333328</v>
      </c>
      <c r="AT141" s="40">
        <f t="shared" si="329"/>
        <v>0.98333333333333328</v>
      </c>
      <c r="AU141" s="43">
        <f t="shared" ref="AU141:AU142" si="341">YEARFRAC(S141,AG141)</f>
        <v>121.61666666666666</v>
      </c>
      <c r="AV141" s="44">
        <f t="shared" ref="AV141:AV142" si="342">ABS(AT141-AF141)</f>
        <v>0.98333333333333328</v>
      </c>
      <c r="AW141" s="45">
        <f t="shared" ref="AW141:AW142" si="343">(AV141/AU141)</f>
        <v>8.0855145950390565E-3</v>
      </c>
      <c r="AX141" s="46">
        <f t="shared" ref="AX141:AX142" si="344">(I141/AW141)</f>
        <v>371.03389830508479</v>
      </c>
      <c r="AY141" s="72" t="str">
        <f t="shared" si="339"/>
        <v>DOS AÑOS</v>
      </c>
      <c r="AZ141" s="737"/>
      <c r="BA141" s="395"/>
      <c r="BB141" s="388"/>
      <c r="BC141" s="414"/>
      <c r="BD141" s="390"/>
    </row>
    <row r="142" spans="2:56" ht="15" customHeight="1" x14ac:dyDescent="0.25">
      <c r="B142" s="728"/>
      <c r="C142" s="450"/>
      <c r="D142" s="731"/>
      <c r="E142" s="731"/>
      <c r="F142" s="734"/>
      <c r="G142" s="466"/>
      <c r="H142" s="515"/>
      <c r="I142" s="398">
        <v>3</v>
      </c>
      <c r="J142" s="743"/>
      <c r="K142" s="70">
        <v>3</v>
      </c>
      <c r="L142" s="740"/>
      <c r="M142" s="393" t="s">
        <v>69</v>
      </c>
      <c r="N142" s="394"/>
      <c r="O142" s="393" t="s">
        <v>69</v>
      </c>
      <c r="P142" s="394"/>
      <c r="Q142" s="37">
        <v>99.6</v>
      </c>
      <c r="R142" s="37">
        <v>100</v>
      </c>
      <c r="S142" s="38">
        <v>44063</v>
      </c>
      <c r="T142" s="475"/>
      <c r="U142" s="39">
        <v>101</v>
      </c>
      <c r="V142" s="39">
        <f>U142-Q142</f>
        <v>1.4000000000000057</v>
      </c>
      <c r="W142" s="39">
        <f t="shared" ref="W142" si="345">V142*100/Q142</f>
        <v>1.4056224899598451</v>
      </c>
      <c r="X142" s="39">
        <v>0</v>
      </c>
      <c r="Y142" s="39">
        <f>X142*100/U142</f>
        <v>0</v>
      </c>
      <c r="Z142" s="39"/>
      <c r="AA142" s="39" t="s">
        <v>69</v>
      </c>
      <c r="AB142" s="39"/>
      <c r="AC142" s="39">
        <v>1.2</v>
      </c>
      <c r="AD142" s="40">
        <f t="shared" ref="AD142" si="346">(W142+AC142)</f>
        <v>2.605622489959845</v>
      </c>
      <c r="AE142" s="40">
        <f t="shared" ref="AE142" si="347">(W142-AC142)</f>
        <v>0.20562248995984511</v>
      </c>
      <c r="AF142" s="40">
        <f t="shared" ref="AF142" si="348">MAX(AD142:AE142)</f>
        <v>2.605622489959845</v>
      </c>
      <c r="AG142" s="41">
        <v>44420</v>
      </c>
      <c r="AH142" s="456"/>
      <c r="AI142" s="42">
        <v>100</v>
      </c>
      <c r="AJ142" s="42">
        <f t="shared" si="336"/>
        <v>0</v>
      </c>
      <c r="AK142" s="42">
        <f t="shared" ref="AK142" si="349">(AJ142*100)/Q142</f>
        <v>0</v>
      </c>
      <c r="AL142" s="42">
        <v>0</v>
      </c>
      <c r="AM142" s="42">
        <f t="shared" si="337"/>
        <v>0</v>
      </c>
      <c r="AN142" s="42" t="s">
        <v>69</v>
      </c>
      <c r="AO142" s="42" t="s">
        <v>69</v>
      </c>
      <c r="AP142" s="42">
        <v>0.63</v>
      </c>
      <c r="AQ142" s="42">
        <f t="shared" si="340"/>
        <v>0.63</v>
      </c>
      <c r="AR142" s="40">
        <f t="shared" si="338"/>
        <v>0.63</v>
      </c>
      <c r="AS142" s="40">
        <f t="shared" si="322"/>
        <v>-0.63</v>
      </c>
      <c r="AT142" s="40">
        <f t="shared" si="329"/>
        <v>0.63</v>
      </c>
      <c r="AU142" s="43">
        <f t="shared" si="341"/>
        <v>0.97777777777777775</v>
      </c>
      <c r="AV142" s="44">
        <f t="shared" si="342"/>
        <v>1.9756224899598451</v>
      </c>
      <c r="AW142" s="45">
        <f t="shared" si="343"/>
        <v>2.0205230010952961</v>
      </c>
      <c r="AX142" s="46">
        <f t="shared" si="344"/>
        <v>1.4847640924521739</v>
      </c>
      <c r="AY142" s="72" t="str">
        <f t="shared" si="339"/>
        <v>DOS AÑOS</v>
      </c>
      <c r="AZ142" s="737"/>
      <c r="BA142" s="395"/>
      <c r="BB142" s="388"/>
      <c r="BC142" s="414"/>
      <c r="BD142" s="390"/>
    </row>
    <row r="143" spans="2:56" ht="15" customHeight="1" x14ac:dyDescent="0.25">
      <c r="B143" s="728"/>
      <c r="C143" s="450"/>
      <c r="D143" s="731"/>
      <c r="E143" s="731"/>
      <c r="F143" s="734"/>
      <c r="G143" s="466"/>
      <c r="H143" s="515"/>
      <c r="I143" s="398">
        <v>3</v>
      </c>
      <c r="J143" s="743"/>
      <c r="K143" s="70">
        <v>3</v>
      </c>
      <c r="L143" s="740"/>
      <c r="M143" s="393"/>
      <c r="N143" s="394"/>
      <c r="O143" s="393"/>
      <c r="P143" s="394"/>
      <c r="Q143" s="37"/>
      <c r="R143" s="37">
        <v>100</v>
      </c>
      <c r="S143" s="38"/>
      <c r="T143" s="475"/>
      <c r="U143" s="39"/>
      <c r="V143" s="39"/>
      <c r="W143" s="39"/>
      <c r="X143" s="39"/>
      <c r="Y143" s="39"/>
      <c r="Z143" s="39"/>
      <c r="AA143" s="39"/>
      <c r="AB143" s="39"/>
      <c r="AC143" s="39"/>
      <c r="AD143" s="40"/>
      <c r="AE143" s="40"/>
      <c r="AF143" s="40"/>
      <c r="AG143" s="41">
        <v>44421</v>
      </c>
      <c r="AH143" s="454">
        <v>66135</v>
      </c>
      <c r="AI143" s="42">
        <v>100.3</v>
      </c>
      <c r="AJ143" s="42">
        <f t="shared" si="336"/>
        <v>0.29999999999999716</v>
      </c>
      <c r="AK143" s="42">
        <f t="shared" ref="AK143:AK146" si="350">(AJ143*100)/R143</f>
        <v>0.29999999999999716</v>
      </c>
      <c r="AL143" s="42">
        <v>0.57999999999999996</v>
      </c>
      <c r="AM143" s="42">
        <f t="shared" si="337"/>
        <v>0.57999999999999996</v>
      </c>
      <c r="AN143" s="42"/>
      <c r="AO143" s="42"/>
      <c r="AP143" s="42">
        <v>1.9</v>
      </c>
      <c r="AQ143" s="42">
        <f t="shared" si="340"/>
        <v>1.9</v>
      </c>
      <c r="AR143" s="40">
        <f t="shared" si="338"/>
        <v>2.1999999999999971</v>
      </c>
      <c r="AS143" s="40">
        <f t="shared" si="322"/>
        <v>-1.6000000000000028</v>
      </c>
      <c r="AT143" s="40">
        <f t="shared" si="329"/>
        <v>2.1999999999999971</v>
      </c>
      <c r="AU143" s="43">
        <f t="shared" ref="AU143:AU146" si="351">YEARFRAC(S143,AG143)</f>
        <v>121.61944444444444</v>
      </c>
      <c r="AV143" s="44">
        <f t="shared" ref="AV143:AV146" si="352">ABS(AT143-AF143)</f>
        <v>2.1999999999999971</v>
      </c>
      <c r="AW143" s="45">
        <f t="shared" ref="AW143:AW146" si="353">(AV143/AU143)</f>
        <v>1.8089212708128702E-2</v>
      </c>
      <c r="AX143" s="46">
        <f t="shared" ref="AX143:AX146" si="354">(I143/AW143)</f>
        <v>165.8446969696972</v>
      </c>
      <c r="AY143" s="72" t="str">
        <f t="shared" ref="AY143:AY146" si="355">IF(AX143&lt;=1,"UN AÑO",IF(AX143&gt;=1,"DOS AÑOS"))</f>
        <v>DOS AÑOS</v>
      </c>
      <c r="AZ143" s="737"/>
      <c r="BA143" s="395"/>
      <c r="BB143" s="388"/>
      <c r="BC143" s="414"/>
      <c r="BD143" s="390"/>
    </row>
    <row r="144" spans="2:56" ht="15" customHeight="1" x14ac:dyDescent="0.25">
      <c r="B144" s="728"/>
      <c r="C144" s="450"/>
      <c r="D144" s="731"/>
      <c r="E144" s="731"/>
      <c r="F144" s="734"/>
      <c r="G144" s="466"/>
      <c r="H144" s="515"/>
      <c r="I144" s="398">
        <v>3</v>
      </c>
      <c r="J144" s="743"/>
      <c r="K144" s="70">
        <v>3</v>
      </c>
      <c r="L144" s="740"/>
      <c r="M144" s="393"/>
      <c r="N144" s="394"/>
      <c r="O144" s="393"/>
      <c r="P144" s="394"/>
      <c r="Q144" s="37">
        <v>199.5</v>
      </c>
      <c r="R144" s="37">
        <v>300</v>
      </c>
      <c r="S144" s="38">
        <v>44063</v>
      </c>
      <c r="T144" s="475"/>
      <c r="U144" s="39">
        <v>201.6</v>
      </c>
      <c r="V144" s="39">
        <f>U144-Q144</f>
        <v>2.0999999999999943</v>
      </c>
      <c r="W144" s="39">
        <f t="shared" ref="W144" si="356">V144*100/Q144</f>
        <v>1.0526315789473655</v>
      </c>
      <c r="X144" s="39">
        <v>0</v>
      </c>
      <c r="Y144" s="39">
        <f>X144*100/U144</f>
        <v>0</v>
      </c>
      <c r="Z144" s="39"/>
      <c r="AA144" s="39"/>
      <c r="AB144" s="39"/>
      <c r="AC144" s="39">
        <v>1</v>
      </c>
      <c r="AD144" s="40">
        <f t="shared" ref="AD144" si="357">(W144+AC144)</f>
        <v>2.0526315789473655</v>
      </c>
      <c r="AE144" s="40">
        <f t="shared" ref="AE144" si="358">(W144-AC144)</f>
        <v>5.2631578947365476E-2</v>
      </c>
      <c r="AF144" s="40">
        <f t="shared" ref="AF144" si="359">MAX(AD144:AE144)</f>
        <v>2.0526315789473655</v>
      </c>
      <c r="AG144" s="41">
        <v>44422</v>
      </c>
      <c r="AH144" s="455"/>
      <c r="AI144" s="42">
        <v>300</v>
      </c>
      <c r="AJ144" s="42">
        <f t="shared" si="336"/>
        <v>0</v>
      </c>
      <c r="AK144" s="42">
        <f t="shared" si="350"/>
        <v>0</v>
      </c>
      <c r="AL144" s="42">
        <v>1</v>
      </c>
      <c r="AM144" s="42">
        <f t="shared" si="337"/>
        <v>0.33333333333333331</v>
      </c>
      <c r="AN144" s="42"/>
      <c r="AO144" s="42"/>
      <c r="AP144" s="42">
        <v>4.0999999999999996</v>
      </c>
      <c r="AQ144" s="42">
        <f t="shared" si="340"/>
        <v>1.3666666666666665</v>
      </c>
      <c r="AR144" s="40">
        <f t="shared" si="338"/>
        <v>1.3666666666666665</v>
      </c>
      <c r="AS144" s="40">
        <f t="shared" si="322"/>
        <v>-1.3666666666666665</v>
      </c>
      <c r="AT144" s="40">
        <f t="shared" si="329"/>
        <v>1.3666666666666665</v>
      </c>
      <c r="AU144" s="43">
        <f t="shared" si="351"/>
        <v>0.98333333333333328</v>
      </c>
      <c r="AV144" s="44">
        <f t="shared" si="352"/>
        <v>0.685964912280699</v>
      </c>
      <c r="AW144" s="45">
        <f t="shared" si="353"/>
        <v>0.69759143621766007</v>
      </c>
      <c r="AX144" s="46">
        <f t="shared" si="354"/>
        <v>4.3005115089514234</v>
      </c>
      <c r="AY144" s="72" t="str">
        <f t="shared" si="355"/>
        <v>DOS AÑOS</v>
      </c>
      <c r="AZ144" s="737"/>
      <c r="BA144" s="395"/>
      <c r="BB144" s="388"/>
      <c r="BC144" s="414"/>
      <c r="BD144" s="390"/>
    </row>
    <row r="145" spans="1:56" ht="15" customHeight="1" x14ac:dyDescent="0.25">
      <c r="B145" s="728"/>
      <c r="C145" s="450"/>
      <c r="D145" s="731"/>
      <c r="E145" s="731"/>
      <c r="F145" s="734"/>
      <c r="G145" s="466"/>
      <c r="H145" s="515"/>
      <c r="I145" s="398">
        <v>3</v>
      </c>
      <c r="J145" s="743"/>
      <c r="K145" s="70">
        <v>3</v>
      </c>
      <c r="L145" s="740"/>
      <c r="M145" s="393"/>
      <c r="N145" s="394"/>
      <c r="O145" s="393"/>
      <c r="P145" s="394"/>
      <c r="Q145" s="37"/>
      <c r="R145" s="37">
        <v>500</v>
      </c>
      <c r="S145" s="38"/>
      <c r="T145" s="475"/>
      <c r="U145" s="39"/>
      <c r="V145" s="39"/>
      <c r="W145" s="39"/>
      <c r="X145" s="39"/>
      <c r="Y145" s="39"/>
      <c r="Z145" s="39"/>
      <c r="AA145" s="39"/>
      <c r="AB145" s="39"/>
      <c r="AC145" s="39"/>
      <c r="AD145" s="40"/>
      <c r="AE145" s="40"/>
      <c r="AF145" s="40"/>
      <c r="AG145" s="41">
        <v>44423</v>
      </c>
      <c r="AH145" s="455"/>
      <c r="AI145" s="42">
        <v>499.3</v>
      </c>
      <c r="AJ145" s="42">
        <f t="shared" si="336"/>
        <v>-0.69999999999998863</v>
      </c>
      <c r="AK145" s="42">
        <f t="shared" si="350"/>
        <v>-0.13999999999999774</v>
      </c>
      <c r="AL145" s="42">
        <v>0.57999999999999996</v>
      </c>
      <c r="AM145" s="42">
        <f t="shared" si="337"/>
        <v>0.11599999999999999</v>
      </c>
      <c r="AN145" s="42"/>
      <c r="AO145" s="42"/>
      <c r="AP145" s="42">
        <v>6.9</v>
      </c>
      <c r="AQ145" s="42">
        <f t="shared" si="340"/>
        <v>1.38</v>
      </c>
      <c r="AR145" s="40">
        <f t="shared" si="338"/>
        <v>0.68000000000001126</v>
      </c>
      <c r="AS145" s="40">
        <f t="shared" si="322"/>
        <v>-1.5199999999999976</v>
      </c>
      <c r="AT145" s="40">
        <f t="shared" si="329"/>
        <v>0.68000000000001126</v>
      </c>
      <c r="AU145" s="43">
        <f t="shared" si="351"/>
        <v>121.625</v>
      </c>
      <c r="AV145" s="44">
        <f t="shared" si="352"/>
        <v>0.68000000000001126</v>
      </c>
      <c r="AW145" s="45">
        <f t="shared" si="353"/>
        <v>5.5909558067832373E-3</v>
      </c>
      <c r="AX145" s="46">
        <f t="shared" si="354"/>
        <v>536.58088235293235</v>
      </c>
      <c r="AY145" s="72" t="str">
        <f t="shared" si="355"/>
        <v>DOS AÑOS</v>
      </c>
      <c r="AZ145" s="737"/>
      <c r="BA145" s="395"/>
      <c r="BB145" s="388"/>
      <c r="BC145" s="414"/>
      <c r="BD145" s="390"/>
    </row>
    <row r="146" spans="1:56" ht="15" customHeight="1" x14ac:dyDescent="0.25">
      <c r="B146" s="728"/>
      <c r="C146" s="450"/>
      <c r="D146" s="731"/>
      <c r="E146" s="731"/>
      <c r="F146" s="734"/>
      <c r="G146" s="466"/>
      <c r="H146" s="515"/>
      <c r="I146" s="398">
        <v>3</v>
      </c>
      <c r="J146" s="743"/>
      <c r="K146" s="70">
        <v>3</v>
      </c>
      <c r="L146" s="740"/>
      <c r="M146" s="393"/>
      <c r="N146" s="394"/>
      <c r="O146" s="393"/>
      <c r="P146" s="394"/>
      <c r="Q146" s="37">
        <v>749</v>
      </c>
      <c r="R146" s="37">
        <v>1000</v>
      </c>
      <c r="S146" s="38">
        <v>44063</v>
      </c>
      <c r="T146" s="475"/>
      <c r="U146" s="39">
        <v>751</v>
      </c>
      <c r="V146" s="39">
        <f t="shared" ref="V146:V151" si="360">U146-Q146</f>
        <v>2</v>
      </c>
      <c r="W146" s="39">
        <f t="shared" ref="W146:W150" si="361">V146*100/Q146</f>
        <v>0.26702269692923897</v>
      </c>
      <c r="X146" s="39">
        <v>0.57999999999999996</v>
      </c>
      <c r="Y146" s="39">
        <f t="shared" ref="Y146:Y151" si="362">X146*100/U146</f>
        <v>7.7230359520639141E-2</v>
      </c>
      <c r="Z146" s="39"/>
      <c r="AA146" s="39"/>
      <c r="AB146" s="39"/>
      <c r="AC146" s="39">
        <v>2.5</v>
      </c>
      <c r="AD146" s="40">
        <f t="shared" ref="AD146:AD151" si="363">(W146+AC146)</f>
        <v>2.7670226969292391</v>
      </c>
      <c r="AE146" s="40">
        <f t="shared" ref="AE146:AE151" si="364">(W146-AC146)</f>
        <v>-2.2329773030707609</v>
      </c>
      <c r="AF146" s="40">
        <f t="shared" ref="AF146:AF155" si="365">MAX(AD146:AE146)</f>
        <v>2.7670226969292391</v>
      </c>
      <c r="AG146" s="41">
        <v>44424</v>
      </c>
      <c r="AH146" s="455"/>
      <c r="AI146" s="42">
        <v>1000</v>
      </c>
      <c r="AJ146" s="42">
        <f t="shared" si="336"/>
        <v>0</v>
      </c>
      <c r="AK146" s="42">
        <f t="shared" si="350"/>
        <v>0</v>
      </c>
      <c r="AL146" s="42">
        <v>1.1499999999999999</v>
      </c>
      <c r="AM146" s="42">
        <f t="shared" si="337"/>
        <v>0.11499999999999999</v>
      </c>
      <c r="AN146" s="42"/>
      <c r="AO146" s="42"/>
      <c r="AP146" s="42">
        <v>13</v>
      </c>
      <c r="AQ146" s="42">
        <f t="shared" si="340"/>
        <v>1.3</v>
      </c>
      <c r="AR146" s="40">
        <f t="shared" si="338"/>
        <v>1.3</v>
      </c>
      <c r="AS146" s="40">
        <f t="shared" si="322"/>
        <v>-1.3</v>
      </c>
      <c r="AT146" s="40">
        <f t="shared" si="329"/>
        <v>1.3</v>
      </c>
      <c r="AU146" s="43">
        <f t="shared" si="351"/>
        <v>0.98888888888888893</v>
      </c>
      <c r="AV146" s="44">
        <f t="shared" si="352"/>
        <v>1.467022696929239</v>
      </c>
      <c r="AW146" s="45">
        <f t="shared" si="353"/>
        <v>1.4835060980183314</v>
      </c>
      <c r="AX146" s="46">
        <f t="shared" si="354"/>
        <v>2.0222363790802089</v>
      </c>
      <c r="AY146" s="72" t="str">
        <f t="shared" si="355"/>
        <v>DOS AÑOS</v>
      </c>
      <c r="AZ146" s="737"/>
      <c r="BA146" s="395"/>
      <c r="BB146" s="388"/>
      <c r="BC146" s="414"/>
      <c r="BD146" s="390"/>
    </row>
    <row r="147" spans="1:56" ht="15" customHeight="1" x14ac:dyDescent="0.25">
      <c r="B147" s="728"/>
      <c r="C147" s="450"/>
      <c r="D147" s="731"/>
      <c r="E147" s="731"/>
      <c r="F147" s="734"/>
      <c r="G147" s="466"/>
      <c r="H147" s="515"/>
      <c r="I147" s="398">
        <v>3</v>
      </c>
      <c r="J147" s="743"/>
      <c r="K147" s="70">
        <v>3</v>
      </c>
      <c r="L147" s="740"/>
      <c r="M147" s="393"/>
      <c r="N147" s="394"/>
      <c r="O147" s="393"/>
      <c r="P147" s="394"/>
      <c r="Q147" s="37">
        <v>1200</v>
      </c>
      <c r="R147" s="37">
        <v>1200</v>
      </c>
      <c r="S147" s="38">
        <v>44063</v>
      </c>
      <c r="T147" s="475"/>
      <c r="U147" s="39">
        <v>1202</v>
      </c>
      <c r="V147" s="39">
        <f t="shared" si="360"/>
        <v>2</v>
      </c>
      <c r="W147" s="39">
        <f t="shared" si="361"/>
        <v>0.16666666666666666</v>
      </c>
      <c r="X147" s="39">
        <v>0.57999999999999996</v>
      </c>
      <c r="Y147" s="39">
        <f t="shared" si="362"/>
        <v>4.8252911813643919E-2</v>
      </c>
      <c r="Z147" s="39"/>
      <c r="AA147" s="39"/>
      <c r="AB147" s="39"/>
      <c r="AC147" s="39">
        <v>2.5</v>
      </c>
      <c r="AD147" s="40">
        <f t="shared" si="363"/>
        <v>2.6666666666666665</v>
      </c>
      <c r="AE147" s="40">
        <f t="shared" si="364"/>
        <v>-2.3333333333333335</v>
      </c>
      <c r="AF147" s="40">
        <f t="shared" si="365"/>
        <v>2.6666666666666665</v>
      </c>
      <c r="AG147" s="41">
        <v>44420</v>
      </c>
      <c r="AH147" s="455"/>
      <c r="AI147" s="42">
        <v>1202</v>
      </c>
      <c r="AJ147" s="42">
        <f t="shared" ref="AJ147:AJ151" si="366">AI147-R147</f>
        <v>2</v>
      </c>
      <c r="AK147" s="42">
        <f>(AJ147*100)/R147</f>
        <v>0.16666666666666666</v>
      </c>
      <c r="AL147" s="42">
        <v>0.57999999999999996</v>
      </c>
      <c r="AM147" s="42">
        <f t="shared" ref="AM147:AM151" si="367">AL147*100/R147</f>
        <v>4.8333333333333325E-2</v>
      </c>
      <c r="AN147" s="42"/>
      <c r="AO147" s="42"/>
      <c r="AP147" s="42">
        <v>15</v>
      </c>
      <c r="AQ147" s="42">
        <f t="shared" si="340"/>
        <v>1.25</v>
      </c>
      <c r="AR147" s="40">
        <f>(AK147+AQ147)</f>
        <v>1.4166666666666667</v>
      </c>
      <c r="AS147" s="40">
        <f>(AK147-AQ147)</f>
        <v>-1.0833333333333333</v>
      </c>
      <c r="AT147" s="40">
        <f t="shared" si="329"/>
        <v>1.4166666666666667</v>
      </c>
      <c r="AU147" s="43">
        <f>YEARFRAC(S147,AG147)</f>
        <v>0.97777777777777775</v>
      </c>
      <c r="AV147" s="44">
        <f t="shared" ref="AV147:AV148" si="368">ABS(AT147-AF147)</f>
        <v>1.2499999999999998</v>
      </c>
      <c r="AW147" s="45">
        <f t="shared" ref="AW147:AW148" si="369">(AV147/AU147)</f>
        <v>1.2784090909090908</v>
      </c>
      <c r="AX147" s="46">
        <f t="shared" ref="AX147:AX148" si="370">(I147/AW147)</f>
        <v>2.3466666666666667</v>
      </c>
      <c r="AY147" s="72" t="str">
        <f t="shared" ref="AY147:AY155" si="371">IF(AX147&lt;=1,"UN AÑO",IF(AX147&gt;=1,"DOS AÑOS"))</f>
        <v>DOS AÑOS</v>
      </c>
      <c r="AZ147" s="737"/>
      <c r="BA147" s="395"/>
      <c r="BB147" s="388"/>
      <c r="BC147" s="414"/>
      <c r="BD147" s="390"/>
    </row>
    <row r="148" spans="1:56" ht="15" customHeight="1" x14ac:dyDescent="0.25">
      <c r="B148" s="728"/>
      <c r="C148" s="450"/>
      <c r="D148" s="731"/>
      <c r="E148" s="731"/>
      <c r="F148" s="734"/>
      <c r="G148" s="466"/>
      <c r="H148" s="515"/>
      <c r="I148" s="398">
        <v>3</v>
      </c>
      <c r="J148" s="743"/>
      <c r="K148" s="70">
        <v>3</v>
      </c>
      <c r="L148" s="740"/>
      <c r="M148" s="393"/>
      <c r="N148" s="394"/>
      <c r="O148" s="393"/>
      <c r="P148" s="394"/>
      <c r="Q148" s="37">
        <v>2400</v>
      </c>
      <c r="R148" s="37">
        <v>2400</v>
      </c>
      <c r="S148" s="38">
        <v>44063</v>
      </c>
      <c r="T148" s="475"/>
      <c r="U148" s="39">
        <v>2403</v>
      </c>
      <c r="V148" s="39">
        <f t="shared" si="360"/>
        <v>3</v>
      </c>
      <c r="W148" s="39">
        <f t="shared" si="361"/>
        <v>0.125</v>
      </c>
      <c r="X148" s="39">
        <v>0.57999999999999996</v>
      </c>
      <c r="Y148" s="39">
        <f t="shared" si="362"/>
        <v>2.4136496046608402E-2</v>
      </c>
      <c r="Z148" s="39"/>
      <c r="AA148" s="39"/>
      <c r="AB148" s="39"/>
      <c r="AC148" s="39">
        <v>2.2999999999999998</v>
      </c>
      <c r="AD148" s="40">
        <f t="shared" si="363"/>
        <v>2.4249999999999998</v>
      </c>
      <c r="AE148" s="40">
        <f t="shared" si="364"/>
        <v>-2.1749999999999998</v>
      </c>
      <c r="AF148" s="40">
        <f t="shared" si="365"/>
        <v>2.4249999999999998</v>
      </c>
      <c r="AG148" s="41">
        <v>44420</v>
      </c>
      <c r="AH148" s="455"/>
      <c r="AI148" s="42">
        <v>2400</v>
      </c>
      <c r="AJ148" s="42">
        <f t="shared" si="366"/>
        <v>0</v>
      </c>
      <c r="AK148" s="42">
        <f t="shared" ref="AK148" si="372">(AJ148*100)/Q148</f>
        <v>0</v>
      </c>
      <c r="AL148" s="42">
        <v>1.1499999999999999</v>
      </c>
      <c r="AM148" s="42">
        <f t="shared" si="367"/>
        <v>4.7916666666666663E-2</v>
      </c>
      <c r="AN148" s="42"/>
      <c r="AO148" s="42"/>
      <c r="AP148" s="42">
        <v>29</v>
      </c>
      <c r="AQ148" s="42">
        <f t="shared" si="340"/>
        <v>1.2083333333333333</v>
      </c>
      <c r="AR148" s="40">
        <f t="shared" ref="AR148:AR151" si="373">(AK148+AQ148)</f>
        <v>1.2083333333333333</v>
      </c>
      <c r="AS148" s="40">
        <f t="shared" ref="AS148:AS151" si="374">(AK148-AQ148)</f>
        <v>-1.2083333333333333</v>
      </c>
      <c r="AT148" s="40">
        <f t="shared" si="329"/>
        <v>1.2083333333333333</v>
      </c>
      <c r="AU148" s="43">
        <f t="shared" ref="AU148" si="375">YEARFRAC(S148,AG148)</f>
        <v>0.97777777777777775</v>
      </c>
      <c r="AV148" s="44">
        <f t="shared" si="368"/>
        <v>1.2166666666666666</v>
      </c>
      <c r="AW148" s="45">
        <f t="shared" si="369"/>
        <v>1.2443181818181817</v>
      </c>
      <c r="AX148" s="46">
        <f t="shared" si="370"/>
        <v>2.4109589041095894</v>
      </c>
      <c r="AY148" s="72" t="str">
        <f t="shared" si="371"/>
        <v>DOS AÑOS</v>
      </c>
      <c r="AZ148" s="737"/>
      <c r="BA148" s="395"/>
      <c r="BB148" s="388"/>
      <c r="BC148" s="414"/>
      <c r="BD148" s="390"/>
    </row>
    <row r="149" spans="1:56" ht="15.75" customHeight="1" x14ac:dyDescent="0.25">
      <c r="B149" s="728"/>
      <c r="C149" s="450"/>
      <c r="D149" s="731"/>
      <c r="E149" s="731"/>
      <c r="F149" s="734"/>
      <c r="G149" s="466"/>
      <c r="H149" s="515"/>
      <c r="I149" s="398">
        <v>3</v>
      </c>
      <c r="J149" s="743"/>
      <c r="K149" s="70">
        <v>3</v>
      </c>
      <c r="L149" s="740"/>
      <c r="M149" s="393" t="s">
        <v>69</v>
      </c>
      <c r="N149" s="394"/>
      <c r="O149" s="393" t="s">
        <v>69</v>
      </c>
      <c r="P149" s="394"/>
      <c r="Q149" s="37">
        <v>3601</v>
      </c>
      <c r="R149" s="37">
        <v>3600</v>
      </c>
      <c r="S149" s="38">
        <v>44063</v>
      </c>
      <c r="T149" s="475"/>
      <c r="U149" s="39">
        <v>3604</v>
      </c>
      <c r="V149" s="39">
        <f t="shared" si="360"/>
        <v>3</v>
      </c>
      <c r="W149" s="39">
        <f t="shared" si="361"/>
        <v>8.3310191613440707E-2</v>
      </c>
      <c r="X149" s="39">
        <v>1</v>
      </c>
      <c r="Y149" s="39">
        <f t="shared" si="362"/>
        <v>2.774694783573807E-2</v>
      </c>
      <c r="Z149" s="39"/>
      <c r="AA149" s="39" t="s">
        <v>69</v>
      </c>
      <c r="AB149" s="39" t="s">
        <v>69</v>
      </c>
      <c r="AC149" s="39">
        <v>1.8</v>
      </c>
      <c r="AD149" s="40">
        <f t="shared" si="363"/>
        <v>1.8833101916134407</v>
      </c>
      <c r="AE149" s="40">
        <f t="shared" si="364"/>
        <v>-1.7166898083865594</v>
      </c>
      <c r="AF149" s="40">
        <f t="shared" si="365"/>
        <v>1.8833101916134407</v>
      </c>
      <c r="AG149" s="41">
        <v>44420</v>
      </c>
      <c r="AH149" s="455"/>
      <c r="AI149" s="42">
        <v>3601</v>
      </c>
      <c r="AJ149" s="42">
        <f t="shared" si="366"/>
        <v>1</v>
      </c>
      <c r="AK149" s="42">
        <f t="shared" ref="AK149" si="376">(AJ149*100)/R149</f>
        <v>2.7777777777777776E-2</v>
      </c>
      <c r="AL149" s="42">
        <v>0.57999999999999996</v>
      </c>
      <c r="AM149" s="42">
        <f t="shared" si="367"/>
        <v>1.6111111111111111E-2</v>
      </c>
      <c r="AN149" s="42" t="s">
        <v>69</v>
      </c>
      <c r="AO149" s="42" t="s">
        <v>69</v>
      </c>
      <c r="AP149" s="42">
        <v>44</v>
      </c>
      <c r="AQ149" s="42">
        <f t="shared" si="340"/>
        <v>1.2222222222222223</v>
      </c>
      <c r="AR149" s="40">
        <f t="shared" si="373"/>
        <v>1.25</v>
      </c>
      <c r="AS149" s="40">
        <f t="shared" si="374"/>
        <v>-1.1944444444444446</v>
      </c>
      <c r="AT149" s="40">
        <f t="shared" si="329"/>
        <v>1.25</v>
      </c>
      <c r="AU149" s="43">
        <f t="shared" ref="AU149:AU150" si="377">YEARFRAC(S149,AG149)</f>
        <v>0.97777777777777775</v>
      </c>
      <c r="AV149" s="44">
        <f t="shared" ref="AV149:AV150" si="378">ABS(AT149-AF149)</f>
        <v>0.63331019161344071</v>
      </c>
      <c r="AW149" s="45">
        <f t="shared" ref="AW149:AW150" si="379">(AV149/AU149)</f>
        <v>0.64770360505920077</v>
      </c>
      <c r="AX149" s="46">
        <f t="shared" ref="AX149:AX150" si="380">(I149/AW149)</f>
        <v>4.6317481893987562</v>
      </c>
      <c r="AY149" s="72" t="str">
        <f t="shared" ref="AY149:AY150" si="381">IF(AX149&lt;=1,"UN AÑO",IF(AX149&gt;=1,"DOS AÑOS"))</f>
        <v>DOS AÑOS</v>
      </c>
      <c r="AZ149" s="737"/>
      <c r="BA149" s="395"/>
      <c r="BB149" s="388"/>
      <c r="BC149" s="414"/>
      <c r="BD149" s="390"/>
    </row>
    <row r="150" spans="1:56" ht="15.75" customHeight="1" x14ac:dyDescent="0.25">
      <c r="B150" s="728"/>
      <c r="C150" s="450"/>
      <c r="D150" s="731"/>
      <c r="E150" s="731"/>
      <c r="F150" s="734"/>
      <c r="G150" s="466"/>
      <c r="H150" s="515"/>
      <c r="I150" s="398">
        <v>3</v>
      </c>
      <c r="J150" s="743"/>
      <c r="K150" s="70">
        <v>3</v>
      </c>
      <c r="L150" s="740"/>
      <c r="M150" s="393"/>
      <c r="N150" s="394"/>
      <c r="O150" s="393"/>
      <c r="P150" s="394"/>
      <c r="Q150" s="37">
        <v>4815</v>
      </c>
      <c r="R150" s="37">
        <v>4800</v>
      </c>
      <c r="S150" s="38">
        <v>44063</v>
      </c>
      <c r="T150" s="475"/>
      <c r="U150" s="39">
        <v>4804.2</v>
      </c>
      <c r="V150" s="39">
        <f t="shared" si="360"/>
        <v>-10.800000000000182</v>
      </c>
      <c r="W150" s="39">
        <f t="shared" si="361"/>
        <v>-0.22429906542056452</v>
      </c>
      <c r="X150" s="39">
        <v>1</v>
      </c>
      <c r="Y150" s="39">
        <f t="shared" si="362"/>
        <v>2.0815120103242997E-2</v>
      </c>
      <c r="Z150" s="39"/>
      <c r="AA150" s="39"/>
      <c r="AB150" s="39" t="s">
        <v>69</v>
      </c>
      <c r="AC150" s="39">
        <v>2.2999999999999998</v>
      </c>
      <c r="AD150" s="40">
        <f t="shared" si="363"/>
        <v>2.0757009345794355</v>
      </c>
      <c r="AE150" s="40">
        <f t="shared" si="364"/>
        <v>-2.5242990654205641</v>
      </c>
      <c r="AF150" s="40">
        <f t="shared" si="365"/>
        <v>2.0757009345794355</v>
      </c>
      <c r="AG150" s="41">
        <v>44420</v>
      </c>
      <c r="AH150" s="455"/>
      <c r="AI150" s="42">
        <v>4802</v>
      </c>
      <c r="AJ150" s="42">
        <f t="shared" si="366"/>
        <v>2</v>
      </c>
      <c r="AK150" s="42">
        <f>(AJ150*100)/R150</f>
        <v>4.1666666666666664E-2</v>
      </c>
      <c r="AL150" s="42">
        <v>0.57999999999999996</v>
      </c>
      <c r="AM150" s="42">
        <f t="shared" si="367"/>
        <v>1.2083333333333331E-2</v>
      </c>
      <c r="AN150" s="42"/>
      <c r="AO150" s="42"/>
      <c r="AP150" s="42">
        <v>66</v>
      </c>
      <c r="AQ150" s="42">
        <f t="shared" si="340"/>
        <v>1.375</v>
      </c>
      <c r="AR150" s="40">
        <f t="shared" si="373"/>
        <v>1.4166666666666667</v>
      </c>
      <c r="AS150" s="40">
        <f t="shared" si="374"/>
        <v>-1.3333333333333333</v>
      </c>
      <c r="AT150" s="40">
        <f t="shared" ref="AT150:AT155" si="382">MAX(AR150:AS150)</f>
        <v>1.4166666666666667</v>
      </c>
      <c r="AU150" s="43">
        <f t="shared" si="377"/>
        <v>0.97777777777777775</v>
      </c>
      <c r="AV150" s="44">
        <f t="shared" si="378"/>
        <v>0.65903426791276876</v>
      </c>
      <c r="AW150" s="45">
        <f t="shared" si="379"/>
        <v>0.67401231945624085</v>
      </c>
      <c r="AX150" s="46">
        <f t="shared" si="380"/>
        <v>4.4509572205152699</v>
      </c>
      <c r="AY150" s="72" t="str">
        <f t="shared" si="381"/>
        <v>DOS AÑOS</v>
      </c>
      <c r="AZ150" s="737"/>
      <c r="BA150" s="396"/>
      <c r="BB150" s="389"/>
      <c r="BC150" s="74"/>
      <c r="BD150" s="391"/>
    </row>
    <row r="151" spans="1:56" ht="15.75" customHeight="1" thickBot="1" x14ac:dyDescent="0.3">
      <c r="B151" s="729"/>
      <c r="C151" s="450"/>
      <c r="D151" s="402"/>
      <c r="E151" s="732"/>
      <c r="F151" s="735"/>
      <c r="G151" s="466"/>
      <c r="H151" s="515"/>
      <c r="I151" s="398">
        <v>3</v>
      </c>
      <c r="J151" s="744"/>
      <c r="K151" s="70">
        <v>3</v>
      </c>
      <c r="L151" s="741"/>
      <c r="M151" s="393"/>
      <c r="N151" s="394"/>
      <c r="O151" s="393"/>
      <c r="P151" s="394"/>
      <c r="Q151" s="37">
        <v>6060</v>
      </c>
      <c r="R151" s="37">
        <v>6000</v>
      </c>
      <c r="S151" s="38">
        <v>44063</v>
      </c>
      <c r="T151" s="476"/>
      <c r="U151" s="39">
        <v>5999</v>
      </c>
      <c r="V151" s="39">
        <f t="shared" si="360"/>
        <v>-61</v>
      </c>
      <c r="W151" s="39">
        <f>V151*100/Q151</f>
        <v>-1.0066006600660067</v>
      </c>
      <c r="X151" s="39">
        <v>1</v>
      </c>
      <c r="Y151" s="39">
        <f t="shared" si="362"/>
        <v>1.6669444907484579E-2</v>
      </c>
      <c r="Z151" s="39"/>
      <c r="AA151" s="39"/>
      <c r="AB151" s="39"/>
      <c r="AC151" s="39">
        <v>1</v>
      </c>
      <c r="AD151" s="40">
        <f t="shared" si="363"/>
        <v>-6.6006600660066805E-3</v>
      </c>
      <c r="AE151" s="40">
        <f t="shared" si="364"/>
        <v>-2.0066006600660069</v>
      </c>
      <c r="AF151" s="40">
        <f t="shared" si="365"/>
        <v>-6.6006600660066805E-3</v>
      </c>
      <c r="AG151" s="41">
        <v>44420</v>
      </c>
      <c r="AH151" s="553"/>
      <c r="AI151" s="42">
        <v>6000</v>
      </c>
      <c r="AJ151" s="42">
        <f t="shared" si="366"/>
        <v>0</v>
      </c>
      <c r="AK151" s="42">
        <f t="shared" ref="AK151" si="383">(AJ151*100)/R151</f>
        <v>0</v>
      </c>
      <c r="AL151" s="42">
        <v>0.57999999999999996</v>
      </c>
      <c r="AM151" s="42">
        <f t="shared" si="367"/>
        <v>9.6666666666666654E-3</v>
      </c>
      <c r="AN151" s="42"/>
      <c r="AO151" s="42"/>
      <c r="AP151" s="42">
        <v>82</v>
      </c>
      <c r="AQ151" s="42">
        <f t="shared" si="340"/>
        <v>1.3666666666666667</v>
      </c>
      <c r="AR151" s="40">
        <f t="shared" si="373"/>
        <v>1.3666666666666667</v>
      </c>
      <c r="AS151" s="40">
        <f t="shared" si="374"/>
        <v>-1.3666666666666667</v>
      </c>
      <c r="AT151" s="40">
        <f t="shared" si="382"/>
        <v>1.3666666666666667</v>
      </c>
      <c r="AU151" s="43">
        <f t="shared" ref="AU151:AU155" si="384">YEARFRAC(S151,AG151)</f>
        <v>0.97777777777777775</v>
      </c>
      <c r="AV151" s="44">
        <f t="shared" ref="AV151:AV155" si="385">ABS(AT151-AF151)</f>
        <v>1.3732673267326734</v>
      </c>
      <c r="AW151" s="45">
        <f t="shared" ref="AW151:AW155" si="386">(AV151/AU151)</f>
        <v>1.4044779477947797</v>
      </c>
      <c r="AX151" s="46">
        <f t="shared" ref="AX151:AX155" si="387">(I151/AW151)</f>
        <v>2.1360249939918283</v>
      </c>
      <c r="AY151" s="72" t="str">
        <f t="shared" si="371"/>
        <v>DOS AÑOS</v>
      </c>
      <c r="AZ151" s="738"/>
      <c r="BA151" s="396"/>
      <c r="BB151" s="389"/>
      <c r="BC151" s="74"/>
      <c r="BD151" s="391"/>
    </row>
    <row r="152" spans="1:56" x14ac:dyDescent="0.25">
      <c r="A152"/>
      <c r="B152" s="745" t="s">
        <v>218</v>
      </c>
      <c r="C152" s="582" t="s">
        <v>219</v>
      </c>
      <c r="D152" s="585" t="s">
        <v>220</v>
      </c>
      <c r="E152" s="489" t="s">
        <v>221</v>
      </c>
      <c r="F152" s="596" t="s">
        <v>222</v>
      </c>
      <c r="G152" s="538">
        <v>0.01</v>
      </c>
      <c r="H152" s="434" t="s">
        <v>223</v>
      </c>
      <c r="I152" s="418">
        <v>1</v>
      </c>
      <c r="J152" s="711" t="s">
        <v>20</v>
      </c>
      <c r="K152" s="415" t="s">
        <v>69</v>
      </c>
      <c r="L152" s="719" t="s">
        <v>20</v>
      </c>
      <c r="M152" s="415" t="s">
        <v>69</v>
      </c>
      <c r="N152" s="719" t="s">
        <v>20</v>
      </c>
      <c r="O152" s="415" t="s">
        <v>69</v>
      </c>
      <c r="P152" s="719" t="s">
        <v>20</v>
      </c>
      <c r="Q152" s="57">
        <v>0</v>
      </c>
      <c r="R152" s="82">
        <v>0</v>
      </c>
      <c r="S152" s="58">
        <v>44063</v>
      </c>
      <c r="T152" s="446" t="s">
        <v>224</v>
      </c>
      <c r="U152" s="372">
        <v>0</v>
      </c>
      <c r="V152" s="372">
        <f>U152-Q152</f>
        <v>0</v>
      </c>
      <c r="W152" s="372" t="s">
        <v>69</v>
      </c>
      <c r="X152" s="372" t="s">
        <v>69</v>
      </c>
      <c r="Y152" s="372" t="s">
        <v>69</v>
      </c>
      <c r="Z152" s="372" t="s">
        <v>69</v>
      </c>
      <c r="AA152" s="372" t="s">
        <v>69</v>
      </c>
      <c r="AB152" s="372">
        <v>0.6</v>
      </c>
      <c r="AC152" s="372" t="s">
        <v>69</v>
      </c>
      <c r="AD152" s="59">
        <f>(V152+AB152)</f>
        <v>0.6</v>
      </c>
      <c r="AE152" s="59">
        <f>(V152-AB152)</f>
        <v>-0.6</v>
      </c>
      <c r="AF152" s="59">
        <f t="shared" si="365"/>
        <v>0.6</v>
      </c>
      <c r="AG152" s="60">
        <v>44421</v>
      </c>
      <c r="AH152" s="460">
        <v>66129</v>
      </c>
      <c r="AI152" s="61">
        <v>0</v>
      </c>
      <c r="AJ152" s="84">
        <f>AI152-R152</f>
        <v>0</v>
      </c>
      <c r="AK152" s="61" t="s">
        <v>69</v>
      </c>
      <c r="AL152" s="61" t="s">
        <v>69</v>
      </c>
      <c r="AM152" s="61" t="s">
        <v>69</v>
      </c>
      <c r="AN152" s="61" t="s">
        <v>69</v>
      </c>
      <c r="AO152" s="61" t="s">
        <v>69</v>
      </c>
      <c r="AP152" s="61">
        <v>0.69</v>
      </c>
      <c r="AQ152" s="61" t="s">
        <v>69</v>
      </c>
      <c r="AR152" s="373">
        <f>(AJ152+AP152)</f>
        <v>0.69</v>
      </c>
      <c r="AS152" s="59">
        <f>(AJ152-AP152)</f>
        <v>-0.69</v>
      </c>
      <c r="AT152" s="59">
        <f t="shared" si="382"/>
        <v>0.69</v>
      </c>
      <c r="AU152" s="62">
        <f t="shared" si="384"/>
        <v>0.98055555555555551</v>
      </c>
      <c r="AV152" s="63">
        <f t="shared" si="385"/>
        <v>8.9999999999999969E-2</v>
      </c>
      <c r="AW152" s="64">
        <f t="shared" si="386"/>
        <v>9.1784702549575048E-2</v>
      </c>
      <c r="AX152" s="65">
        <f t="shared" si="387"/>
        <v>10.895061728395065</v>
      </c>
      <c r="AY152" s="66" t="str">
        <f t="shared" si="371"/>
        <v>DOS AÑOS</v>
      </c>
      <c r="AZ152" s="618" t="s">
        <v>218</v>
      </c>
      <c r="BA152" s="723" t="s">
        <v>35</v>
      </c>
      <c r="BB152" s="477" t="s">
        <v>34</v>
      </c>
      <c r="BC152" s="374"/>
      <c r="BD152" s="480">
        <f>BC235</f>
        <v>0</v>
      </c>
    </row>
    <row r="153" spans="1:56" x14ac:dyDescent="0.25">
      <c r="A153"/>
      <c r="B153" s="746"/>
      <c r="C153" s="583"/>
      <c r="D153" s="586"/>
      <c r="E153" s="490"/>
      <c r="F153" s="608"/>
      <c r="G153" s="537"/>
      <c r="H153" s="435"/>
      <c r="I153" s="419">
        <v>2</v>
      </c>
      <c r="J153" s="713"/>
      <c r="K153" s="416" t="s">
        <v>69</v>
      </c>
      <c r="L153" s="721"/>
      <c r="M153" s="416" t="s">
        <v>69</v>
      </c>
      <c r="N153" s="721"/>
      <c r="O153" s="416" t="s">
        <v>69</v>
      </c>
      <c r="P153" s="721"/>
      <c r="Q153" s="37">
        <v>23.1</v>
      </c>
      <c r="R153" s="92">
        <v>36.29</v>
      </c>
      <c r="S153" s="38">
        <v>44063</v>
      </c>
      <c r="T153" s="447"/>
      <c r="U153" s="39">
        <v>24.2</v>
      </c>
      <c r="V153" s="39">
        <f>U153-Q153</f>
        <v>1.0999999999999979</v>
      </c>
      <c r="W153" s="39" t="s">
        <v>69</v>
      </c>
      <c r="X153" s="39" t="s">
        <v>69</v>
      </c>
      <c r="Y153" s="39" t="s">
        <v>69</v>
      </c>
      <c r="Z153" s="39" t="s">
        <v>69</v>
      </c>
      <c r="AA153" s="39" t="s">
        <v>69</v>
      </c>
      <c r="AB153" s="39">
        <v>0.6</v>
      </c>
      <c r="AC153" s="39" t="s">
        <v>69</v>
      </c>
      <c r="AD153" s="40">
        <f t="shared" ref="AD153:AD155" si="388">(V153+AB153)</f>
        <v>1.699999999999998</v>
      </c>
      <c r="AE153" s="40">
        <f t="shared" ref="AE153:AE155" si="389">(V153-AB153)</f>
        <v>0.49999999999999789</v>
      </c>
      <c r="AF153" s="40">
        <f t="shared" si="365"/>
        <v>1.699999999999998</v>
      </c>
      <c r="AG153" s="41">
        <v>44421</v>
      </c>
      <c r="AH153" s="461"/>
      <c r="AI153" s="42">
        <v>37.4</v>
      </c>
      <c r="AJ153" s="94">
        <f>AI153-R153</f>
        <v>1.1099999999999994</v>
      </c>
      <c r="AK153" s="42" t="s">
        <v>69</v>
      </c>
      <c r="AL153" s="42" t="s">
        <v>69</v>
      </c>
      <c r="AM153" s="42" t="s">
        <v>69</v>
      </c>
      <c r="AN153" s="42" t="s">
        <v>69</v>
      </c>
      <c r="AO153" s="42" t="s">
        <v>69</v>
      </c>
      <c r="AP153" s="42">
        <v>0.77</v>
      </c>
      <c r="AQ153" s="42" t="s">
        <v>69</v>
      </c>
      <c r="AR153" s="375">
        <f t="shared" ref="AR153:AR155" si="390">(AJ153+AP153)</f>
        <v>1.8799999999999994</v>
      </c>
      <c r="AS153" s="40">
        <f t="shared" ref="AS153:AS155" si="391">(AJ153-AP153)</f>
        <v>0.33999999999999941</v>
      </c>
      <c r="AT153" s="40">
        <f t="shared" si="382"/>
        <v>1.8799999999999994</v>
      </c>
      <c r="AU153" s="43">
        <f t="shared" si="384"/>
        <v>0.98055555555555551</v>
      </c>
      <c r="AV153" s="44">
        <f t="shared" si="385"/>
        <v>0.18000000000000149</v>
      </c>
      <c r="AW153" s="45">
        <f t="shared" si="386"/>
        <v>0.18356940509915168</v>
      </c>
      <c r="AX153" s="46">
        <f t="shared" si="387"/>
        <v>10.895061728394971</v>
      </c>
      <c r="AY153" s="72" t="str">
        <f t="shared" si="371"/>
        <v>DOS AÑOS</v>
      </c>
      <c r="AZ153" s="619"/>
      <c r="BA153" s="725"/>
      <c r="BB153" s="478"/>
      <c r="BC153" s="377">
        <f>MIN(AX152:AX155)</f>
        <v>1.8158436213991587</v>
      </c>
      <c r="BD153" s="481"/>
    </row>
    <row r="154" spans="1:56" x14ac:dyDescent="0.25">
      <c r="A154"/>
      <c r="B154" s="746"/>
      <c r="C154" s="583"/>
      <c r="D154" s="586"/>
      <c r="E154" s="490"/>
      <c r="F154" s="608"/>
      <c r="G154" s="537"/>
      <c r="H154" s="435"/>
      <c r="I154" s="419">
        <v>2</v>
      </c>
      <c r="J154" s="713"/>
      <c r="K154" s="416"/>
      <c r="L154" s="721"/>
      <c r="M154" s="416"/>
      <c r="N154" s="721"/>
      <c r="O154" s="416"/>
      <c r="P154" s="721"/>
      <c r="Q154" s="37">
        <v>76.7</v>
      </c>
      <c r="R154" s="92">
        <v>74.069999999999993</v>
      </c>
      <c r="S154" s="38">
        <v>44063</v>
      </c>
      <c r="T154" s="447"/>
      <c r="U154" s="39">
        <v>75.819999999999993</v>
      </c>
      <c r="V154" s="39">
        <f>U154-Q154</f>
        <v>-0.88000000000000966</v>
      </c>
      <c r="W154" s="39" t="s">
        <v>69</v>
      </c>
      <c r="X154" s="39" t="s">
        <v>69</v>
      </c>
      <c r="Y154" s="39" t="s">
        <v>69</v>
      </c>
      <c r="Z154" s="39" t="s">
        <v>69</v>
      </c>
      <c r="AA154" s="39" t="s">
        <v>69</v>
      </c>
      <c r="AB154" s="39">
        <v>0.6</v>
      </c>
      <c r="AC154" s="39" t="s">
        <v>69</v>
      </c>
      <c r="AD154" s="40">
        <f t="shared" si="388"/>
        <v>-0.28000000000000969</v>
      </c>
      <c r="AE154" s="40">
        <f t="shared" si="389"/>
        <v>-1.4800000000000098</v>
      </c>
      <c r="AF154" s="40">
        <f t="shared" si="365"/>
        <v>-0.28000000000000969</v>
      </c>
      <c r="AG154" s="41">
        <v>44421</v>
      </c>
      <c r="AH154" s="461"/>
      <c r="AI154" s="42">
        <v>74.099999999999994</v>
      </c>
      <c r="AJ154" s="94">
        <f>AI154-R154</f>
        <v>3.0000000000001137E-2</v>
      </c>
      <c r="AK154" s="42" t="s">
        <v>69</v>
      </c>
      <c r="AL154" s="42"/>
      <c r="AM154" s="42"/>
      <c r="AN154" s="42"/>
      <c r="AO154" s="42"/>
      <c r="AP154" s="42">
        <v>0.77</v>
      </c>
      <c r="AQ154" s="42" t="s">
        <v>69</v>
      </c>
      <c r="AR154" s="375">
        <f t="shared" si="390"/>
        <v>0.80000000000000115</v>
      </c>
      <c r="AS154" s="40">
        <f t="shared" si="391"/>
        <v>-0.73999999999999888</v>
      </c>
      <c r="AT154" s="40">
        <f t="shared" si="382"/>
        <v>0.80000000000000115</v>
      </c>
      <c r="AU154" s="43">
        <f t="shared" si="384"/>
        <v>0.98055555555555551</v>
      </c>
      <c r="AV154" s="44">
        <f t="shared" si="385"/>
        <v>1.0800000000000107</v>
      </c>
      <c r="AW154" s="45">
        <f t="shared" si="386"/>
        <v>1.1014164305949119</v>
      </c>
      <c r="AX154" s="46">
        <f t="shared" si="387"/>
        <v>1.8158436213991587</v>
      </c>
      <c r="AY154" s="72" t="str">
        <f t="shared" si="371"/>
        <v>DOS AÑOS</v>
      </c>
      <c r="AZ154" s="619"/>
      <c r="BA154" s="725"/>
      <c r="BB154" s="478"/>
      <c r="BC154" s="377"/>
      <c r="BD154" s="481"/>
    </row>
    <row r="155" spans="1:56" ht="15.75" thickBot="1" x14ac:dyDescent="0.3">
      <c r="A155"/>
      <c r="B155" s="747"/>
      <c r="C155" s="584"/>
      <c r="D155" s="587"/>
      <c r="E155" s="491"/>
      <c r="F155" s="609"/>
      <c r="G155" s="547"/>
      <c r="H155" s="442"/>
      <c r="I155" s="420">
        <v>1</v>
      </c>
      <c r="J155" s="714"/>
      <c r="K155" s="417" t="s">
        <v>69</v>
      </c>
      <c r="L155" s="722"/>
      <c r="M155" s="417" t="s">
        <v>69</v>
      </c>
      <c r="N155" s="722"/>
      <c r="O155" s="417" t="s">
        <v>69</v>
      </c>
      <c r="P155" s="722"/>
      <c r="Q155" s="179">
        <v>100</v>
      </c>
      <c r="R155" s="110">
        <v>99.67</v>
      </c>
      <c r="S155" s="111">
        <v>44063</v>
      </c>
      <c r="T155" s="448"/>
      <c r="U155" s="48">
        <v>99.9</v>
      </c>
      <c r="V155" s="48">
        <f t="shared" ref="V155" si="392">U155-Q155</f>
        <v>-9.9999999999994316E-2</v>
      </c>
      <c r="W155" s="48" t="s">
        <v>69</v>
      </c>
      <c r="X155" s="48" t="s">
        <v>69</v>
      </c>
      <c r="Y155" s="48" t="s">
        <v>69</v>
      </c>
      <c r="Z155" s="48" t="s">
        <v>69</v>
      </c>
      <c r="AA155" s="48" t="s">
        <v>69</v>
      </c>
      <c r="AB155" s="48">
        <v>0.6</v>
      </c>
      <c r="AC155" s="48" t="s">
        <v>69</v>
      </c>
      <c r="AD155" s="49">
        <f t="shared" si="388"/>
        <v>0.50000000000000566</v>
      </c>
      <c r="AE155" s="49">
        <f t="shared" si="389"/>
        <v>-0.69999999999999429</v>
      </c>
      <c r="AF155" s="49">
        <f t="shared" si="365"/>
        <v>0.50000000000000566</v>
      </c>
      <c r="AG155" s="114">
        <v>44421</v>
      </c>
      <c r="AH155" s="462"/>
      <c r="AI155" s="50">
        <v>100</v>
      </c>
      <c r="AJ155" s="115">
        <f>AI155-R155</f>
        <v>0.32999999999999829</v>
      </c>
      <c r="AK155" s="50" t="s">
        <v>69</v>
      </c>
      <c r="AL155" s="50" t="s">
        <v>69</v>
      </c>
      <c r="AM155" s="50" t="s">
        <v>69</v>
      </c>
      <c r="AN155" s="50" t="s">
        <v>69</v>
      </c>
      <c r="AO155" s="50" t="s">
        <v>69</v>
      </c>
      <c r="AP155" s="50">
        <v>0.61</v>
      </c>
      <c r="AQ155" s="50" t="s">
        <v>69</v>
      </c>
      <c r="AR155" s="379">
        <f t="shared" si="390"/>
        <v>0.93999999999999828</v>
      </c>
      <c r="AS155" s="49">
        <f t="shared" si="391"/>
        <v>-0.28000000000000169</v>
      </c>
      <c r="AT155" s="49">
        <f t="shared" si="382"/>
        <v>0.93999999999999828</v>
      </c>
      <c r="AU155" s="51">
        <f t="shared" si="384"/>
        <v>0.98055555555555551</v>
      </c>
      <c r="AV155" s="52">
        <f t="shared" si="385"/>
        <v>0.43999999999999262</v>
      </c>
      <c r="AW155" s="380">
        <f t="shared" si="386"/>
        <v>0.44872521246458175</v>
      </c>
      <c r="AX155" s="53">
        <f t="shared" si="387"/>
        <v>2.2285353535353907</v>
      </c>
      <c r="AY155" s="120" t="str">
        <f t="shared" si="371"/>
        <v>DOS AÑOS</v>
      </c>
      <c r="AZ155" s="620"/>
      <c r="BA155" s="726"/>
      <c r="BB155" s="479"/>
      <c r="BC155" s="381"/>
      <c r="BD155" s="482"/>
    </row>
    <row r="156" spans="1:56" x14ac:dyDescent="0.25">
      <c r="B156" s="593" t="s">
        <v>11</v>
      </c>
      <c r="C156" s="597" t="s">
        <v>12</v>
      </c>
      <c r="D156" s="489" t="s">
        <v>113</v>
      </c>
      <c r="E156" s="489" t="s">
        <v>120</v>
      </c>
      <c r="F156" s="596" t="s">
        <v>225</v>
      </c>
      <c r="G156" s="434" t="s">
        <v>17</v>
      </c>
      <c r="H156" s="434" t="s">
        <v>121</v>
      </c>
      <c r="I156" s="55">
        <v>10</v>
      </c>
      <c r="J156" s="443" t="s">
        <v>20</v>
      </c>
      <c r="K156" s="56" t="s">
        <v>69</v>
      </c>
      <c r="L156" s="495" t="s">
        <v>20</v>
      </c>
      <c r="M156" s="56" t="s">
        <v>69</v>
      </c>
      <c r="N156" s="495" t="s">
        <v>20</v>
      </c>
      <c r="O156" s="56" t="s">
        <v>69</v>
      </c>
      <c r="P156" s="495" t="s">
        <v>20</v>
      </c>
      <c r="Q156" s="168">
        <v>1</v>
      </c>
      <c r="R156" s="177">
        <v>0</v>
      </c>
      <c r="S156" s="58">
        <v>44063</v>
      </c>
      <c r="T156" s="529" t="s">
        <v>226</v>
      </c>
      <c r="U156" s="61">
        <v>1</v>
      </c>
      <c r="V156" s="61">
        <f>U156-Q156</f>
        <v>0</v>
      </c>
      <c r="W156" s="61">
        <f t="shared" ref="W156:W159" si="393">V156*100/U156</f>
        <v>0</v>
      </c>
      <c r="X156" s="61"/>
      <c r="Y156" s="61"/>
      <c r="Z156" s="61"/>
      <c r="AA156" s="61"/>
      <c r="AB156" s="61"/>
      <c r="AC156" s="61">
        <v>7</v>
      </c>
      <c r="AD156" s="84">
        <f>(W156+AC156)</f>
        <v>7</v>
      </c>
      <c r="AE156" s="84">
        <f>(W156-AC156)</f>
        <v>-7</v>
      </c>
      <c r="AF156" s="84">
        <f t="shared" si="238"/>
        <v>7</v>
      </c>
      <c r="AG156" s="60">
        <v>44421</v>
      </c>
      <c r="AH156" s="542">
        <v>66130</v>
      </c>
      <c r="AI156" s="61">
        <v>0</v>
      </c>
      <c r="AJ156" s="61">
        <f>AI156-R156</f>
        <v>0</v>
      </c>
      <c r="AK156" s="61">
        <v>0</v>
      </c>
      <c r="AL156" s="61" t="s">
        <v>69</v>
      </c>
      <c r="AM156" s="61" t="s">
        <v>69</v>
      </c>
      <c r="AN156" s="61" t="s">
        <v>69</v>
      </c>
      <c r="AO156" s="61" t="s">
        <v>69</v>
      </c>
      <c r="AP156" s="61">
        <v>5.7000000000000002E-2</v>
      </c>
      <c r="AQ156" s="61">
        <v>5.7000000000000002E-2</v>
      </c>
      <c r="AR156" s="59">
        <f>(AJ156+AQ156)</f>
        <v>5.7000000000000002E-2</v>
      </c>
      <c r="AS156" s="59">
        <f>(AK156-AQ156)</f>
        <v>-5.7000000000000002E-2</v>
      </c>
      <c r="AT156" s="59">
        <f t="shared" ref="AT156" si="394">MAX(AR156:AS156)</f>
        <v>5.7000000000000002E-2</v>
      </c>
      <c r="AU156" s="62">
        <f t="shared" si="4"/>
        <v>0.98055555555555551</v>
      </c>
      <c r="AV156" s="63">
        <f t="shared" si="102"/>
        <v>6.9429999999999996</v>
      </c>
      <c r="AW156" s="64">
        <f t="shared" si="240"/>
        <v>7.0806798866855525</v>
      </c>
      <c r="AX156" s="65">
        <f t="shared" si="6"/>
        <v>1.4122937571014771</v>
      </c>
      <c r="AY156" s="66" t="str">
        <f t="shared" si="7"/>
        <v>DOS AÑOS</v>
      </c>
      <c r="AZ156" s="618" t="s">
        <v>11</v>
      </c>
      <c r="BA156" s="439" t="s">
        <v>35</v>
      </c>
      <c r="BB156" s="477" t="s">
        <v>34</v>
      </c>
      <c r="BC156" s="67"/>
      <c r="BD156" s="480" t="e">
        <f>#REF!</f>
        <v>#REF!</v>
      </c>
    </row>
    <row r="157" spans="1:56" x14ac:dyDescent="0.25">
      <c r="B157" s="594"/>
      <c r="C157" s="591"/>
      <c r="D157" s="490"/>
      <c r="E157" s="490"/>
      <c r="F157" s="490"/>
      <c r="G157" s="435"/>
      <c r="H157" s="435"/>
      <c r="I157" s="69">
        <v>10</v>
      </c>
      <c r="J157" s="444"/>
      <c r="K157" s="71" t="s">
        <v>69</v>
      </c>
      <c r="L157" s="496"/>
      <c r="M157" s="71" t="s">
        <v>69</v>
      </c>
      <c r="N157" s="496"/>
      <c r="O157" s="71" t="s">
        <v>69</v>
      </c>
      <c r="P157" s="496"/>
      <c r="Q157" s="170">
        <v>2.5</v>
      </c>
      <c r="R157" s="170">
        <v>2.5</v>
      </c>
      <c r="S157" s="38">
        <v>44063</v>
      </c>
      <c r="T157" s="530"/>
      <c r="U157" s="42">
        <v>2.5</v>
      </c>
      <c r="V157" s="42">
        <f>U157-Q157</f>
        <v>0</v>
      </c>
      <c r="W157" s="42">
        <f t="shared" si="393"/>
        <v>0</v>
      </c>
      <c r="X157" s="42"/>
      <c r="Y157" s="42"/>
      <c r="Z157" s="42"/>
      <c r="AA157" s="42"/>
      <c r="AB157" s="42"/>
      <c r="AC157" s="42">
        <v>3.2</v>
      </c>
      <c r="AD157" s="94">
        <f t="shared" si="100"/>
        <v>3.2</v>
      </c>
      <c r="AE157" s="94">
        <f t="shared" si="90"/>
        <v>-3.2</v>
      </c>
      <c r="AF157" s="94">
        <f t="shared" si="238"/>
        <v>3.2</v>
      </c>
      <c r="AG157" s="41">
        <v>44421</v>
      </c>
      <c r="AH157" s="543"/>
      <c r="AI157" s="42">
        <v>2.5</v>
      </c>
      <c r="AJ157" s="42">
        <f t="shared" ref="AJ157:AJ162" si="395">AI157-R157</f>
        <v>0</v>
      </c>
      <c r="AK157" s="42">
        <f>AJ157*100/R157</f>
        <v>0</v>
      </c>
      <c r="AL157" s="42" t="s">
        <v>69</v>
      </c>
      <c r="AM157" s="42" t="s">
        <v>69</v>
      </c>
      <c r="AN157" s="42" t="s">
        <v>69</v>
      </c>
      <c r="AO157" s="42" t="s">
        <v>69</v>
      </c>
      <c r="AP157" s="42">
        <v>0.14000000000000001</v>
      </c>
      <c r="AQ157" s="42">
        <f>AP157*100/R157</f>
        <v>5.6000000000000005</v>
      </c>
      <c r="AR157" s="40">
        <f t="shared" si="59"/>
        <v>5.6000000000000005</v>
      </c>
      <c r="AS157" s="40">
        <f t="shared" ref="AS157:AS181" si="396">(AK157-AQ157)</f>
        <v>-5.6000000000000005</v>
      </c>
      <c r="AT157" s="40">
        <f t="shared" ref="AT157:AT182" si="397">MAX(AR157:AS157)</f>
        <v>5.6000000000000005</v>
      </c>
      <c r="AU157" s="43">
        <f t="shared" si="4"/>
        <v>0.98055555555555551</v>
      </c>
      <c r="AV157" s="44">
        <f t="shared" si="102"/>
        <v>2.4000000000000004</v>
      </c>
      <c r="AW157" s="45">
        <f t="shared" si="240"/>
        <v>2.4475920679886691</v>
      </c>
      <c r="AX157" s="46">
        <f t="shared" si="6"/>
        <v>4.085648148148147</v>
      </c>
      <c r="AY157" s="72" t="str">
        <f t="shared" si="7"/>
        <v>DOS AÑOS</v>
      </c>
      <c r="AZ157" s="619"/>
      <c r="BA157" s="440"/>
      <c r="BB157" s="478"/>
      <c r="BC157" s="74"/>
      <c r="BD157" s="481"/>
    </row>
    <row r="158" spans="1:56" x14ac:dyDescent="0.25">
      <c r="B158" s="594"/>
      <c r="C158" s="591"/>
      <c r="D158" s="490"/>
      <c r="E158" s="490"/>
      <c r="F158" s="490"/>
      <c r="G158" s="435"/>
      <c r="H158" s="435"/>
      <c r="I158" s="69">
        <v>10</v>
      </c>
      <c r="J158" s="444"/>
      <c r="K158" s="71" t="s">
        <v>69</v>
      </c>
      <c r="L158" s="496"/>
      <c r="M158" s="71" t="s">
        <v>69</v>
      </c>
      <c r="N158" s="496"/>
      <c r="O158" s="71" t="s">
        <v>69</v>
      </c>
      <c r="P158" s="496"/>
      <c r="Q158" s="37">
        <v>5</v>
      </c>
      <c r="R158" s="178">
        <v>10</v>
      </c>
      <c r="S158" s="38">
        <v>44063</v>
      </c>
      <c r="T158" s="530"/>
      <c r="U158" s="42">
        <v>4.99</v>
      </c>
      <c r="V158" s="42">
        <f>U158-Q158</f>
        <v>-9.9999999999997868E-3</v>
      </c>
      <c r="W158" s="42">
        <f t="shared" si="393"/>
        <v>-0.20040080160320214</v>
      </c>
      <c r="X158" s="42"/>
      <c r="Y158" s="42"/>
      <c r="Z158" s="42"/>
      <c r="AA158" s="42"/>
      <c r="AB158" s="42"/>
      <c r="AC158" s="42">
        <v>1.8</v>
      </c>
      <c r="AD158" s="94">
        <f t="shared" si="100"/>
        <v>1.5995991983967979</v>
      </c>
      <c r="AE158" s="94">
        <f t="shared" si="90"/>
        <v>-2.000400801603202</v>
      </c>
      <c r="AF158" s="94">
        <f t="shared" si="238"/>
        <v>1.5995991983967979</v>
      </c>
      <c r="AG158" s="41">
        <v>44421</v>
      </c>
      <c r="AH158" s="543"/>
      <c r="AI158" s="42">
        <v>10.199999999999999</v>
      </c>
      <c r="AJ158" s="42">
        <f t="shared" si="395"/>
        <v>0.19999999999999929</v>
      </c>
      <c r="AK158" s="42">
        <f>AJ158*100/R158</f>
        <v>1.9999999999999929</v>
      </c>
      <c r="AL158" s="42" t="s">
        <v>69</v>
      </c>
      <c r="AM158" s="42" t="s">
        <v>69</v>
      </c>
      <c r="AN158" s="42" t="s">
        <v>69</v>
      </c>
      <c r="AO158" s="42" t="s">
        <v>69</v>
      </c>
      <c r="AP158" s="42">
        <v>0.45</v>
      </c>
      <c r="AQ158" s="42">
        <f t="shared" ref="AQ158:AQ159" si="398">AP158*100/R158</f>
        <v>4.5</v>
      </c>
      <c r="AR158" s="40">
        <f t="shared" si="59"/>
        <v>4.6999999999999993</v>
      </c>
      <c r="AS158" s="40">
        <f t="shared" si="396"/>
        <v>-2.5000000000000071</v>
      </c>
      <c r="AT158" s="40">
        <f t="shared" si="397"/>
        <v>4.6999999999999993</v>
      </c>
      <c r="AU158" s="43">
        <f t="shared" ref="AU158:AU163" si="399">YEARFRAC(S158,AG158)</f>
        <v>0.98055555555555551</v>
      </c>
      <c r="AV158" s="44">
        <f t="shared" ref="AV158:AV163" si="400">ABS(AT158-AF158)</f>
        <v>3.1004008016032012</v>
      </c>
      <c r="AW158" s="45">
        <f t="shared" ref="AW158:AW163" si="401">(AV158/AU158)</f>
        <v>3.161881837329044</v>
      </c>
      <c r="AX158" s="46">
        <f t="shared" ref="AX158:AX163" si="402">(I158/AW158)</f>
        <v>3.16267353255913</v>
      </c>
      <c r="AY158" s="72" t="str">
        <f t="shared" ref="AY158:AY163" si="403">IF(AX158&lt;=1,"UN AÑO",IF(AX158&gt;=1,"DOS AÑOS"))</f>
        <v>DOS AÑOS</v>
      </c>
      <c r="AZ158" s="619"/>
      <c r="BA158" s="440"/>
      <c r="BB158" s="478"/>
      <c r="BC158" s="74"/>
      <c r="BD158" s="481"/>
    </row>
    <row r="159" spans="1:56" x14ac:dyDescent="0.25">
      <c r="B159" s="594"/>
      <c r="C159" s="591"/>
      <c r="D159" s="490"/>
      <c r="E159" s="490"/>
      <c r="F159" s="490"/>
      <c r="G159" s="435"/>
      <c r="H159" s="435"/>
      <c r="I159" s="69">
        <v>10</v>
      </c>
      <c r="J159" s="444"/>
      <c r="K159" s="71" t="s">
        <v>69</v>
      </c>
      <c r="L159" s="496"/>
      <c r="M159" s="71" t="s">
        <v>69</v>
      </c>
      <c r="N159" s="496"/>
      <c r="O159" s="71" t="s">
        <v>69</v>
      </c>
      <c r="P159" s="496"/>
      <c r="Q159" s="37">
        <v>8</v>
      </c>
      <c r="R159" s="178">
        <v>26</v>
      </c>
      <c r="S159" s="38">
        <v>44063</v>
      </c>
      <c r="T159" s="530"/>
      <c r="U159" s="39">
        <v>8</v>
      </c>
      <c r="V159" s="42">
        <f>U159-Q159</f>
        <v>0</v>
      </c>
      <c r="W159" s="42">
        <f t="shared" si="393"/>
        <v>0</v>
      </c>
      <c r="X159" s="39"/>
      <c r="Y159" s="39"/>
      <c r="Z159" s="39"/>
      <c r="AA159" s="39"/>
      <c r="AB159" s="39"/>
      <c r="AC159" s="39">
        <v>1.5</v>
      </c>
      <c r="AD159" s="40">
        <f t="shared" si="100"/>
        <v>1.5</v>
      </c>
      <c r="AE159" s="40">
        <f t="shared" si="90"/>
        <v>-1.5</v>
      </c>
      <c r="AF159" s="40">
        <f t="shared" si="238"/>
        <v>1.5</v>
      </c>
      <c r="AG159" s="41">
        <v>44421</v>
      </c>
      <c r="AH159" s="543"/>
      <c r="AI159" s="42">
        <v>25.9</v>
      </c>
      <c r="AJ159" s="42">
        <f t="shared" si="395"/>
        <v>-0.10000000000000142</v>
      </c>
      <c r="AK159" s="42">
        <f>AJ159*100/R159</f>
        <v>-0.38461538461539008</v>
      </c>
      <c r="AL159" s="42" t="s">
        <v>69</v>
      </c>
      <c r="AM159" s="42" t="s">
        <v>69</v>
      </c>
      <c r="AN159" s="42" t="s">
        <v>69</v>
      </c>
      <c r="AO159" s="42" t="s">
        <v>69</v>
      </c>
      <c r="AP159" s="42">
        <v>0.12</v>
      </c>
      <c r="AQ159" s="42">
        <f t="shared" si="398"/>
        <v>0.46153846153846156</v>
      </c>
      <c r="AR159" s="40">
        <f t="shared" si="59"/>
        <v>0.36153846153846014</v>
      </c>
      <c r="AS159" s="40">
        <f t="shared" si="396"/>
        <v>-0.84615384615385159</v>
      </c>
      <c r="AT159" s="40">
        <f t="shared" si="397"/>
        <v>0.36153846153846014</v>
      </c>
      <c r="AU159" s="43">
        <f t="shared" si="399"/>
        <v>0.98055555555555551</v>
      </c>
      <c r="AV159" s="44">
        <f t="shared" si="400"/>
        <v>1.1384615384615397</v>
      </c>
      <c r="AW159" s="45">
        <f t="shared" si="401"/>
        <v>1.1610372630202672</v>
      </c>
      <c r="AX159" s="46">
        <f t="shared" si="402"/>
        <v>8.612987987987978</v>
      </c>
      <c r="AY159" s="72" t="str">
        <f t="shared" si="403"/>
        <v>DOS AÑOS</v>
      </c>
      <c r="AZ159" s="619"/>
      <c r="BA159" s="440"/>
      <c r="BB159" s="478"/>
      <c r="BC159" s="119">
        <f>MIN(AX156:AX199)</f>
        <v>1.4122937571014771</v>
      </c>
      <c r="BD159" s="481"/>
    </row>
    <row r="160" spans="1:56" x14ac:dyDescent="0.25">
      <c r="B160" s="594"/>
      <c r="C160" s="591"/>
      <c r="D160" s="490"/>
      <c r="E160" s="490"/>
      <c r="F160" s="490"/>
      <c r="G160" s="435"/>
      <c r="H160" s="435"/>
      <c r="I160" s="69">
        <v>10</v>
      </c>
      <c r="J160" s="444"/>
      <c r="K160" s="71"/>
      <c r="L160" s="496"/>
      <c r="M160" s="71"/>
      <c r="N160" s="496"/>
      <c r="O160" s="71"/>
      <c r="P160" s="496"/>
      <c r="Q160" s="37"/>
      <c r="R160" s="178">
        <v>0</v>
      </c>
      <c r="S160" s="38">
        <v>44063</v>
      </c>
      <c r="T160" s="530"/>
      <c r="U160" s="39"/>
      <c r="V160" s="39"/>
      <c r="W160" s="39"/>
      <c r="X160" s="39"/>
      <c r="Y160" s="39"/>
      <c r="Z160" s="39"/>
      <c r="AA160" s="39"/>
      <c r="AB160" s="39"/>
      <c r="AC160" s="39"/>
      <c r="AD160" s="40"/>
      <c r="AE160" s="40"/>
      <c r="AF160" s="40"/>
      <c r="AG160" s="41">
        <v>44421</v>
      </c>
      <c r="AH160" s="543"/>
      <c r="AI160" s="42">
        <v>0</v>
      </c>
      <c r="AJ160" s="42">
        <f t="shared" si="395"/>
        <v>0</v>
      </c>
      <c r="AK160" s="42">
        <v>0</v>
      </c>
      <c r="AL160" s="42"/>
      <c r="AM160" s="42"/>
      <c r="AN160" s="42"/>
      <c r="AO160" s="42"/>
      <c r="AP160" s="42">
        <v>5.7000000000000002E-2</v>
      </c>
      <c r="AQ160" s="42">
        <v>5.7000000000000002E-2</v>
      </c>
      <c r="AR160" s="40">
        <f t="shared" si="59"/>
        <v>5.7000000000000002E-2</v>
      </c>
      <c r="AS160" s="40">
        <f t="shared" si="396"/>
        <v>-5.7000000000000002E-2</v>
      </c>
      <c r="AT160" s="40">
        <f t="shared" si="397"/>
        <v>5.7000000000000002E-2</v>
      </c>
      <c r="AU160" s="43">
        <f t="shared" si="399"/>
        <v>0.98055555555555551</v>
      </c>
      <c r="AV160" s="44">
        <f t="shared" si="400"/>
        <v>5.7000000000000002E-2</v>
      </c>
      <c r="AW160" s="45">
        <f t="shared" si="401"/>
        <v>5.8130311614730881E-2</v>
      </c>
      <c r="AX160" s="46">
        <f t="shared" si="402"/>
        <v>172.02729044834308</v>
      </c>
      <c r="AY160" s="72" t="str">
        <f t="shared" si="403"/>
        <v>DOS AÑOS</v>
      </c>
      <c r="AZ160" s="619"/>
      <c r="BA160" s="440"/>
      <c r="BB160" s="478"/>
      <c r="BC160" s="119"/>
      <c r="BD160" s="481"/>
    </row>
    <row r="161" spans="2:56" x14ac:dyDescent="0.25">
      <c r="B161" s="594"/>
      <c r="C161" s="591"/>
      <c r="D161" s="490"/>
      <c r="E161" s="490"/>
      <c r="F161" s="490"/>
      <c r="G161" s="435"/>
      <c r="H161" s="435"/>
      <c r="I161" s="69">
        <v>10</v>
      </c>
      <c r="J161" s="444"/>
      <c r="K161" s="71"/>
      <c r="L161" s="496"/>
      <c r="M161" s="71"/>
      <c r="N161" s="496"/>
      <c r="O161" s="71"/>
      <c r="P161" s="496"/>
      <c r="Q161" s="170">
        <v>28</v>
      </c>
      <c r="R161" s="178">
        <v>56</v>
      </c>
      <c r="S161" s="38">
        <v>44063</v>
      </c>
      <c r="T161" s="530"/>
      <c r="U161" s="42">
        <v>27.3</v>
      </c>
      <c r="V161" s="42">
        <f>U161-Q161</f>
        <v>-0.69999999999999929</v>
      </c>
      <c r="W161" s="42">
        <f t="shared" ref="W161:W162" si="404">V161*100/U161</f>
        <v>-2.5641025641025617</v>
      </c>
      <c r="X161" s="42"/>
      <c r="Y161" s="42"/>
      <c r="Z161" s="42"/>
      <c r="AA161" s="42"/>
      <c r="AB161" s="42"/>
      <c r="AC161" s="42">
        <v>3.9</v>
      </c>
      <c r="AD161" s="94">
        <f t="shared" ref="AD161:AD167" si="405">(W161+AC161)</f>
        <v>1.3358974358974383</v>
      </c>
      <c r="AE161" s="94">
        <f t="shared" si="90"/>
        <v>-6.4641025641025616</v>
      </c>
      <c r="AF161" s="94">
        <f t="shared" si="238"/>
        <v>1.3358974358974383</v>
      </c>
      <c r="AG161" s="41">
        <v>44421</v>
      </c>
      <c r="AH161" s="543"/>
      <c r="AI161" s="42">
        <v>55.4</v>
      </c>
      <c r="AJ161" s="42">
        <f t="shared" si="395"/>
        <v>-0.60000000000000142</v>
      </c>
      <c r="AK161" s="42">
        <f>AJ161*100/R161</f>
        <v>-1.0714285714285741</v>
      </c>
      <c r="AL161" s="42"/>
      <c r="AM161" s="42"/>
      <c r="AN161" s="42"/>
      <c r="AO161" s="42"/>
      <c r="AP161" s="42">
        <v>2.4</v>
      </c>
      <c r="AQ161" s="42">
        <f>AP161*100/R161</f>
        <v>4.2857142857142856</v>
      </c>
      <c r="AR161" s="40">
        <f t="shared" si="59"/>
        <v>3.6857142857142842</v>
      </c>
      <c r="AS161" s="40">
        <f t="shared" si="396"/>
        <v>-5.3571428571428594</v>
      </c>
      <c r="AT161" s="40">
        <f t="shared" si="397"/>
        <v>3.6857142857142842</v>
      </c>
      <c r="AU161" s="43">
        <f t="shared" si="399"/>
        <v>0.98055555555555551</v>
      </c>
      <c r="AV161" s="44">
        <f t="shared" si="400"/>
        <v>2.3498168498168459</v>
      </c>
      <c r="AW161" s="45">
        <f t="shared" si="401"/>
        <v>2.3964137845157638</v>
      </c>
      <c r="AX161" s="46">
        <f t="shared" si="402"/>
        <v>4.1729020524811702</v>
      </c>
      <c r="AY161" s="72" t="str">
        <f t="shared" si="403"/>
        <v>DOS AÑOS</v>
      </c>
      <c r="AZ161" s="619"/>
      <c r="BA161" s="440"/>
      <c r="BB161" s="478"/>
      <c r="BC161" s="119"/>
      <c r="BD161" s="481"/>
    </row>
    <row r="162" spans="2:56" x14ac:dyDescent="0.25">
      <c r="B162" s="594"/>
      <c r="C162" s="591"/>
      <c r="D162" s="490"/>
      <c r="E162" s="490"/>
      <c r="F162" s="490"/>
      <c r="G162" s="435"/>
      <c r="H162" s="435"/>
      <c r="I162" s="69">
        <v>10</v>
      </c>
      <c r="J162" s="444"/>
      <c r="K162" s="71"/>
      <c r="L162" s="496"/>
      <c r="M162" s="71"/>
      <c r="N162" s="496"/>
      <c r="O162" s="71"/>
      <c r="P162" s="496"/>
      <c r="Q162" s="178">
        <v>88</v>
      </c>
      <c r="R162" s="178">
        <v>90</v>
      </c>
      <c r="S162" s="38">
        <v>44063</v>
      </c>
      <c r="T162" s="530"/>
      <c r="U162" s="42">
        <v>88.1</v>
      </c>
      <c r="V162" s="42">
        <f>U162-Q162</f>
        <v>9.9999999999994316E-2</v>
      </c>
      <c r="W162" s="42">
        <f t="shared" si="404"/>
        <v>0.11350737797956223</v>
      </c>
      <c r="X162" s="42"/>
      <c r="Y162" s="42"/>
      <c r="Z162" s="42"/>
      <c r="AA162" s="42"/>
      <c r="AB162" s="42"/>
      <c r="AC162" s="42">
        <v>4.4000000000000004</v>
      </c>
      <c r="AD162" s="94">
        <f t="shared" si="405"/>
        <v>4.5135073779795629</v>
      </c>
      <c r="AE162" s="94">
        <f t="shared" si="90"/>
        <v>-4.2864926220204378</v>
      </c>
      <c r="AF162" s="94">
        <f t="shared" si="238"/>
        <v>4.5135073779795629</v>
      </c>
      <c r="AG162" s="41">
        <v>44421</v>
      </c>
      <c r="AH162" s="543"/>
      <c r="AI162" s="42">
        <v>88.3</v>
      </c>
      <c r="AJ162" s="42">
        <f t="shared" si="395"/>
        <v>-1.7000000000000028</v>
      </c>
      <c r="AK162" s="42">
        <f>AJ162*100/R162</f>
        <v>-1.8888888888888919</v>
      </c>
      <c r="AL162" s="42"/>
      <c r="AM162" s="42"/>
      <c r="AN162" s="42"/>
      <c r="AO162" s="42"/>
      <c r="AP162" s="42">
        <v>3.8</v>
      </c>
      <c r="AQ162" s="42">
        <f>AP162*100/R162</f>
        <v>4.2222222222222223</v>
      </c>
      <c r="AR162" s="40">
        <f t="shared" si="59"/>
        <v>2.5222222222222195</v>
      </c>
      <c r="AS162" s="40">
        <f t="shared" si="396"/>
        <v>-6.1111111111111143</v>
      </c>
      <c r="AT162" s="40">
        <f t="shared" si="397"/>
        <v>2.5222222222222195</v>
      </c>
      <c r="AU162" s="43">
        <f t="shared" si="399"/>
        <v>0.98055555555555551</v>
      </c>
      <c r="AV162" s="44">
        <f t="shared" si="400"/>
        <v>1.9912851557573434</v>
      </c>
      <c r="AW162" s="45">
        <f t="shared" si="401"/>
        <v>2.030772396806356</v>
      </c>
      <c r="AX162" s="46">
        <f t="shared" si="402"/>
        <v>4.9242347471958219</v>
      </c>
      <c r="AY162" s="72" t="str">
        <f t="shared" si="403"/>
        <v>DOS AÑOS</v>
      </c>
      <c r="AZ162" s="619"/>
      <c r="BA162" s="440"/>
      <c r="BB162" s="478"/>
      <c r="BC162" s="119"/>
      <c r="BD162" s="481"/>
    </row>
    <row r="163" spans="2:56" x14ac:dyDescent="0.25">
      <c r="B163" s="594"/>
      <c r="C163" s="591" t="s">
        <v>13</v>
      </c>
      <c r="D163" s="490"/>
      <c r="E163" s="490"/>
      <c r="F163" s="490"/>
      <c r="G163" s="537">
        <v>1E-3</v>
      </c>
      <c r="H163" s="435" t="s">
        <v>18</v>
      </c>
      <c r="I163" s="69">
        <v>10</v>
      </c>
      <c r="J163" s="444"/>
      <c r="K163" s="71" t="s">
        <v>69</v>
      </c>
      <c r="L163" s="496"/>
      <c r="M163" s="71" t="s">
        <v>69</v>
      </c>
      <c r="N163" s="496"/>
      <c r="O163" s="71" t="s">
        <v>69</v>
      </c>
      <c r="P163" s="496"/>
      <c r="Q163" s="170">
        <v>0.01</v>
      </c>
      <c r="R163" s="92">
        <v>0</v>
      </c>
      <c r="S163" s="38">
        <v>44063</v>
      </c>
      <c r="T163" s="530"/>
      <c r="U163" s="39">
        <v>0</v>
      </c>
      <c r="V163" s="337">
        <f>Q163-U163</f>
        <v>0.01</v>
      </c>
      <c r="W163" s="337">
        <f>R163-V163</f>
        <v>-0.01</v>
      </c>
      <c r="X163" s="39"/>
      <c r="Y163" s="39"/>
      <c r="Z163" s="39"/>
      <c r="AA163" s="39"/>
      <c r="AB163" s="39"/>
      <c r="AC163" s="39">
        <v>7.0000000000000007E-2</v>
      </c>
      <c r="AD163" s="40">
        <f t="shared" si="405"/>
        <v>6.0000000000000005E-2</v>
      </c>
      <c r="AE163" s="40">
        <f t="shared" si="90"/>
        <v>-0.08</v>
      </c>
      <c r="AF163" s="94">
        <f t="shared" si="238"/>
        <v>6.0000000000000005E-2</v>
      </c>
      <c r="AG163" s="41">
        <v>44421</v>
      </c>
      <c r="AH163" s="543"/>
      <c r="AI163" s="42">
        <v>0</v>
      </c>
      <c r="AJ163" s="42">
        <f>AI163-R163</f>
        <v>0</v>
      </c>
      <c r="AK163" s="42">
        <v>0</v>
      </c>
      <c r="AL163" s="42" t="s">
        <v>69</v>
      </c>
      <c r="AM163" s="42" t="s">
        <v>69</v>
      </c>
      <c r="AN163" s="42" t="s">
        <v>69</v>
      </c>
      <c r="AO163" s="42" t="s">
        <v>69</v>
      </c>
      <c r="AP163" s="42" t="s">
        <v>69</v>
      </c>
      <c r="AQ163" s="42">
        <v>5.8000000000000003E-2</v>
      </c>
      <c r="AR163" s="40">
        <f>(AK163+AQ163)</f>
        <v>5.8000000000000003E-2</v>
      </c>
      <c r="AS163" s="40">
        <f>(AK163-AQ163)</f>
        <v>-5.8000000000000003E-2</v>
      </c>
      <c r="AT163" s="40">
        <f t="shared" si="397"/>
        <v>5.8000000000000003E-2</v>
      </c>
      <c r="AU163" s="43">
        <f t="shared" si="399"/>
        <v>0.98055555555555551</v>
      </c>
      <c r="AV163" s="44">
        <f t="shared" si="400"/>
        <v>2.0000000000000018E-3</v>
      </c>
      <c r="AW163" s="45">
        <f t="shared" si="401"/>
        <v>2.0396600566572258E-3</v>
      </c>
      <c r="AX163" s="46">
        <f t="shared" si="402"/>
        <v>4902.7777777777728</v>
      </c>
      <c r="AY163" s="72" t="str">
        <f t="shared" si="403"/>
        <v>DOS AÑOS</v>
      </c>
      <c r="AZ163" s="619"/>
      <c r="BA163" s="440"/>
      <c r="BB163" s="478"/>
      <c r="BC163" s="74"/>
      <c r="BD163" s="481"/>
    </row>
    <row r="164" spans="2:56" x14ac:dyDescent="0.25">
      <c r="B164" s="594"/>
      <c r="C164" s="591"/>
      <c r="D164" s="490"/>
      <c r="E164" s="490"/>
      <c r="F164" s="490"/>
      <c r="G164" s="537"/>
      <c r="H164" s="435"/>
      <c r="I164" s="336">
        <v>10</v>
      </c>
      <c r="J164" s="444"/>
      <c r="K164" s="335"/>
      <c r="L164" s="496"/>
      <c r="M164" s="335"/>
      <c r="N164" s="496"/>
      <c r="O164" s="335"/>
      <c r="P164" s="496"/>
      <c r="Q164" s="170">
        <v>1.01</v>
      </c>
      <c r="R164" s="92">
        <v>1.002</v>
      </c>
      <c r="S164" s="38">
        <v>44063</v>
      </c>
      <c r="T164" s="530"/>
      <c r="U164" s="39">
        <v>1</v>
      </c>
      <c r="V164" s="337">
        <f t="shared" ref="V164:V167" si="406">Q164-U164</f>
        <v>1.0000000000000009E-2</v>
      </c>
      <c r="W164" s="39">
        <f>V164*100/Q164</f>
        <v>0.99009900990099098</v>
      </c>
      <c r="X164" s="39"/>
      <c r="Y164" s="39"/>
      <c r="Z164" s="39"/>
      <c r="AA164" s="39"/>
      <c r="AB164" s="39"/>
      <c r="AC164" s="39">
        <v>7.0000000000000007E-2</v>
      </c>
      <c r="AD164" s="40">
        <f t="shared" si="405"/>
        <v>1.060099009900991</v>
      </c>
      <c r="AE164" s="40">
        <f t="shared" si="90"/>
        <v>0.92009900990099092</v>
      </c>
      <c r="AF164" s="94">
        <f t="shared" si="238"/>
        <v>1.060099009900991</v>
      </c>
      <c r="AG164" s="41">
        <v>44421</v>
      </c>
      <c r="AH164" s="543"/>
      <c r="AI164" s="42">
        <v>1</v>
      </c>
      <c r="AJ164" s="42">
        <f t="shared" ref="AJ164:AJ174" si="407">AI164-R164</f>
        <v>-2.0000000000000018E-3</v>
      </c>
      <c r="AK164" s="42">
        <f>AJ164*100/R164</f>
        <v>-0.19960079840319378</v>
      </c>
      <c r="AL164" s="42"/>
      <c r="AM164" s="42"/>
      <c r="AN164" s="42"/>
      <c r="AO164" s="42"/>
      <c r="AP164" s="42"/>
      <c r="AQ164" s="42">
        <v>5.8000000000000003E-2</v>
      </c>
      <c r="AR164" s="40">
        <f t="shared" ref="AR164:AR174" si="408">(AK164+AQ164)</f>
        <v>-0.14160079840319378</v>
      </c>
      <c r="AS164" s="40">
        <f t="shared" ref="AS164:AS174" si="409">(AK164-AQ164)</f>
        <v>-0.25760079840319378</v>
      </c>
      <c r="AT164" s="40">
        <f t="shared" ref="AT164:AT174" si="410">MAX(AR164:AS164)</f>
        <v>-0.14160079840319378</v>
      </c>
      <c r="AU164" s="43">
        <f t="shared" ref="AU164:AU174" si="411">YEARFRAC(S164,AG164)</f>
        <v>0.98055555555555551</v>
      </c>
      <c r="AV164" s="44">
        <f t="shared" ref="AV164:AV174" si="412">ABS(AT164-AF164)</f>
        <v>1.2016998083041848</v>
      </c>
      <c r="AW164" s="45">
        <f t="shared" ref="AW164:AW174" si="413">(AV164/AU164)</f>
        <v>1.2255295495453442</v>
      </c>
      <c r="AX164" s="46">
        <f t="shared" ref="AX164:AX174" si="414">(I164/AW164)</f>
        <v>8.1597379709937403</v>
      </c>
      <c r="AY164" s="72" t="str">
        <f t="shared" ref="AY164:AY174" si="415">IF(AX164&lt;=1,"UN AÑO",IF(AX164&gt;=1,"DOS AÑOS"))</f>
        <v>DOS AÑOS</v>
      </c>
      <c r="AZ164" s="619"/>
      <c r="BA164" s="440"/>
      <c r="BB164" s="478"/>
      <c r="BC164" s="74"/>
      <c r="BD164" s="481"/>
    </row>
    <row r="165" spans="2:56" x14ac:dyDescent="0.25">
      <c r="B165" s="594"/>
      <c r="C165" s="591"/>
      <c r="D165" s="490"/>
      <c r="E165" s="490"/>
      <c r="F165" s="490"/>
      <c r="G165" s="537"/>
      <c r="H165" s="435"/>
      <c r="I165" s="336">
        <v>10</v>
      </c>
      <c r="J165" s="444"/>
      <c r="K165" s="335"/>
      <c r="L165" s="496"/>
      <c r="M165" s="335"/>
      <c r="N165" s="496"/>
      <c r="O165" s="335"/>
      <c r="P165" s="496"/>
      <c r="Q165" s="170">
        <v>2.11</v>
      </c>
      <c r="R165" s="92">
        <v>2.0070000000000001</v>
      </c>
      <c r="S165" s="38">
        <v>44063</v>
      </c>
      <c r="T165" s="530"/>
      <c r="U165" s="39">
        <v>2</v>
      </c>
      <c r="V165" s="337">
        <f t="shared" si="406"/>
        <v>0.10999999999999988</v>
      </c>
      <c r="W165" s="39">
        <f>V165*100/Q165</f>
        <v>5.2132701421800896</v>
      </c>
      <c r="X165" s="39"/>
      <c r="Y165" s="39"/>
      <c r="Z165" s="39"/>
      <c r="AA165" s="39"/>
      <c r="AB165" s="39"/>
      <c r="AC165" s="39">
        <v>7.0000000000000007E-2</v>
      </c>
      <c r="AD165" s="40">
        <f t="shared" si="405"/>
        <v>5.2832701421800898</v>
      </c>
      <c r="AE165" s="40">
        <f t="shared" si="90"/>
        <v>5.1432701421800893</v>
      </c>
      <c r="AF165" s="94">
        <f t="shared" si="238"/>
        <v>5.2832701421800898</v>
      </c>
      <c r="AG165" s="41">
        <v>44421</v>
      </c>
      <c r="AH165" s="543"/>
      <c r="AI165" s="42">
        <v>2</v>
      </c>
      <c r="AJ165" s="42">
        <f t="shared" si="407"/>
        <v>-7.0000000000001172E-3</v>
      </c>
      <c r="AK165" s="42">
        <f t="shared" ref="AK165:AK174" si="416">AJ165*100/R165</f>
        <v>-0.34877927254609453</v>
      </c>
      <c r="AL165" s="42"/>
      <c r="AM165" s="42"/>
      <c r="AN165" s="42"/>
      <c r="AO165" s="42"/>
      <c r="AP165" s="42"/>
      <c r="AQ165" s="42">
        <v>5.8000000000000003E-2</v>
      </c>
      <c r="AR165" s="40">
        <f t="shared" si="408"/>
        <v>-0.29077927254609454</v>
      </c>
      <c r="AS165" s="40">
        <f t="shared" si="409"/>
        <v>-0.40677927254609453</v>
      </c>
      <c r="AT165" s="40">
        <f t="shared" si="410"/>
        <v>-0.29077927254609454</v>
      </c>
      <c r="AU165" s="43">
        <f t="shared" si="411"/>
        <v>0.98055555555555551</v>
      </c>
      <c r="AV165" s="44">
        <f t="shared" si="412"/>
        <v>5.5740494147261845</v>
      </c>
      <c r="AW165" s="45">
        <f t="shared" si="413"/>
        <v>5.6845829725252877</v>
      </c>
      <c r="AX165" s="46">
        <f t="shared" si="414"/>
        <v>1.7591439949653256</v>
      </c>
      <c r="AY165" s="72" t="str">
        <f t="shared" si="415"/>
        <v>DOS AÑOS</v>
      </c>
      <c r="AZ165" s="619"/>
      <c r="BA165" s="440"/>
      <c r="BB165" s="478"/>
      <c r="BC165" s="74"/>
      <c r="BD165" s="481"/>
    </row>
    <row r="166" spans="2:56" x14ac:dyDescent="0.25">
      <c r="B166" s="594"/>
      <c r="C166" s="591"/>
      <c r="D166" s="490"/>
      <c r="E166" s="490"/>
      <c r="F166" s="490"/>
      <c r="G166" s="537"/>
      <c r="H166" s="435"/>
      <c r="I166" s="336">
        <v>10</v>
      </c>
      <c r="J166" s="444"/>
      <c r="K166" s="335"/>
      <c r="L166" s="496"/>
      <c r="M166" s="335"/>
      <c r="N166" s="496"/>
      <c r="O166" s="335"/>
      <c r="P166" s="496"/>
      <c r="Q166" s="170">
        <v>2.98</v>
      </c>
      <c r="R166" s="92">
        <v>3.0089999999999999</v>
      </c>
      <c r="S166" s="38">
        <v>44063</v>
      </c>
      <c r="T166" s="530"/>
      <c r="U166" s="39">
        <v>3</v>
      </c>
      <c r="V166" s="337">
        <f t="shared" si="406"/>
        <v>-2.0000000000000018E-2</v>
      </c>
      <c r="W166" s="39">
        <f t="shared" ref="W166:W167" si="417">V166*100/Q166</f>
        <v>-0.67114093959731602</v>
      </c>
      <c r="X166" s="39"/>
      <c r="Y166" s="39"/>
      <c r="Z166" s="39"/>
      <c r="AA166" s="39"/>
      <c r="AB166" s="39"/>
      <c r="AC166" s="39">
        <v>7.0000000000000007E-2</v>
      </c>
      <c r="AD166" s="40">
        <f t="shared" si="405"/>
        <v>-0.60114093959731596</v>
      </c>
      <c r="AE166" s="40">
        <f t="shared" si="90"/>
        <v>-0.74114093959731608</v>
      </c>
      <c r="AF166" s="94">
        <f t="shared" si="238"/>
        <v>-0.60114093959731596</v>
      </c>
      <c r="AG166" s="41">
        <v>44421</v>
      </c>
      <c r="AH166" s="543"/>
      <c r="AI166" s="42">
        <v>3</v>
      </c>
      <c r="AJ166" s="42">
        <f t="shared" si="407"/>
        <v>-8.999999999999897E-3</v>
      </c>
      <c r="AK166" s="42">
        <f t="shared" si="416"/>
        <v>-0.2991026919242239</v>
      </c>
      <c r="AL166" s="42"/>
      <c r="AM166" s="42"/>
      <c r="AN166" s="42"/>
      <c r="AO166" s="42"/>
      <c r="AP166" s="42"/>
      <c r="AQ166" s="42">
        <v>5.8000000000000003E-2</v>
      </c>
      <c r="AR166" s="40">
        <f t="shared" si="408"/>
        <v>-0.2411026919242239</v>
      </c>
      <c r="AS166" s="40">
        <f t="shared" si="409"/>
        <v>-0.35710269192422389</v>
      </c>
      <c r="AT166" s="40">
        <f t="shared" si="410"/>
        <v>-0.2411026919242239</v>
      </c>
      <c r="AU166" s="43">
        <f t="shared" si="411"/>
        <v>0.98055555555555551</v>
      </c>
      <c r="AV166" s="44">
        <f t="shared" si="412"/>
        <v>0.36003824767309206</v>
      </c>
      <c r="AW166" s="45">
        <f t="shared" si="413"/>
        <v>0.36717781632383328</v>
      </c>
      <c r="AX166" s="46">
        <f t="shared" si="414"/>
        <v>27.234760803687763</v>
      </c>
      <c r="AY166" s="72" t="str">
        <f t="shared" si="415"/>
        <v>DOS AÑOS</v>
      </c>
      <c r="AZ166" s="619"/>
      <c r="BA166" s="440"/>
      <c r="BB166" s="478"/>
      <c r="BC166" s="74"/>
      <c r="BD166" s="481"/>
    </row>
    <row r="167" spans="2:56" x14ac:dyDescent="0.25">
      <c r="B167" s="594"/>
      <c r="C167" s="591"/>
      <c r="D167" s="490"/>
      <c r="E167" s="490"/>
      <c r="F167" s="490"/>
      <c r="G167" s="537"/>
      <c r="H167" s="435"/>
      <c r="I167" s="336">
        <v>10</v>
      </c>
      <c r="J167" s="444"/>
      <c r="K167" s="335"/>
      <c r="L167" s="496"/>
      <c r="M167" s="335"/>
      <c r="N167" s="496"/>
      <c r="O167" s="335"/>
      <c r="P167" s="496"/>
      <c r="Q167" s="170">
        <v>4.03</v>
      </c>
      <c r="R167" s="92">
        <v>4.0129999999999999</v>
      </c>
      <c r="S167" s="38">
        <v>44063</v>
      </c>
      <c r="T167" s="530"/>
      <c r="U167" s="39">
        <v>4</v>
      </c>
      <c r="V167" s="337">
        <f t="shared" si="406"/>
        <v>3.0000000000000249E-2</v>
      </c>
      <c r="W167" s="39">
        <f t="shared" si="417"/>
        <v>0.74441687344913765</v>
      </c>
      <c r="X167" s="39"/>
      <c r="Y167" s="39"/>
      <c r="Z167" s="39"/>
      <c r="AA167" s="39"/>
      <c r="AB167" s="39"/>
      <c r="AC167" s="39">
        <v>7.0000000000000007E-2</v>
      </c>
      <c r="AD167" s="40">
        <f t="shared" si="405"/>
        <v>0.81441687344913771</v>
      </c>
      <c r="AE167" s="40">
        <f t="shared" si="90"/>
        <v>0.67441687344913759</v>
      </c>
      <c r="AF167" s="94">
        <f t="shared" si="238"/>
        <v>0.81441687344913771</v>
      </c>
      <c r="AG167" s="41">
        <v>44421</v>
      </c>
      <c r="AH167" s="543"/>
      <c r="AI167" s="42">
        <v>4</v>
      </c>
      <c r="AJ167" s="42">
        <f t="shared" si="407"/>
        <v>-1.2999999999999901E-2</v>
      </c>
      <c r="AK167" s="42">
        <f t="shared" si="416"/>
        <v>-0.32394717169199855</v>
      </c>
      <c r="AL167" s="42"/>
      <c r="AM167" s="42"/>
      <c r="AN167" s="42"/>
      <c r="AO167" s="42"/>
      <c r="AP167" s="42"/>
      <c r="AQ167" s="42">
        <v>5.8999999999999997E-2</v>
      </c>
      <c r="AR167" s="40">
        <f t="shared" si="408"/>
        <v>-0.26494717169199855</v>
      </c>
      <c r="AS167" s="40">
        <f t="shared" si="409"/>
        <v>-0.38294717169199854</v>
      </c>
      <c r="AT167" s="40">
        <f t="shared" si="410"/>
        <v>-0.26494717169199855</v>
      </c>
      <c r="AU167" s="43">
        <f t="shared" si="411"/>
        <v>0.98055555555555551</v>
      </c>
      <c r="AV167" s="44">
        <f t="shared" si="412"/>
        <v>1.0793640451411362</v>
      </c>
      <c r="AW167" s="45">
        <f t="shared" si="413"/>
        <v>1.10076786473317</v>
      </c>
      <c r="AX167" s="46">
        <f t="shared" si="414"/>
        <v>9.0845675281627472</v>
      </c>
      <c r="AY167" s="72" t="str">
        <f t="shared" si="415"/>
        <v>DOS AÑOS</v>
      </c>
      <c r="AZ167" s="619"/>
      <c r="BA167" s="440"/>
      <c r="BB167" s="478"/>
      <c r="BC167" s="74"/>
      <c r="BD167" s="481"/>
    </row>
    <row r="168" spans="2:56" x14ac:dyDescent="0.25">
      <c r="B168" s="594"/>
      <c r="C168" s="591"/>
      <c r="D168" s="490"/>
      <c r="E168" s="490"/>
      <c r="F168" s="490"/>
      <c r="G168" s="537"/>
      <c r="H168" s="435"/>
      <c r="I168" s="336">
        <v>10</v>
      </c>
      <c r="J168" s="444"/>
      <c r="K168" s="335"/>
      <c r="L168" s="496"/>
      <c r="M168" s="335"/>
      <c r="N168" s="496"/>
      <c r="O168" s="335"/>
      <c r="P168" s="496"/>
      <c r="Q168" s="170"/>
      <c r="R168" s="92">
        <v>6.0270000000000001</v>
      </c>
      <c r="S168" s="38"/>
      <c r="T168" s="530"/>
      <c r="U168" s="39"/>
      <c r="V168" s="39"/>
      <c r="W168" s="39"/>
      <c r="X168" s="39"/>
      <c r="Y168" s="39"/>
      <c r="Z168" s="39"/>
      <c r="AA168" s="39"/>
      <c r="AB168" s="39"/>
      <c r="AC168" s="39"/>
      <c r="AD168" s="40"/>
      <c r="AE168" s="40"/>
      <c r="AF168" s="94"/>
      <c r="AG168" s="41">
        <v>44421</v>
      </c>
      <c r="AH168" s="543"/>
      <c r="AI168" s="42">
        <v>6</v>
      </c>
      <c r="AJ168" s="42">
        <f t="shared" si="407"/>
        <v>-2.7000000000000135E-2</v>
      </c>
      <c r="AK168" s="42">
        <f t="shared" si="416"/>
        <v>-0.44798407167745369</v>
      </c>
      <c r="AL168" s="42"/>
      <c r="AM168" s="42"/>
      <c r="AN168" s="42"/>
      <c r="AO168" s="42"/>
      <c r="AP168" s="42"/>
      <c r="AQ168" s="42">
        <v>6.3E-2</v>
      </c>
      <c r="AR168" s="40">
        <f t="shared" si="408"/>
        <v>-0.38498407167745369</v>
      </c>
      <c r="AS168" s="40">
        <f t="shared" si="409"/>
        <v>-0.51098407167745363</v>
      </c>
      <c r="AT168" s="40">
        <f t="shared" si="410"/>
        <v>-0.38498407167745369</v>
      </c>
      <c r="AU168" s="43">
        <f t="shared" si="411"/>
        <v>121.61944444444444</v>
      </c>
      <c r="AV168" s="44">
        <f t="shared" si="412"/>
        <v>0.38498407167745369</v>
      </c>
      <c r="AW168" s="45">
        <f t="shared" si="413"/>
        <v>3.1654812553704253E-3</v>
      </c>
      <c r="AX168" s="46">
        <f t="shared" si="414"/>
        <v>3159.0773071343929</v>
      </c>
      <c r="AY168" s="72" t="str">
        <f t="shared" si="415"/>
        <v>DOS AÑOS</v>
      </c>
      <c r="AZ168" s="619"/>
      <c r="BA168" s="440"/>
      <c r="BB168" s="478"/>
      <c r="BC168" s="74"/>
      <c r="BD168" s="481"/>
    </row>
    <row r="169" spans="2:56" x14ac:dyDescent="0.25">
      <c r="B169" s="594"/>
      <c r="C169" s="591"/>
      <c r="D169" s="490"/>
      <c r="E169" s="490"/>
      <c r="F169" s="490"/>
      <c r="G169" s="537"/>
      <c r="H169" s="435"/>
      <c r="I169" s="336">
        <v>10</v>
      </c>
      <c r="J169" s="444"/>
      <c r="K169" s="335"/>
      <c r="L169" s="496"/>
      <c r="M169" s="335"/>
      <c r="N169" s="496"/>
      <c r="O169" s="335"/>
      <c r="P169" s="496"/>
      <c r="Q169" s="170"/>
      <c r="R169" s="92">
        <v>0</v>
      </c>
      <c r="S169" s="38"/>
      <c r="T169" s="530"/>
      <c r="U169" s="39"/>
      <c r="V169" s="39"/>
      <c r="W169" s="39"/>
      <c r="X169" s="39"/>
      <c r="Y169" s="39"/>
      <c r="Z169" s="39"/>
      <c r="AA169" s="39"/>
      <c r="AB169" s="39"/>
      <c r="AC169" s="39"/>
      <c r="AD169" s="40"/>
      <c r="AE169" s="40"/>
      <c r="AF169" s="94"/>
      <c r="AG169" s="41">
        <v>44421</v>
      </c>
      <c r="AH169" s="543"/>
      <c r="AI169" s="42">
        <v>0</v>
      </c>
      <c r="AJ169" s="42">
        <f t="shared" si="407"/>
        <v>0</v>
      </c>
      <c r="AK169" s="42">
        <v>0</v>
      </c>
      <c r="AL169" s="42"/>
      <c r="AM169" s="42"/>
      <c r="AN169" s="42"/>
      <c r="AO169" s="42"/>
      <c r="AP169" s="42"/>
      <c r="AQ169" s="42">
        <v>5.8000000000000003E-2</v>
      </c>
      <c r="AR169" s="40">
        <f t="shared" si="408"/>
        <v>5.8000000000000003E-2</v>
      </c>
      <c r="AS169" s="40">
        <f t="shared" si="409"/>
        <v>-5.8000000000000003E-2</v>
      </c>
      <c r="AT169" s="40">
        <f t="shared" si="410"/>
        <v>5.8000000000000003E-2</v>
      </c>
      <c r="AU169" s="43">
        <f t="shared" si="411"/>
        <v>121.61944444444444</v>
      </c>
      <c r="AV169" s="44">
        <f t="shared" si="412"/>
        <v>5.8000000000000003E-2</v>
      </c>
      <c r="AW169" s="45">
        <f t="shared" si="413"/>
        <v>4.7689742594157552E-4</v>
      </c>
      <c r="AX169" s="46">
        <f t="shared" si="414"/>
        <v>20968.869731800765</v>
      </c>
      <c r="AY169" s="72" t="str">
        <f t="shared" si="415"/>
        <v>DOS AÑOS</v>
      </c>
      <c r="AZ169" s="619"/>
      <c r="BA169" s="440"/>
      <c r="BB169" s="478"/>
      <c r="BC169" s="74"/>
      <c r="BD169" s="481"/>
    </row>
    <row r="170" spans="2:56" x14ac:dyDescent="0.25">
      <c r="B170" s="594"/>
      <c r="C170" s="591"/>
      <c r="D170" s="490"/>
      <c r="E170" s="490"/>
      <c r="F170" s="490"/>
      <c r="G170" s="537"/>
      <c r="H170" s="435"/>
      <c r="I170" s="336">
        <v>10</v>
      </c>
      <c r="J170" s="444"/>
      <c r="K170" s="335"/>
      <c r="L170" s="496"/>
      <c r="M170" s="335"/>
      <c r="N170" s="496"/>
      <c r="O170" s="335"/>
      <c r="P170" s="496"/>
      <c r="Q170" s="170"/>
      <c r="R170" s="92">
        <v>-1.002</v>
      </c>
      <c r="S170" s="38"/>
      <c r="T170" s="530"/>
      <c r="U170" s="39"/>
      <c r="V170" s="39"/>
      <c r="W170" s="39"/>
      <c r="X170" s="39"/>
      <c r="Y170" s="39"/>
      <c r="Z170" s="39"/>
      <c r="AA170" s="39"/>
      <c r="AB170" s="39"/>
      <c r="AC170" s="39"/>
      <c r="AD170" s="40"/>
      <c r="AE170" s="40"/>
      <c r="AF170" s="94"/>
      <c r="AG170" s="41">
        <v>44421</v>
      </c>
      <c r="AH170" s="543"/>
      <c r="AI170" s="42">
        <v>-1</v>
      </c>
      <c r="AJ170" s="42">
        <f t="shared" si="407"/>
        <v>2.0000000000000018E-3</v>
      </c>
      <c r="AK170" s="42">
        <f t="shared" si="416"/>
        <v>-0.19960079840319378</v>
      </c>
      <c r="AL170" s="42"/>
      <c r="AM170" s="42"/>
      <c r="AN170" s="42"/>
      <c r="AO170" s="42"/>
      <c r="AP170" s="42"/>
      <c r="AQ170" s="42">
        <v>5.8000000000000003E-2</v>
      </c>
      <c r="AR170" s="40">
        <f t="shared" si="408"/>
        <v>-0.14160079840319378</v>
      </c>
      <c r="AS170" s="40">
        <f t="shared" si="409"/>
        <v>-0.25760079840319378</v>
      </c>
      <c r="AT170" s="40">
        <f t="shared" si="410"/>
        <v>-0.14160079840319378</v>
      </c>
      <c r="AU170" s="43">
        <f t="shared" si="411"/>
        <v>121.61944444444444</v>
      </c>
      <c r="AV170" s="44">
        <f t="shared" si="412"/>
        <v>0.14160079840319378</v>
      </c>
      <c r="AW170" s="45">
        <f t="shared" si="413"/>
        <v>1.1642940736164668E-3</v>
      </c>
      <c r="AX170" s="46">
        <f t="shared" si="414"/>
        <v>8588.895388721292</v>
      </c>
      <c r="AY170" s="72" t="str">
        <f t="shared" si="415"/>
        <v>DOS AÑOS</v>
      </c>
      <c r="AZ170" s="619"/>
      <c r="BA170" s="440"/>
      <c r="BB170" s="478"/>
      <c r="BC170" s="74"/>
      <c r="BD170" s="481"/>
    </row>
    <row r="171" spans="2:56" x14ac:dyDescent="0.25">
      <c r="B171" s="594"/>
      <c r="C171" s="591"/>
      <c r="D171" s="490"/>
      <c r="E171" s="490"/>
      <c r="F171" s="490"/>
      <c r="G171" s="537"/>
      <c r="H171" s="435"/>
      <c r="I171" s="69">
        <v>10</v>
      </c>
      <c r="J171" s="444"/>
      <c r="K171" s="71"/>
      <c r="L171" s="496"/>
      <c r="M171" s="71"/>
      <c r="N171" s="496"/>
      <c r="O171" s="71"/>
      <c r="P171" s="496"/>
      <c r="Q171" s="170"/>
      <c r="R171" s="92">
        <v>-2.0070000000000001</v>
      </c>
      <c r="S171" s="38"/>
      <c r="T171" s="530"/>
      <c r="U171" s="42"/>
      <c r="V171" s="42"/>
      <c r="W171" s="42"/>
      <c r="X171" s="42"/>
      <c r="Y171" s="42"/>
      <c r="Z171" s="42"/>
      <c r="AA171" s="42"/>
      <c r="AB171" s="42"/>
      <c r="AC171" s="42"/>
      <c r="AD171" s="94"/>
      <c r="AE171" s="94"/>
      <c r="AF171" s="94"/>
      <c r="AG171" s="41">
        <v>44421</v>
      </c>
      <c r="AH171" s="543"/>
      <c r="AI171" s="42">
        <v>-2</v>
      </c>
      <c r="AJ171" s="42">
        <f t="shared" si="407"/>
        <v>7.0000000000001172E-3</v>
      </c>
      <c r="AK171" s="42">
        <f t="shared" si="416"/>
        <v>-0.34877927254609453</v>
      </c>
      <c r="AL171" s="42"/>
      <c r="AM171" s="42"/>
      <c r="AN171" s="42"/>
      <c r="AO171" s="42"/>
      <c r="AP171" s="42"/>
      <c r="AQ171" s="42">
        <v>5.8000000000000003E-2</v>
      </c>
      <c r="AR171" s="40">
        <f t="shared" si="408"/>
        <v>-0.29077927254609454</v>
      </c>
      <c r="AS171" s="40">
        <f t="shared" si="409"/>
        <v>-0.40677927254609453</v>
      </c>
      <c r="AT171" s="40">
        <f t="shared" si="410"/>
        <v>-0.29077927254609454</v>
      </c>
      <c r="AU171" s="43">
        <f t="shared" si="411"/>
        <v>121.61944444444444</v>
      </c>
      <c r="AV171" s="44">
        <f t="shared" si="412"/>
        <v>0.29077927254609454</v>
      </c>
      <c r="AW171" s="45">
        <f t="shared" si="413"/>
        <v>2.390894596455109E-3</v>
      </c>
      <c r="AX171" s="46">
        <f t="shared" si="414"/>
        <v>4182.5348615646335</v>
      </c>
      <c r="AY171" s="72" t="str">
        <f t="shared" si="415"/>
        <v>DOS AÑOS</v>
      </c>
      <c r="AZ171" s="619"/>
      <c r="BA171" s="440"/>
      <c r="BB171" s="478"/>
      <c r="BC171" s="74"/>
      <c r="BD171" s="481"/>
    </row>
    <row r="172" spans="2:56" x14ac:dyDescent="0.25">
      <c r="B172" s="594"/>
      <c r="C172" s="591"/>
      <c r="D172" s="490"/>
      <c r="E172" s="490"/>
      <c r="F172" s="490"/>
      <c r="G172" s="537"/>
      <c r="H172" s="435"/>
      <c r="I172" s="69">
        <v>10</v>
      </c>
      <c r="J172" s="444"/>
      <c r="K172" s="71"/>
      <c r="L172" s="496"/>
      <c r="M172" s="71"/>
      <c r="N172" s="496"/>
      <c r="O172" s="71"/>
      <c r="P172" s="496"/>
      <c r="Q172" s="170"/>
      <c r="R172" s="92">
        <v>-3.0089999999999999</v>
      </c>
      <c r="S172" s="38"/>
      <c r="T172" s="530"/>
      <c r="U172" s="42"/>
      <c r="V172" s="42"/>
      <c r="W172" s="42"/>
      <c r="X172" s="42"/>
      <c r="Y172" s="42"/>
      <c r="Z172" s="42"/>
      <c r="AA172" s="42"/>
      <c r="AB172" s="42"/>
      <c r="AC172" s="42"/>
      <c r="AD172" s="94"/>
      <c r="AE172" s="94"/>
      <c r="AF172" s="94"/>
      <c r="AG172" s="41">
        <v>44421</v>
      </c>
      <c r="AH172" s="543"/>
      <c r="AI172" s="42">
        <v>-3</v>
      </c>
      <c r="AJ172" s="42">
        <f t="shared" si="407"/>
        <v>8.999999999999897E-3</v>
      </c>
      <c r="AK172" s="42">
        <f t="shared" si="416"/>
        <v>-0.2991026919242239</v>
      </c>
      <c r="AL172" s="42"/>
      <c r="AM172" s="42"/>
      <c r="AN172" s="42"/>
      <c r="AO172" s="42"/>
      <c r="AP172" s="42"/>
      <c r="AQ172" s="42">
        <v>5.8000000000000003E-2</v>
      </c>
      <c r="AR172" s="40">
        <f t="shared" si="408"/>
        <v>-0.2411026919242239</v>
      </c>
      <c r="AS172" s="40">
        <f t="shared" si="409"/>
        <v>-0.35710269192422389</v>
      </c>
      <c r="AT172" s="40">
        <f t="shared" si="410"/>
        <v>-0.2411026919242239</v>
      </c>
      <c r="AU172" s="43">
        <f t="shared" si="411"/>
        <v>121.61944444444444</v>
      </c>
      <c r="AV172" s="44">
        <f t="shared" si="412"/>
        <v>0.2411026919242239</v>
      </c>
      <c r="AW172" s="45">
        <f t="shared" si="413"/>
        <v>1.9824353994180527E-3</v>
      </c>
      <c r="AX172" s="46">
        <f t="shared" si="414"/>
        <v>5044.3005622960109</v>
      </c>
      <c r="AY172" s="72" t="str">
        <f t="shared" si="415"/>
        <v>DOS AÑOS</v>
      </c>
      <c r="AZ172" s="619"/>
      <c r="BA172" s="440"/>
      <c r="BB172" s="478"/>
      <c r="BC172" s="74"/>
      <c r="BD172" s="481"/>
    </row>
    <row r="173" spans="2:56" x14ac:dyDescent="0.25">
      <c r="B173" s="594"/>
      <c r="C173" s="591"/>
      <c r="D173" s="490"/>
      <c r="E173" s="490"/>
      <c r="F173" s="490"/>
      <c r="G173" s="537"/>
      <c r="H173" s="435"/>
      <c r="I173" s="69">
        <v>10</v>
      </c>
      <c r="J173" s="444"/>
      <c r="K173" s="71" t="s">
        <v>69</v>
      </c>
      <c r="L173" s="496"/>
      <c r="M173" s="71" t="s">
        <v>69</v>
      </c>
      <c r="N173" s="496"/>
      <c r="O173" s="71" t="s">
        <v>69</v>
      </c>
      <c r="P173" s="496"/>
      <c r="Q173" s="170"/>
      <c r="R173" s="92">
        <v>-4.0129999999999999</v>
      </c>
      <c r="S173" s="38"/>
      <c r="T173" s="530"/>
      <c r="U173" s="42"/>
      <c r="V173" s="42"/>
      <c r="W173" s="42"/>
      <c r="X173" s="42"/>
      <c r="Y173" s="42"/>
      <c r="Z173" s="42"/>
      <c r="AA173" s="42"/>
      <c r="AB173" s="42"/>
      <c r="AC173" s="42"/>
      <c r="AD173" s="94"/>
      <c r="AE173" s="94"/>
      <c r="AF173" s="94"/>
      <c r="AG173" s="41">
        <v>44421</v>
      </c>
      <c r="AH173" s="543"/>
      <c r="AI173" s="42">
        <v>-4</v>
      </c>
      <c r="AJ173" s="42">
        <f t="shared" si="407"/>
        <v>1.2999999999999901E-2</v>
      </c>
      <c r="AK173" s="42">
        <f t="shared" si="416"/>
        <v>-0.32394717169199855</v>
      </c>
      <c r="AL173" s="42" t="s">
        <v>69</v>
      </c>
      <c r="AM173" s="42" t="s">
        <v>69</v>
      </c>
      <c r="AN173" s="42" t="s">
        <v>69</v>
      </c>
      <c r="AO173" s="42" t="s">
        <v>69</v>
      </c>
      <c r="AP173" s="42" t="s">
        <v>69</v>
      </c>
      <c r="AQ173" s="42">
        <v>5.8999999999999997E-2</v>
      </c>
      <c r="AR173" s="40">
        <f t="shared" si="408"/>
        <v>-0.26494717169199855</v>
      </c>
      <c r="AS173" s="40">
        <f t="shared" si="409"/>
        <v>-0.38294717169199854</v>
      </c>
      <c r="AT173" s="40">
        <f t="shared" si="410"/>
        <v>-0.26494717169199855</v>
      </c>
      <c r="AU173" s="43">
        <f t="shared" si="411"/>
        <v>121.61944444444444</v>
      </c>
      <c r="AV173" s="44">
        <f t="shared" si="412"/>
        <v>0.26494717169199855</v>
      </c>
      <c r="AW173" s="45">
        <f t="shared" si="413"/>
        <v>2.1784935205243928E-3</v>
      </c>
      <c r="AX173" s="46">
        <f t="shared" si="414"/>
        <v>4590.3280894738973</v>
      </c>
      <c r="AY173" s="72" t="str">
        <f t="shared" si="415"/>
        <v>DOS AÑOS</v>
      </c>
      <c r="AZ173" s="619"/>
      <c r="BA173" s="440"/>
      <c r="BB173" s="478"/>
      <c r="BC173" s="74"/>
      <c r="BD173" s="481"/>
    </row>
    <row r="174" spans="2:56" ht="15.75" thickBot="1" x14ac:dyDescent="0.3">
      <c r="B174" s="595"/>
      <c r="C174" s="592"/>
      <c r="D174" s="491"/>
      <c r="E174" s="491"/>
      <c r="F174" s="491"/>
      <c r="G174" s="547"/>
      <c r="H174" s="442"/>
      <c r="I174" s="108">
        <v>10</v>
      </c>
      <c r="J174" s="445"/>
      <c r="K174" s="109" t="s">
        <v>69</v>
      </c>
      <c r="L174" s="497"/>
      <c r="M174" s="109" t="s">
        <v>69</v>
      </c>
      <c r="N174" s="497"/>
      <c r="O174" s="109" t="s">
        <v>69</v>
      </c>
      <c r="P174" s="497"/>
      <c r="Q174" s="179"/>
      <c r="R174" s="110">
        <v>-6.0270000000000001</v>
      </c>
      <c r="S174" s="111"/>
      <c r="T174" s="531"/>
      <c r="U174" s="48"/>
      <c r="V174" s="48"/>
      <c r="W174" s="48"/>
      <c r="X174" s="48"/>
      <c r="Y174" s="48"/>
      <c r="Z174" s="48"/>
      <c r="AA174" s="48"/>
      <c r="AB174" s="48"/>
      <c r="AC174" s="48"/>
      <c r="AD174" s="49"/>
      <c r="AE174" s="49"/>
      <c r="AF174" s="49"/>
      <c r="AG174" s="41">
        <v>44421</v>
      </c>
      <c r="AH174" s="544"/>
      <c r="AI174" s="50">
        <v>-6</v>
      </c>
      <c r="AJ174" s="42">
        <f t="shared" si="407"/>
        <v>2.7000000000000135E-2</v>
      </c>
      <c r="AK174" s="42">
        <f t="shared" si="416"/>
        <v>-0.44798407167745369</v>
      </c>
      <c r="AL174" s="50" t="s">
        <v>69</v>
      </c>
      <c r="AM174" s="50" t="s">
        <v>69</v>
      </c>
      <c r="AN174" s="50" t="s">
        <v>69</v>
      </c>
      <c r="AO174" s="50" t="s">
        <v>69</v>
      </c>
      <c r="AP174" s="50" t="s">
        <v>69</v>
      </c>
      <c r="AQ174" s="50">
        <v>6.3E-2</v>
      </c>
      <c r="AR174" s="40">
        <f t="shared" si="408"/>
        <v>-0.38498407167745369</v>
      </c>
      <c r="AS174" s="40">
        <f t="shared" si="409"/>
        <v>-0.51098407167745363</v>
      </c>
      <c r="AT174" s="40">
        <f t="shared" si="410"/>
        <v>-0.38498407167745369</v>
      </c>
      <c r="AU174" s="43">
        <f t="shared" si="411"/>
        <v>121.61944444444444</v>
      </c>
      <c r="AV174" s="44">
        <f t="shared" si="412"/>
        <v>0.38498407167745369</v>
      </c>
      <c r="AW174" s="45">
        <f t="shared" si="413"/>
        <v>3.1654812553704253E-3</v>
      </c>
      <c r="AX174" s="46">
        <f t="shared" si="414"/>
        <v>3159.0773071343929</v>
      </c>
      <c r="AY174" s="72" t="str">
        <f t="shared" si="415"/>
        <v>DOS AÑOS</v>
      </c>
      <c r="AZ174" s="620"/>
      <c r="BA174" s="441"/>
      <c r="BB174" s="479"/>
      <c r="BC174" s="121"/>
      <c r="BD174" s="482"/>
    </row>
    <row r="175" spans="2:56" ht="1.5" customHeight="1" thickBot="1" x14ac:dyDescent="0.3">
      <c r="B175" s="483" t="s">
        <v>112</v>
      </c>
      <c r="C175" s="486" t="s">
        <v>10</v>
      </c>
      <c r="D175" s="504" t="s">
        <v>113</v>
      </c>
      <c r="E175" s="504" t="s">
        <v>114</v>
      </c>
      <c r="F175" s="508" t="s">
        <v>115</v>
      </c>
      <c r="G175" s="434" t="s">
        <v>15</v>
      </c>
      <c r="H175" s="434" t="s">
        <v>22</v>
      </c>
      <c r="I175" s="55">
        <v>2</v>
      </c>
      <c r="J175" s="443" t="s">
        <v>20</v>
      </c>
      <c r="K175" s="56"/>
      <c r="L175" s="56"/>
      <c r="M175" s="56"/>
      <c r="N175" s="56"/>
      <c r="O175" s="56"/>
      <c r="P175" s="56"/>
      <c r="Q175" s="168">
        <v>600</v>
      </c>
      <c r="R175" s="82">
        <v>400</v>
      </c>
      <c r="S175" s="58">
        <v>43839</v>
      </c>
      <c r="T175" s="446">
        <v>89921201021</v>
      </c>
      <c r="U175" s="169">
        <v>402</v>
      </c>
      <c r="V175" s="169">
        <f>U175-R175</f>
        <v>2</v>
      </c>
      <c r="W175" s="169">
        <f>V175*100/R175</f>
        <v>0.5</v>
      </c>
      <c r="X175" s="169"/>
      <c r="Y175" s="169"/>
      <c r="Z175" s="169"/>
      <c r="AA175" s="169"/>
      <c r="AB175" s="169">
        <v>0.37</v>
      </c>
      <c r="AC175" s="169">
        <f>AB175*100/R175</f>
        <v>9.2499999999999999E-2</v>
      </c>
      <c r="AD175" s="59">
        <f t="shared" ref="AD175:AD182" si="418">(W175+AC175)</f>
        <v>0.59250000000000003</v>
      </c>
      <c r="AE175" s="59">
        <f t="shared" ref="AE175:AE182" si="419">(W175-AC175)</f>
        <v>0.40749999999999997</v>
      </c>
      <c r="AF175" s="59">
        <f t="shared" ref="AF175:AF196" si="420">MAX(AD175:AE175)</f>
        <v>0.59250000000000003</v>
      </c>
      <c r="AG175" s="60">
        <v>44207</v>
      </c>
      <c r="AH175" s="460">
        <v>8992211021</v>
      </c>
      <c r="AI175" s="61">
        <f>(600+601+599+599+599)/5</f>
        <v>599.6</v>
      </c>
      <c r="AJ175" s="61">
        <f>AI175-Q175</f>
        <v>-0.39999999999997726</v>
      </c>
      <c r="AK175" s="61">
        <f>AJ175*100/Q175</f>
        <v>-6.6666666666662877E-2</v>
      </c>
      <c r="AL175" s="61"/>
      <c r="AM175" s="61"/>
      <c r="AN175" s="61"/>
      <c r="AO175" s="61"/>
      <c r="AP175" s="61">
        <v>0.14000000000000001</v>
      </c>
      <c r="AQ175" s="61">
        <f>AP175*100/Q175</f>
        <v>2.3333333333333338E-2</v>
      </c>
      <c r="AR175" s="59">
        <f t="shared" si="59"/>
        <v>-0.37666666666664395</v>
      </c>
      <c r="AS175" s="59">
        <f t="shared" si="396"/>
        <v>-8.9999999999996222E-2</v>
      </c>
      <c r="AT175" s="59">
        <f t="shared" si="397"/>
        <v>-8.9999999999996222E-2</v>
      </c>
      <c r="AU175" s="62">
        <f t="shared" si="4"/>
        <v>1.0055555555555555</v>
      </c>
      <c r="AV175" s="63">
        <f t="shared" si="102"/>
        <v>0.68249999999999622</v>
      </c>
      <c r="AW175" s="85">
        <f t="shared" ref="AW175:AW181" si="421">(AV175/AU175)</f>
        <v>0.67872928176795211</v>
      </c>
      <c r="AX175" s="65">
        <f t="shared" si="6"/>
        <v>2.9466829466829627</v>
      </c>
      <c r="AY175" s="66" t="str">
        <f t="shared" si="7"/>
        <v>DOS AÑOS</v>
      </c>
      <c r="AZ175" s="436" t="s">
        <v>10</v>
      </c>
      <c r="BA175" s="439" t="s">
        <v>56</v>
      </c>
      <c r="BB175" s="477" t="s">
        <v>34</v>
      </c>
      <c r="BC175" s="615">
        <f>MIN(AX158:AX203)</f>
        <v>1.7591439949653256</v>
      </c>
      <c r="BD175" s="480">
        <f>BD128</f>
        <v>0</v>
      </c>
    </row>
    <row r="176" spans="2:56" ht="15.75" hidden="1" thickBot="1" x14ac:dyDescent="0.3">
      <c r="B176" s="484"/>
      <c r="C176" s="487"/>
      <c r="D176" s="505"/>
      <c r="E176" s="505"/>
      <c r="F176" s="509"/>
      <c r="G176" s="435"/>
      <c r="H176" s="435"/>
      <c r="I176" s="69">
        <v>2</v>
      </c>
      <c r="J176" s="444"/>
      <c r="K176" s="71"/>
      <c r="L176" s="71"/>
      <c r="M176" s="71"/>
      <c r="N176" s="71"/>
      <c r="O176" s="71"/>
      <c r="P176" s="71"/>
      <c r="Q176" s="170">
        <v>800</v>
      </c>
      <c r="R176" s="92"/>
      <c r="S176" s="38">
        <v>43839</v>
      </c>
      <c r="T176" s="447"/>
      <c r="U176" s="39"/>
      <c r="V176" s="39"/>
      <c r="W176" s="39"/>
      <c r="X176" s="39"/>
      <c r="Y176" s="39"/>
      <c r="Z176" s="39"/>
      <c r="AA176" s="39"/>
      <c r="AB176" s="39"/>
      <c r="AC176" s="39"/>
      <c r="AD176" s="40"/>
      <c r="AE176" s="40"/>
      <c r="AF176" s="40"/>
      <c r="AG176" s="41">
        <v>44207</v>
      </c>
      <c r="AH176" s="461"/>
      <c r="AI176" s="42">
        <f>(801+801+802+799+799)/5</f>
        <v>800.4</v>
      </c>
      <c r="AJ176" s="42">
        <f t="shared" ref="AJ176:AJ182" si="422">AI176-Q176</f>
        <v>0.39999999999997726</v>
      </c>
      <c r="AK176" s="42">
        <f t="shared" ref="AK176:AK182" si="423">AJ176*100/Q176</f>
        <v>4.9999999999997158E-2</v>
      </c>
      <c r="AL176" s="42"/>
      <c r="AM176" s="42"/>
      <c r="AN176" s="42"/>
      <c r="AO176" s="42"/>
      <c r="AP176" s="42">
        <v>0.16</v>
      </c>
      <c r="AQ176" s="42">
        <f t="shared" ref="AQ176:AQ182" si="424">AP176*100/Q176</f>
        <v>0.02</v>
      </c>
      <c r="AR176" s="40">
        <f t="shared" si="59"/>
        <v>0.41999999999997728</v>
      </c>
      <c r="AS176" s="40">
        <f t="shared" si="396"/>
        <v>2.9999999999997157E-2</v>
      </c>
      <c r="AT176" s="40">
        <f t="shared" si="397"/>
        <v>0.41999999999997728</v>
      </c>
      <c r="AU176" s="43">
        <f t="shared" si="4"/>
        <v>1.0055555555555555</v>
      </c>
      <c r="AV176" s="44">
        <f t="shared" si="102"/>
        <v>0.41999999999997728</v>
      </c>
      <c r="AW176" s="95">
        <f t="shared" si="421"/>
        <v>0.41767955801102713</v>
      </c>
      <c r="AX176" s="46">
        <f t="shared" si="6"/>
        <v>4.7883597883600473</v>
      </c>
      <c r="AY176" s="72" t="str">
        <f t="shared" si="7"/>
        <v>DOS AÑOS</v>
      </c>
      <c r="AZ176" s="437"/>
      <c r="BA176" s="440"/>
      <c r="BB176" s="478"/>
      <c r="BC176" s="616"/>
      <c r="BD176" s="481"/>
    </row>
    <row r="177" spans="2:56" ht="15.75" hidden="1" thickBot="1" x14ac:dyDescent="0.3">
      <c r="B177" s="484"/>
      <c r="C177" s="487"/>
      <c r="D177" s="505"/>
      <c r="E177" s="505"/>
      <c r="F177" s="509"/>
      <c r="G177" s="435"/>
      <c r="H177" s="435"/>
      <c r="I177" s="69">
        <v>2</v>
      </c>
      <c r="J177" s="444"/>
      <c r="K177" s="71"/>
      <c r="L177" s="71"/>
      <c r="M177" s="71"/>
      <c r="N177" s="71"/>
      <c r="O177" s="71"/>
      <c r="P177" s="71"/>
      <c r="Q177" s="170">
        <v>900</v>
      </c>
      <c r="R177" s="92"/>
      <c r="S177" s="38">
        <v>43839</v>
      </c>
      <c r="T177" s="447"/>
      <c r="U177" s="39"/>
      <c r="V177" s="39"/>
      <c r="W177" s="39"/>
      <c r="X177" s="39"/>
      <c r="Y177" s="39"/>
      <c r="Z177" s="39"/>
      <c r="AA177" s="39"/>
      <c r="AB177" s="39"/>
      <c r="AC177" s="39"/>
      <c r="AD177" s="40"/>
      <c r="AE177" s="40"/>
      <c r="AF177" s="40"/>
      <c r="AG177" s="41">
        <v>44207</v>
      </c>
      <c r="AH177" s="461"/>
      <c r="AI177" s="42">
        <f>(901+901+899+899+898)/5</f>
        <v>899.6</v>
      </c>
      <c r="AJ177" s="42">
        <f t="shared" si="422"/>
        <v>-0.39999999999997726</v>
      </c>
      <c r="AK177" s="42">
        <f t="shared" si="423"/>
        <v>-4.444444444444192E-2</v>
      </c>
      <c r="AL177" s="42"/>
      <c r="AM177" s="42"/>
      <c r="AN177" s="42"/>
      <c r="AO177" s="42"/>
      <c r="AP177" s="42">
        <v>0.16</v>
      </c>
      <c r="AQ177" s="42">
        <f t="shared" si="424"/>
        <v>1.7777777777777778E-2</v>
      </c>
      <c r="AR177" s="40">
        <f t="shared" si="59"/>
        <v>-0.38222222222219948</v>
      </c>
      <c r="AS177" s="40">
        <f t="shared" si="396"/>
        <v>-6.2222222222219695E-2</v>
      </c>
      <c r="AT177" s="40">
        <f t="shared" si="397"/>
        <v>-6.2222222222219695E-2</v>
      </c>
      <c r="AU177" s="43">
        <f t="shared" si="4"/>
        <v>1.0055555555555555</v>
      </c>
      <c r="AV177" s="44">
        <f t="shared" si="102"/>
        <v>6.2222222222219695E-2</v>
      </c>
      <c r="AW177" s="95">
        <f t="shared" si="421"/>
        <v>6.1878453038671524E-2</v>
      </c>
      <c r="AX177" s="46">
        <f t="shared" si="6"/>
        <v>32.321428571429884</v>
      </c>
      <c r="AY177" s="72" t="str">
        <f t="shared" si="7"/>
        <v>DOS AÑOS</v>
      </c>
      <c r="AZ177" s="437"/>
      <c r="BA177" s="440"/>
      <c r="BB177" s="478"/>
      <c r="BC177" s="616"/>
      <c r="BD177" s="481"/>
    </row>
    <row r="178" spans="2:56" ht="15.75" hidden="1" thickBot="1" x14ac:dyDescent="0.3">
      <c r="B178" s="484"/>
      <c r="C178" s="487"/>
      <c r="D178" s="505"/>
      <c r="E178" s="505"/>
      <c r="F178" s="509"/>
      <c r="G178" s="435"/>
      <c r="H178" s="435"/>
      <c r="I178" s="69">
        <v>2</v>
      </c>
      <c r="J178" s="444"/>
      <c r="K178" s="71"/>
      <c r="L178" s="71"/>
      <c r="M178" s="71"/>
      <c r="N178" s="71"/>
      <c r="O178" s="71"/>
      <c r="P178" s="71"/>
      <c r="Q178" s="170">
        <v>1800</v>
      </c>
      <c r="R178" s="92">
        <v>1800</v>
      </c>
      <c r="S178" s="38">
        <v>43839</v>
      </c>
      <c r="T178" s="447"/>
      <c r="U178" s="171">
        <v>1804</v>
      </c>
      <c r="V178" s="171">
        <f>U178-R178</f>
        <v>4</v>
      </c>
      <c r="W178" s="171">
        <f>V178*100/R178</f>
        <v>0.22222222222222221</v>
      </c>
      <c r="X178" s="171"/>
      <c r="Y178" s="171"/>
      <c r="Z178" s="171"/>
      <c r="AA178" s="171"/>
      <c r="AB178" s="171">
        <v>0.38</v>
      </c>
      <c r="AC178" s="171">
        <f>AB178*100/R178</f>
        <v>2.1111111111111112E-2</v>
      </c>
      <c r="AD178" s="40">
        <f>(W178+AC178)</f>
        <v>0.24333333333333332</v>
      </c>
      <c r="AE178" s="40">
        <f t="shared" si="419"/>
        <v>0.2011111111111111</v>
      </c>
      <c r="AF178" s="40">
        <f t="shared" si="420"/>
        <v>0.24333333333333332</v>
      </c>
      <c r="AG178" s="41">
        <v>44207</v>
      </c>
      <c r="AH178" s="461"/>
      <c r="AI178" s="42">
        <f>(1800+1799+1799+1799+1799)/5</f>
        <v>1799.2</v>
      </c>
      <c r="AJ178" s="42">
        <f t="shared" si="422"/>
        <v>-0.79999999999995453</v>
      </c>
      <c r="AK178" s="42">
        <f t="shared" si="423"/>
        <v>-4.444444444444192E-2</v>
      </c>
      <c r="AL178" s="42"/>
      <c r="AM178" s="42"/>
      <c r="AN178" s="42"/>
      <c r="AO178" s="42"/>
      <c r="AP178" s="42">
        <v>0.11</v>
      </c>
      <c r="AQ178" s="42">
        <f t="shared" si="424"/>
        <v>6.1111111111111114E-3</v>
      </c>
      <c r="AR178" s="40">
        <f t="shared" si="59"/>
        <v>-0.79388888888884346</v>
      </c>
      <c r="AS178" s="40">
        <f t="shared" si="396"/>
        <v>-5.0555555555553029E-2</v>
      </c>
      <c r="AT178" s="40">
        <f t="shared" si="397"/>
        <v>-5.0555555555553029E-2</v>
      </c>
      <c r="AU178" s="43">
        <f t="shared" si="4"/>
        <v>1.0055555555555555</v>
      </c>
      <c r="AV178" s="44">
        <f t="shared" si="102"/>
        <v>0.29388888888888637</v>
      </c>
      <c r="AW178" s="95">
        <f t="shared" si="421"/>
        <v>0.29226519337016327</v>
      </c>
      <c r="AX178" s="46">
        <f t="shared" si="6"/>
        <v>6.8431001890359751</v>
      </c>
      <c r="AY178" s="72" t="str">
        <f t="shared" si="7"/>
        <v>DOS AÑOS</v>
      </c>
      <c r="AZ178" s="437"/>
      <c r="BA178" s="440"/>
      <c r="BB178" s="478"/>
      <c r="BC178" s="616"/>
      <c r="BD178" s="481"/>
    </row>
    <row r="179" spans="2:56" ht="15.75" hidden="1" thickBot="1" x14ac:dyDescent="0.3">
      <c r="B179" s="484"/>
      <c r="C179" s="487"/>
      <c r="D179" s="505"/>
      <c r="E179" s="505"/>
      <c r="F179" s="509"/>
      <c r="G179" s="435"/>
      <c r="H179" s="435"/>
      <c r="I179" s="69">
        <v>2</v>
      </c>
      <c r="J179" s="444"/>
      <c r="K179" s="71"/>
      <c r="L179" s="71"/>
      <c r="M179" s="71"/>
      <c r="N179" s="71"/>
      <c r="O179" s="71"/>
      <c r="P179" s="71"/>
      <c r="Q179" s="170">
        <v>2500</v>
      </c>
      <c r="R179" s="92"/>
      <c r="S179" s="38">
        <v>43839</v>
      </c>
      <c r="T179" s="447"/>
      <c r="U179" s="39"/>
      <c r="V179" s="39"/>
      <c r="W179" s="39"/>
      <c r="X179" s="39"/>
      <c r="Y179" s="39"/>
      <c r="Z179" s="39"/>
      <c r="AA179" s="39"/>
      <c r="AB179" s="39"/>
      <c r="AC179" s="39"/>
      <c r="AD179" s="40"/>
      <c r="AE179" s="40"/>
      <c r="AF179" s="40"/>
      <c r="AG179" s="41">
        <v>44207</v>
      </c>
      <c r="AH179" s="461"/>
      <c r="AI179" s="42">
        <f>(2501+2501+2499+2499+2499)/5</f>
        <v>2499.8000000000002</v>
      </c>
      <c r="AJ179" s="42">
        <f t="shared" si="422"/>
        <v>-0.1999999999998181</v>
      </c>
      <c r="AK179" s="42">
        <f t="shared" si="423"/>
        <v>-7.9999999999927247E-3</v>
      </c>
      <c r="AL179" s="42"/>
      <c r="AM179" s="42"/>
      <c r="AN179" s="42"/>
      <c r="AO179" s="42"/>
      <c r="AP179" s="42">
        <v>0.15</v>
      </c>
      <c r="AQ179" s="42">
        <f t="shared" si="424"/>
        <v>6.0000000000000001E-3</v>
      </c>
      <c r="AR179" s="40">
        <f t="shared" si="59"/>
        <v>-0.1939999999998181</v>
      </c>
      <c r="AS179" s="40">
        <f t="shared" si="396"/>
        <v>-1.3999999999992725E-2</v>
      </c>
      <c r="AT179" s="40">
        <f t="shared" si="397"/>
        <v>-1.3999999999992725E-2</v>
      </c>
      <c r="AU179" s="43">
        <f t="shared" si="4"/>
        <v>1.0055555555555555</v>
      </c>
      <c r="AV179" s="44">
        <f t="shared" si="102"/>
        <v>1.3999999999992725E-2</v>
      </c>
      <c r="AW179" s="95">
        <f t="shared" si="421"/>
        <v>1.3922651933694423E-2</v>
      </c>
      <c r="AX179" s="46">
        <f t="shared" si="6"/>
        <v>143.65079365086828</v>
      </c>
      <c r="AY179" s="72" t="str">
        <f t="shared" si="7"/>
        <v>DOS AÑOS</v>
      </c>
      <c r="AZ179" s="437"/>
      <c r="BA179" s="440"/>
      <c r="BB179" s="478"/>
      <c r="BC179" s="616"/>
      <c r="BD179" s="481"/>
    </row>
    <row r="180" spans="2:56" ht="15.75" hidden="1" customHeight="1" thickBot="1" x14ac:dyDescent="0.3">
      <c r="B180" s="484"/>
      <c r="C180" s="487"/>
      <c r="D180" s="505"/>
      <c r="E180" s="505"/>
      <c r="F180" s="509"/>
      <c r="G180" s="435"/>
      <c r="H180" s="435"/>
      <c r="I180" s="69">
        <v>2</v>
      </c>
      <c r="J180" s="444"/>
      <c r="K180" s="71" t="s">
        <v>69</v>
      </c>
      <c r="L180" s="496" t="s">
        <v>20</v>
      </c>
      <c r="M180" s="71" t="s">
        <v>69</v>
      </c>
      <c r="N180" s="496" t="s">
        <v>20</v>
      </c>
      <c r="O180" s="71" t="s">
        <v>69</v>
      </c>
      <c r="P180" s="496" t="s">
        <v>20</v>
      </c>
      <c r="Q180" s="37">
        <v>3500</v>
      </c>
      <c r="R180" s="37">
        <v>3200</v>
      </c>
      <c r="S180" s="38">
        <v>43839</v>
      </c>
      <c r="T180" s="447"/>
      <c r="U180" s="172">
        <v>3205</v>
      </c>
      <c r="V180" s="172">
        <f>U180-R180</f>
        <v>5</v>
      </c>
      <c r="W180" s="172">
        <f>V180*100/R180</f>
        <v>0.15625</v>
      </c>
      <c r="X180" s="172" t="s">
        <v>69</v>
      </c>
      <c r="Y180" s="172" t="s">
        <v>69</v>
      </c>
      <c r="Z180" s="172" t="s">
        <v>69</v>
      </c>
      <c r="AA180" s="172" t="s">
        <v>69</v>
      </c>
      <c r="AB180" s="172">
        <v>0.5</v>
      </c>
      <c r="AC180" s="172">
        <f>AB180*100/R180</f>
        <v>1.5625E-2</v>
      </c>
      <c r="AD180" s="40">
        <f t="shared" si="418"/>
        <v>0.171875</v>
      </c>
      <c r="AE180" s="40">
        <f t="shared" si="419"/>
        <v>0.140625</v>
      </c>
      <c r="AF180" s="40">
        <f t="shared" si="420"/>
        <v>0.171875</v>
      </c>
      <c r="AG180" s="41">
        <v>44207</v>
      </c>
      <c r="AH180" s="461"/>
      <c r="AI180" s="94">
        <f>(3500+3501+3501+3499+3499)/5</f>
        <v>3500</v>
      </c>
      <c r="AJ180" s="42">
        <f t="shared" si="422"/>
        <v>0</v>
      </c>
      <c r="AK180" s="42">
        <f t="shared" si="423"/>
        <v>0</v>
      </c>
      <c r="AL180" s="94" t="s">
        <v>69</v>
      </c>
      <c r="AM180" s="94" t="s">
        <v>69</v>
      </c>
      <c r="AN180" s="94" t="s">
        <v>69</v>
      </c>
      <c r="AO180" s="94" t="s">
        <v>69</v>
      </c>
      <c r="AP180" s="135">
        <v>0.14000000000000001</v>
      </c>
      <c r="AQ180" s="42">
        <f t="shared" si="424"/>
        <v>4.0000000000000001E-3</v>
      </c>
      <c r="AR180" s="40">
        <f t="shared" si="59"/>
        <v>4.0000000000000001E-3</v>
      </c>
      <c r="AS180" s="40">
        <f t="shared" si="396"/>
        <v>-4.0000000000000001E-3</v>
      </c>
      <c r="AT180" s="40">
        <f t="shared" si="397"/>
        <v>4.0000000000000001E-3</v>
      </c>
      <c r="AU180" s="43">
        <f t="shared" ref="AU180:AU182" si="425">YEARFRAC(S180,AG180)</f>
        <v>1.0055555555555555</v>
      </c>
      <c r="AV180" s="44">
        <f t="shared" si="102"/>
        <v>0.167875</v>
      </c>
      <c r="AW180" s="95">
        <f t="shared" si="421"/>
        <v>0.1669475138121547</v>
      </c>
      <c r="AX180" s="46">
        <f t="shared" si="6"/>
        <v>11.979813022255316</v>
      </c>
      <c r="AY180" s="72" t="str">
        <f t="shared" ref="AY180:AY182" si="426">IF(AX180&lt;=1,"UN AÑO",IF(AX180&gt;=1,"DOS AÑOS"))</f>
        <v>DOS AÑOS</v>
      </c>
      <c r="AZ180" s="437"/>
      <c r="BA180" s="440"/>
      <c r="BB180" s="478"/>
      <c r="BC180" s="616"/>
      <c r="BD180" s="481"/>
    </row>
    <row r="181" spans="2:56" ht="15.75" hidden="1" thickBot="1" x14ac:dyDescent="0.3">
      <c r="B181" s="484"/>
      <c r="C181" s="487"/>
      <c r="D181" s="505"/>
      <c r="E181" s="505"/>
      <c r="F181" s="509"/>
      <c r="G181" s="435"/>
      <c r="H181" s="435"/>
      <c r="I181" s="69">
        <v>2</v>
      </c>
      <c r="J181" s="444"/>
      <c r="K181" s="71" t="s">
        <v>69</v>
      </c>
      <c r="L181" s="496"/>
      <c r="M181" s="71" t="s">
        <v>69</v>
      </c>
      <c r="N181" s="496"/>
      <c r="O181" s="71" t="s">
        <v>69</v>
      </c>
      <c r="P181" s="496"/>
      <c r="Q181" s="37">
        <v>4000</v>
      </c>
      <c r="R181" s="37" t="s">
        <v>23</v>
      </c>
      <c r="S181" s="38">
        <v>43839</v>
      </c>
      <c r="T181" s="447"/>
      <c r="U181" s="96"/>
      <c r="V181" s="96" t="s">
        <v>69</v>
      </c>
      <c r="W181" s="96">
        <v>0</v>
      </c>
      <c r="X181" s="96" t="s">
        <v>69</v>
      </c>
      <c r="Y181" s="96" t="s">
        <v>69</v>
      </c>
      <c r="Z181" s="96" t="s">
        <v>69</v>
      </c>
      <c r="AA181" s="96" t="s">
        <v>69</v>
      </c>
      <c r="AB181" s="96"/>
      <c r="AC181" s="96"/>
      <c r="AD181" s="40"/>
      <c r="AE181" s="40"/>
      <c r="AF181" s="40"/>
      <c r="AG181" s="41">
        <v>44207</v>
      </c>
      <c r="AH181" s="461"/>
      <c r="AI181" s="94">
        <f>(4000+4000+4001+3999+3998)/5</f>
        <v>3999.6</v>
      </c>
      <c r="AJ181" s="42">
        <f t="shared" si="422"/>
        <v>-0.40000000000009095</v>
      </c>
      <c r="AK181" s="42">
        <f t="shared" si="423"/>
        <v>-1.0000000000002274E-2</v>
      </c>
      <c r="AL181" s="94" t="s">
        <v>69</v>
      </c>
      <c r="AM181" s="94" t="s">
        <v>69</v>
      </c>
      <c r="AN181" s="94" t="s">
        <v>69</v>
      </c>
      <c r="AO181" s="94" t="s">
        <v>69</v>
      </c>
      <c r="AP181" s="94">
        <v>0.15</v>
      </c>
      <c r="AQ181" s="42">
        <f t="shared" si="424"/>
        <v>3.7499999999999999E-3</v>
      </c>
      <c r="AR181" s="40">
        <f t="shared" si="59"/>
        <v>-0.39625000000009097</v>
      </c>
      <c r="AS181" s="40">
        <f t="shared" si="396"/>
        <v>-1.3750000000002274E-2</v>
      </c>
      <c r="AT181" s="40">
        <f t="shared" si="397"/>
        <v>-1.3750000000002274E-2</v>
      </c>
      <c r="AU181" s="43">
        <f t="shared" si="425"/>
        <v>1.0055555555555555</v>
      </c>
      <c r="AV181" s="44">
        <f t="shared" si="102"/>
        <v>1.3750000000002274E-2</v>
      </c>
      <c r="AW181" s="95">
        <f t="shared" si="421"/>
        <v>1.3674033149173533E-2</v>
      </c>
      <c r="AX181" s="46">
        <f t="shared" si="6"/>
        <v>146.26262626260205</v>
      </c>
      <c r="AY181" s="72" t="str">
        <f t="shared" si="426"/>
        <v>DOS AÑOS</v>
      </c>
      <c r="AZ181" s="437"/>
      <c r="BA181" s="440"/>
      <c r="BB181" s="478"/>
      <c r="BC181" s="616"/>
      <c r="BD181" s="481"/>
    </row>
    <row r="182" spans="2:56" ht="15.75" hidden="1" thickBot="1" x14ac:dyDescent="0.3">
      <c r="B182" s="485"/>
      <c r="C182" s="488"/>
      <c r="D182" s="507"/>
      <c r="E182" s="507"/>
      <c r="F182" s="511"/>
      <c r="G182" s="442"/>
      <c r="H182" s="442"/>
      <c r="I182" s="108">
        <v>2</v>
      </c>
      <c r="J182" s="445"/>
      <c r="K182" s="109" t="s">
        <v>69</v>
      </c>
      <c r="L182" s="497"/>
      <c r="M182" s="109" t="s">
        <v>69</v>
      </c>
      <c r="N182" s="497"/>
      <c r="O182" s="109" t="s">
        <v>69</v>
      </c>
      <c r="P182" s="497"/>
      <c r="Q182" s="47">
        <v>9000</v>
      </c>
      <c r="R182" s="47">
        <v>9000</v>
      </c>
      <c r="S182" s="111">
        <v>43839</v>
      </c>
      <c r="T182" s="448"/>
      <c r="U182" s="173">
        <v>9006</v>
      </c>
      <c r="V182" s="173">
        <f>U182-R182</f>
        <v>6</v>
      </c>
      <c r="W182" s="173">
        <f>V182*100/R182</f>
        <v>6.6666666666666666E-2</v>
      </c>
      <c r="X182" s="173" t="s">
        <v>69</v>
      </c>
      <c r="Y182" s="173" t="s">
        <v>69</v>
      </c>
      <c r="Z182" s="173" t="s">
        <v>69</v>
      </c>
      <c r="AA182" s="173" t="s">
        <v>69</v>
      </c>
      <c r="AB182" s="173">
        <v>0.38</v>
      </c>
      <c r="AC182" s="173">
        <f>AB182*100/R182</f>
        <v>4.2222222222222218E-3</v>
      </c>
      <c r="AD182" s="49">
        <f t="shared" si="418"/>
        <v>7.088888888888889E-2</v>
      </c>
      <c r="AE182" s="49">
        <f t="shared" si="419"/>
        <v>6.2444444444444441E-2</v>
      </c>
      <c r="AF182" s="49">
        <f t="shared" si="420"/>
        <v>7.088888888888889E-2</v>
      </c>
      <c r="AG182" s="114">
        <v>44207</v>
      </c>
      <c r="AH182" s="462"/>
      <c r="AI182" s="115">
        <f>(9001+9001+8999+8999+8998)/5</f>
        <v>8999.6</v>
      </c>
      <c r="AJ182" s="50">
        <f t="shared" si="422"/>
        <v>-0.3999999999996362</v>
      </c>
      <c r="AK182" s="50">
        <f t="shared" si="423"/>
        <v>-4.4444444444404025E-3</v>
      </c>
      <c r="AL182" s="115" t="s">
        <v>69</v>
      </c>
      <c r="AM182" s="115" t="s">
        <v>69</v>
      </c>
      <c r="AN182" s="115" t="s">
        <v>69</v>
      </c>
      <c r="AO182" s="115" t="s">
        <v>69</v>
      </c>
      <c r="AP182" s="115">
        <v>0.16</v>
      </c>
      <c r="AQ182" s="50">
        <f t="shared" si="424"/>
        <v>1.7777777777777779E-3</v>
      </c>
      <c r="AR182" s="49">
        <f>(AJ182+AQ182)</f>
        <v>-0.39822222222185844</v>
      </c>
      <c r="AS182" s="49">
        <f t="shared" ref="AS182" si="427">(AK182-AQ182)</f>
        <v>-6.2222222222181808E-3</v>
      </c>
      <c r="AT182" s="49">
        <f t="shared" si="397"/>
        <v>-6.2222222222181808E-3</v>
      </c>
      <c r="AU182" s="51">
        <f t="shared" si="425"/>
        <v>1.0055555555555555</v>
      </c>
      <c r="AV182" s="52">
        <f t="shared" ref="AV182:AV193" si="428">ABS(AT182-AF182)</f>
        <v>7.7111111111107078E-2</v>
      </c>
      <c r="AW182" s="116">
        <f t="shared" si="240"/>
        <v>7.6685082872924165E-2</v>
      </c>
      <c r="AX182" s="53">
        <f t="shared" ref="AX182:AX193" si="429">(I182/AW182)</f>
        <v>26.08069164265266</v>
      </c>
      <c r="AY182" s="120" t="str">
        <f t="shared" si="426"/>
        <v>DOS AÑOS</v>
      </c>
      <c r="AZ182" s="438"/>
      <c r="BA182" s="441"/>
      <c r="BB182" s="479"/>
      <c r="BC182" s="617"/>
      <c r="BD182" s="482"/>
    </row>
    <row r="183" spans="2:56" x14ac:dyDescent="0.25">
      <c r="B183" s="483" t="s">
        <v>122</v>
      </c>
      <c r="C183" s="486" t="s">
        <v>126</v>
      </c>
      <c r="D183" s="500" t="s">
        <v>230</v>
      </c>
      <c r="E183" s="504" t="s">
        <v>154</v>
      </c>
      <c r="F183" s="508" t="s">
        <v>227</v>
      </c>
      <c r="G183" s="434" t="s">
        <v>123</v>
      </c>
      <c r="H183" s="434" t="s">
        <v>124</v>
      </c>
      <c r="I183" s="127">
        <v>0.1</v>
      </c>
      <c r="J183" s="443" t="s">
        <v>125</v>
      </c>
      <c r="K183" s="128"/>
      <c r="L183" s="128"/>
      <c r="M183" s="128"/>
      <c r="N183" s="128"/>
      <c r="O183" s="128"/>
      <c r="P183" s="128"/>
      <c r="Q183" s="57">
        <v>0</v>
      </c>
      <c r="R183" s="57" t="s">
        <v>125</v>
      </c>
      <c r="S183" s="38"/>
      <c r="T183" s="474"/>
      <c r="U183" s="186"/>
      <c r="V183" s="186"/>
      <c r="W183" s="186"/>
      <c r="X183" s="186"/>
      <c r="Y183" s="186"/>
      <c r="Z183" s="186"/>
      <c r="AA183" s="186"/>
      <c r="AB183" s="186"/>
      <c r="AC183" s="186"/>
      <c r="AD183" s="186"/>
      <c r="AE183" s="186"/>
      <c r="AF183" s="59"/>
      <c r="AG183" s="41">
        <v>44421</v>
      </c>
      <c r="AH183" s="552" t="s">
        <v>228</v>
      </c>
      <c r="AI183" s="84"/>
      <c r="AJ183" s="61">
        <v>0</v>
      </c>
      <c r="AK183" s="61"/>
      <c r="AL183" s="84"/>
      <c r="AM183" s="84"/>
      <c r="AN183" s="84"/>
      <c r="AO183" s="84"/>
      <c r="AP183" s="259">
        <f>6/1000</f>
        <v>6.0000000000000001E-3</v>
      </c>
      <c r="AQ183" s="61"/>
      <c r="AR183" s="59">
        <f>(AJ183+AP183)</f>
        <v>6.0000000000000001E-3</v>
      </c>
      <c r="AS183" s="59">
        <f>(AP183-AJ183)</f>
        <v>6.0000000000000001E-3</v>
      </c>
      <c r="AT183" s="40">
        <f t="shared" ref="AT183:AT198" si="430">MAX(AR183:AS183)</f>
        <v>6.0000000000000001E-3</v>
      </c>
      <c r="AU183" s="43">
        <f t="shared" ref="AU183:AU193" si="431">YEARFRAC(S183,AG183)</f>
        <v>121.61944444444444</v>
      </c>
      <c r="AV183" s="44">
        <f t="shared" si="428"/>
        <v>6.0000000000000001E-3</v>
      </c>
      <c r="AW183" s="95">
        <f t="shared" si="240"/>
        <v>4.9334216476714706E-5</v>
      </c>
      <c r="AX183" s="46">
        <f t="shared" si="429"/>
        <v>2026.9907407407409</v>
      </c>
      <c r="AY183" s="72" t="str">
        <f t="shared" ref="AY183:AY193" si="432">IF(AX183&lt;=1,"UN AÑO",IF(AX183&gt;=1,"DOS AÑOS"))</f>
        <v>DOS AÑOS</v>
      </c>
      <c r="AZ183" s="645"/>
      <c r="BA183" s="630" t="s">
        <v>56</v>
      </c>
      <c r="BB183" s="129"/>
      <c r="BC183" s="174"/>
      <c r="BD183" s="118"/>
    </row>
    <row r="184" spans="2:56" x14ac:dyDescent="0.25">
      <c r="B184" s="484"/>
      <c r="C184" s="487"/>
      <c r="D184" s="501"/>
      <c r="E184" s="505"/>
      <c r="F184" s="509"/>
      <c r="G184" s="435"/>
      <c r="H184" s="435"/>
      <c r="I184" s="130">
        <v>0.1</v>
      </c>
      <c r="J184" s="444"/>
      <c r="K184" s="131"/>
      <c r="L184" s="131"/>
      <c r="M184" s="131"/>
      <c r="N184" s="131"/>
      <c r="O184" s="131"/>
      <c r="P184" s="131"/>
      <c r="Q184" s="37">
        <v>0.5</v>
      </c>
      <c r="R184" s="37" t="s">
        <v>125</v>
      </c>
      <c r="S184" s="38"/>
      <c r="T184" s="475"/>
      <c r="U184" s="96"/>
      <c r="V184" s="96"/>
      <c r="W184" s="96"/>
      <c r="X184" s="96"/>
      <c r="Y184" s="96"/>
      <c r="Z184" s="96"/>
      <c r="AA184" s="96"/>
      <c r="AB184" s="96"/>
      <c r="AC184" s="96"/>
      <c r="AD184" s="40"/>
      <c r="AE184" s="40"/>
      <c r="AF184" s="40"/>
      <c r="AG184" s="41">
        <v>44421</v>
      </c>
      <c r="AH184" s="455"/>
      <c r="AI184" s="94"/>
      <c r="AJ184" s="42">
        <f>10/1000</f>
        <v>0.01</v>
      </c>
      <c r="AK184" s="42"/>
      <c r="AL184" s="94"/>
      <c r="AM184" s="94"/>
      <c r="AN184" s="94"/>
      <c r="AO184" s="94"/>
      <c r="AP184" s="259">
        <f>6/1000</f>
        <v>6.0000000000000001E-3</v>
      </c>
      <c r="AQ184" s="42"/>
      <c r="AR184" s="40">
        <f t="shared" ref="AR184:AR193" si="433">(AJ184+AP184)</f>
        <v>1.6E-2</v>
      </c>
      <c r="AS184" s="40">
        <f>(AP184-AJ184)</f>
        <v>-4.0000000000000001E-3</v>
      </c>
      <c r="AT184" s="40">
        <f t="shared" si="430"/>
        <v>1.6E-2</v>
      </c>
      <c r="AU184" s="43">
        <f t="shared" si="431"/>
        <v>121.61944444444444</v>
      </c>
      <c r="AV184" s="44">
        <f t="shared" si="428"/>
        <v>1.6E-2</v>
      </c>
      <c r="AW184" s="95">
        <f t="shared" si="240"/>
        <v>1.3155791060457257E-4</v>
      </c>
      <c r="AX184" s="46">
        <f t="shared" si="429"/>
        <v>760.12152777777771</v>
      </c>
      <c r="AY184" s="72" t="str">
        <f t="shared" si="432"/>
        <v>DOS AÑOS</v>
      </c>
      <c r="AZ184" s="646"/>
      <c r="BA184" s="631"/>
      <c r="BB184" s="132"/>
      <c r="BC184" s="175"/>
      <c r="BD184" s="122"/>
    </row>
    <row r="185" spans="2:56" x14ac:dyDescent="0.25">
      <c r="B185" s="484"/>
      <c r="C185" s="487"/>
      <c r="D185" s="501"/>
      <c r="E185" s="505"/>
      <c r="F185" s="509"/>
      <c r="G185" s="435"/>
      <c r="H185" s="435"/>
      <c r="I185" s="130">
        <v>0.1</v>
      </c>
      <c r="J185" s="444"/>
      <c r="K185" s="131"/>
      <c r="L185" s="131"/>
      <c r="M185" s="131"/>
      <c r="N185" s="131"/>
      <c r="O185" s="131"/>
      <c r="P185" s="131"/>
      <c r="Q185" s="37">
        <v>1</v>
      </c>
      <c r="R185" s="37" t="s">
        <v>125</v>
      </c>
      <c r="S185" s="38"/>
      <c r="T185" s="475"/>
      <c r="U185" s="172"/>
      <c r="V185" s="172"/>
      <c r="W185" s="172"/>
      <c r="X185" s="172"/>
      <c r="Y185" s="172"/>
      <c r="Z185" s="172"/>
      <c r="AA185" s="172"/>
      <c r="AB185" s="172"/>
      <c r="AC185" s="172"/>
      <c r="AD185" s="172"/>
      <c r="AE185" s="172"/>
      <c r="AF185" s="40"/>
      <c r="AG185" s="41">
        <v>44421</v>
      </c>
      <c r="AH185" s="455"/>
      <c r="AI185" s="94"/>
      <c r="AJ185" s="42">
        <f>9.9/1000</f>
        <v>9.9000000000000008E-3</v>
      </c>
      <c r="AK185" s="42"/>
      <c r="AL185" s="94"/>
      <c r="AM185" s="94"/>
      <c r="AN185" s="94"/>
      <c r="AO185" s="94"/>
      <c r="AP185" s="259">
        <f>6/1000</f>
        <v>6.0000000000000001E-3</v>
      </c>
      <c r="AQ185" s="42"/>
      <c r="AR185" s="40">
        <f t="shared" si="433"/>
        <v>1.5900000000000001E-2</v>
      </c>
      <c r="AS185" s="40">
        <f t="shared" ref="AS185:AS193" si="434">(AP185-AJ185)</f>
        <v>-3.9000000000000007E-3</v>
      </c>
      <c r="AT185" s="40">
        <f t="shared" si="430"/>
        <v>1.5900000000000001E-2</v>
      </c>
      <c r="AU185" s="43">
        <f t="shared" si="431"/>
        <v>121.61944444444444</v>
      </c>
      <c r="AV185" s="44">
        <f t="shared" si="428"/>
        <v>1.5900000000000001E-2</v>
      </c>
      <c r="AW185" s="95">
        <f t="shared" si="240"/>
        <v>1.3073567366329397E-4</v>
      </c>
      <c r="AX185" s="46">
        <f t="shared" si="429"/>
        <v>764.90216631726071</v>
      </c>
      <c r="AY185" s="72" t="str">
        <f t="shared" si="432"/>
        <v>DOS AÑOS</v>
      </c>
      <c r="AZ185" s="646"/>
      <c r="BA185" s="631"/>
      <c r="BB185" s="132"/>
      <c r="BC185" s="175"/>
      <c r="BD185" s="122"/>
    </row>
    <row r="186" spans="2:56" x14ac:dyDescent="0.25">
      <c r="B186" s="484"/>
      <c r="C186" s="487"/>
      <c r="D186" s="501"/>
      <c r="E186" s="505"/>
      <c r="F186" s="509"/>
      <c r="G186" s="435"/>
      <c r="H186" s="435"/>
      <c r="I186" s="130">
        <v>0.1</v>
      </c>
      <c r="J186" s="444"/>
      <c r="K186" s="131"/>
      <c r="L186" s="131"/>
      <c r="M186" s="131"/>
      <c r="N186" s="131"/>
      <c r="O186" s="131"/>
      <c r="P186" s="131"/>
      <c r="Q186" s="37">
        <v>1.6</v>
      </c>
      <c r="R186" s="37" t="s">
        <v>125</v>
      </c>
      <c r="S186" s="38"/>
      <c r="T186" s="475"/>
      <c r="U186" s="172"/>
      <c r="V186" s="172"/>
      <c r="W186" s="172"/>
      <c r="X186" s="172"/>
      <c r="Y186" s="172"/>
      <c r="Z186" s="172"/>
      <c r="AA186" s="172"/>
      <c r="AB186" s="172"/>
      <c r="AC186" s="172"/>
      <c r="AD186" s="172"/>
      <c r="AE186" s="172"/>
      <c r="AF186" s="40"/>
      <c r="AG186" s="41">
        <v>44421</v>
      </c>
      <c r="AH186" s="455"/>
      <c r="AI186" s="94"/>
      <c r="AJ186" s="42">
        <f>9.9/1000</f>
        <v>9.9000000000000008E-3</v>
      </c>
      <c r="AK186" s="42"/>
      <c r="AL186" s="94"/>
      <c r="AM186" s="94"/>
      <c r="AN186" s="94"/>
      <c r="AO186" s="94"/>
      <c r="AP186" s="259">
        <f>6/1000</f>
        <v>6.0000000000000001E-3</v>
      </c>
      <c r="AQ186" s="42"/>
      <c r="AR186" s="40">
        <f t="shared" si="433"/>
        <v>1.5900000000000001E-2</v>
      </c>
      <c r="AS186" s="40">
        <f t="shared" si="434"/>
        <v>-3.9000000000000007E-3</v>
      </c>
      <c r="AT186" s="40">
        <f t="shared" si="430"/>
        <v>1.5900000000000001E-2</v>
      </c>
      <c r="AU186" s="43">
        <f t="shared" si="431"/>
        <v>121.61944444444444</v>
      </c>
      <c r="AV186" s="44">
        <f t="shared" si="428"/>
        <v>1.5900000000000001E-2</v>
      </c>
      <c r="AW186" s="95">
        <f t="shared" si="240"/>
        <v>1.3073567366329397E-4</v>
      </c>
      <c r="AX186" s="46">
        <f t="shared" si="429"/>
        <v>764.90216631726071</v>
      </c>
      <c r="AY186" s="72" t="str">
        <f t="shared" si="432"/>
        <v>DOS AÑOS</v>
      </c>
      <c r="AZ186" s="646"/>
      <c r="BA186" s="631"/>
      <c r="BB186" s="132"/>
      <c r="BC186" s="175"/>
      <c r="BD186" s="122"/>
    </row>
    <row r="187" spans="2:56" x14ac:dyDescent="0.25">
      <c r="B187" s="484"/>
      <c r="C187" s="487"/>
      <c r="D187" s="501"/>
      <c r="E187" s="505"/>
      <c r="F187" s="509"/>
      <c r="G187" s="435"/>
      <c r="H187" s="435"/>
      <c r="I187" s="130">
        <v>0.1</v>
      </c>
      <c r="J187" s="444"/>
      <c r="K187" s="131"/>
      <c r="L187" s="131"/>
      <c r="M187" s="131"/>
      <c r="N187" s="131"/>
      <c r="O187" s="131"/>
      <c r="P187" s="131"/>
      <c r="Q187" s="37">
        <v>2</v>
      </c>
      <c r="R187" s="37" t="s">
        <v>125</v>
      </c>
      <c r="S187" s="38"/>
      <c r="T187" s="475"/>
      <c r="U187" s="172"/>
      <c r="V187" s="172"/>
      <c r="W187" s="172"/>
      <c r="X187" s="172"/>
      <c r="Y187" s="172"/>
      <c r="Z187" s="172"/>
      <c r="AA187" s="172"/>
      <c r="AB187" s="172"/>
      <c r="AC187" s="172"/>
      <c r="AD187" s="172"/>
      <c r="AE187" s="172"/>
      <c r="AF187" s="40"/>
      <c r="AG187" s="41">
        <v>44421</v>
      </c>
      <c r="AH187" s="455"/>
      <c r="AI187" s="94"/>
      <c r="AJ187" s="42">
        <f>10/1000</f>
        <v>0.01</v>
      </c>
      <c r="AK187" s="42"/>
      <c r="AL187" s="94"/>
      <c r="AM187" s="94"/>
      <c r="AN187" s="94"/>
      <c r="AO187" s="94"/>
      <c r="AP187" s="259">
        <f>6/1000</f>
        <v>6.0000000000000001E-3</v>
      </c>
      <c r="AQ187" s="42"/>
      <c r="AR187" s="40">
        <f t="shared" si="433"/>
        <v>1.6E-2</v>
      </c>
      <c r="AS187" s="40">
        <f t="shared" si="434"/>
        <v>-4.0000000000000001E-3</v>
      </c>
      <c r="AT187" s="40">
        <f t="shared" si="430"/>
        <v>1.6E-2</v>
      </c>
      <c r="AU187" s="43">
        <f t="shared" si="431"/>
        <v>121.61944444444444</v>
      </c>
      <c r="AV187" s="44">
        <f t="shared" si="428"/>
        <v>1.6E-2</v>
      </c>
      <c r="AW187" s="95">
        <f t="shared" si="240"/>
        <v>1.3155791060457257E-4</v>
      </c>
      <c r="AX187" s="46">
        <f t="shared" si="429"/>
        <v>760.12152777777771</v>
      </c>
      <c r="AY187" s="72" t="str">
        <f t="shared" si="432"/>
        <v>DOS AÑOS</v>
      </c>
      <c r="AZ187" s="646"/>
      <c r="BA187" s="631"/>
      <c r="BB187" s="132"/>
      <c r="BC187" s="175"/>
      <c r="BD187" s="122"/>
    </row>
    <row r="188" spans="2:56" x14ac:dyDescent="0.25">
      <c r="B188" s="484"/>
      <c r="C188" s="487"/>
      <c r="D188" s="501"/>
      <c r="E188" s="505"/>
      <c r="F188" s="509"/>
      <c r="G188" s="435"/>
      <c r="H188" s="435"/>
      <c r="I188" s="130">
        <v>0.1</v>
      </c>
      <c r="J188" s="444"/>
      <c r="K188" s="131"/>
      <c r="L188" s="131"/>
      <c r="M188" s="131"/>
      <c r="N188" s="131"/>
      <c r="O188" s="131"/>
      <c r="P188" s="131"/>
      <c r="Q188" s="37">
        <v>5</v>
      </c>
      <c r="R188" s="37" t="s">
        <v>125</v>
      </c>
      <c r="S188" s="38"/>
      <c r="T188" s="475"/>
      <c r="U188" s="96"/>
      <c r="V188" s="96"/>
      <c r="W188" s="96"/>
      <c r="X188" s="96"/>
      <c r="Y188" s="96"/>
      <c r="Z188" s="96"/>
      <c r="AA188" s="96"/>
      <c r="AB188" s="96"/>
      <c r="AC188" s="96"/>
      <c r="AD188" s="40"/>
      <c r="AE188" s="40"/>
      <c r="AF188" s="40"/>
      <c r="AG188" s="41">
        <v>44421</v>
      </c>
      <c r="AH188" s="455"/>
      <c r="AI188" s="94"/>
      <c r="AJ188" s="42">
        <f>4.1/1000</f>
        <v>4.0999999999999995E-3</v>
      </c>
      <c r="AK188" s="42"/>
      <c r="AL188" s="94"/>
      <c r="AM188" s="94"/>
      <c r="AN188" s="94"/>
      <c r="AO188" s="94"/>
      <c r="AP188" s="94">
        <f>8.1/1000</f>
        <v>8.0999999999999996E-3</v>
      </c>
      <c r="AQ188" s="42"/>
      <c r="AR188" s="40">
        <f t="shared" si="433"/>
        <v>1.2199999999999999E-2</v>
      </c>
      <c r="AS188" s="40">
        <f t="shared" si="434"/>
        <v>4.0000000000000001E-3</v>
      </c>
      <c r="AT188" s="40">
        <f t="shared" si="430"/>
        <v>1.2199999999999999E-2</v>
      </c>
      <c r="AU188" s="43">
        <f t="shared" si="431"/>
        <v>121.61944444444444</v>
      </c>
      <c r="AV188" s="44">
        <f t="shared" si="428"/>
        <v>1.2199999999999999E-2</v>
      </c>
      <c r="AW188" s="95">
        <f t="shared" si="240"/>
        <v>1.0031290683598656E-4</v>
      </c>
      <c r="AX188" s="46">
        <f t="shared" si="429"/>
        <v>996.88069216757754</v>
      </c>
      <c r="AY188" s="72" t="str">
        <f t="shared" si="432"/>
        <v>DOS AÑOS</v>
      </c>
      <c r="AZ188" s="646"/>
      <c r="BA188" s="631"/>
      <c r="BB188" s="132"/>
      <c r="BC188" s="175"/>
      <c r="BD188" s="122"/>
    </row>
    <row r="189" spans="2:56" x14ac:dyDescent="0.25">
      <c r="B189" s="484"/>
      <c r="C189" s="487"/>
      <c r="D189" s="501"/>
      <c r="E189" s="505"/>
      <c r="F189" s="509"/>
      <c r="G189" s="435"/>
      <c r="H189" s="435"/>
      <c r="I189" s="130">
        <v>0.1</v>
      </c>
      <c r="J189" s="444"/>
      <c r="K189" s="131"/>
      <c r="L189" s="131"/>
      <c r="M189" s="131"/>
      <c r="N189" s="131"/>
      <c r="O189" s="131"/>
      <c r="P189" s="131"/>
      <c r="Q189" s="37">
        <v>10</v>
      </c>
      <c r="R189" s="37" t="s">
        <v>125</v>
      </c>
      <c r="S189" s="38"/>
      <c r="T189" s="475"/>
      <c r="U189" s="117"/>
      <c r="V189" s="96"/>
      <c r="W189" s="96"/>
      <c r="X189" s="96"/>
      <c r="Y189" s="96"/>
      <c r="Z189" s="96"/>
      <c r="AA189" s="96"/>
      <c r="AB189" s="96"/>
      <c r="AC189" s="96"/>
      <c r="AD189" s="40"/>
      <c r="AE189" s="40"/>
      <c r="AF189" s="40"/>
      <c r="AG189" s="41">
        <v>44421</v>
      </c>
      <c r="AH189" s="455"/>
      <c r="AI189" s="94"/>
      <c r="AJ189" s="42">
        <v>0</v>
      </c>
      <c r="AK189" s="42"/>
      <c r="AL189" s="94"/>
      <c r="AM189" s="94"/>
      <c r="AN189" s="94"/>
      <c r="AO189" s="94"/>
      <c r="AP189" s="259">
        <f>6/1000</f>
        <v>6.0000000000000001E-3</v>
      </c>
      <c r="AQ189" s="42"/>
      <c r="AR189" s="40">
        <f t="shared" si="433"/>
        <v>6.0000000000000001E-3</v>
      </c>
      <c r="AS189" s="40">
        <f t="shared" si="434"/>
        <v>6.0000000000000001E-3</v>
      </c>
      <c r="AT189" s="40">
        <f t="shared" si="430"/>
        <v>6.0000000000000001E-3</v>
      </c>
      <c r="AU189" s="43">
        <f t="shared" si="431"/>
        <v>121.61944444444444</v>
      </c>
      <c r="AV189" s="44">
        <f t="shared" si="428"/>
        <v>6.0000000000000001E-3</v>
      </c>
      <c r="AW189" s="95">
        <f t="shared" si="240"/>
        <v>4.9334216476714706E-5</v>
      </c>
      <c r="AX189" s="46">
        <f t="shared" si="429"/>
        <v>2026.9907407407409</v>
      </c>
      <c r="AY189" s="72" t="str">
        <f t="shared" si="432"/>
        <v>DOS AÑOS</v>
      </c>
      <c r="AZ189" s="646"/>
      <c r="BA189" s="631"/>
      <c r="BB189" s="132"/>
      <c r="BC189" s="175"/>
      <c r="BD189" s="122"/>
    </row>
    <row r="190" spans="2:56" x14ac:dyDescent="0.25">
      <c r="B190" s="484"/>
      <c r="C190" s="487"/>
      <c r="D190" s="501"/>
      <c r="E190" s="505"/>
      <c r="F190" s="509"/>
      <c r="G190" s="435"/>
      <c r="H190" s="435"/>
      <c r="I190" s="130">
        <v>0.1</v>
      </c>
      <c r="J190" s="444"/>
      <c r="K190" s="131"/>
      <c r="L190" s="131"/>
      <c r="M190" s="131"/>
      <c r="N190" s="131"/>
      <c r="O190" s="131"/>
      <c r="P190" s="131"/>
      <c r="Q190" s="37">
        <v>15</v>
      </c>
      <c r="R190" s="37" t="s">
        <v>125</v>
      </c>
      <c r="S190" s="38"/>
      <c r="T190" s="475"/>
      <c r="U190" s="96"/>
      <c r="V190" s="96"/>
      <c r="W190" s="96"/>
      <c r="X190" s="96"/>
      <c r="Y190" s="96"/>
      <c r="Z190" s="96"/>
      <c r="AA190" s="96"/>
      <c r="AB190" s="96"/>
      <c r="AC190" s="96"/>
      <c r="AD190" s="40"/>
      <c r="AE190" s="40"/>
      <c r="AF190" s="40"/>
      <c r="AG190" s="41">
        <v>44421</v>
      </c>
      <c r="AH190" s="455"/>
      <c r="AI190" s="94"/>
      <c r="AJ190" s="42">
        <f>-6.1/1000</f>
        <v>-6.0999999999999995E-3</v>
      </c>
      <c r="AK190" s="42"/>
      <c r="AL190" s="94"/>
      <c r="AM190" s="94"/>
      <c r="AN190" s="94"/>
      <c r="AO190" s="94"/>
      <c r="AP190" s="94">
        <f>8.1/1000</f>
        <v>8.0999999999999996E-3</v>
      </c>
      <c r="AQ190" s="42"/>
      <c r="AR190" s="40">
        <f t="shared" si="433"/>
        <v>2E-3</v>
      </c>
      <c r="AS190" s="40">
        <f t="shared" si="434"/>
        <v>1.4199999999999999E-2</v>
      </c>
      <c r="AT190" s="40">
        <f t="shared" si="430"/>
        <v>1.4199999999999999E-2</v>
      </c>
      <c r="AU190" s="43">
        <f t="shared" si="431"/>
        <v>121.61944444444444</v>
      </c>
      <c r="AV190" s="44">
        <f t="shared" si="428"/>
        <v>1.4199999999999999E-2</v>
      </c>
      <c r="AW190" s="95">
        <f t="shared" si="240"/>
        <v>1.1675764566155813E-4</v>
      </c>
      <c r="AX190" s="46">
        <f t="shared" si="429"/>
        <v>856.47496087636944</v>
      </c>
      <c r="AY190" s="72" t="str">
        <f t="shared" si="432"/>
        <v>DOS AÑOS</v>
      </c>
      <c r="AZ190" s="646"/>
      <c r="BA190" s="631"/>
      <c r="BB190" s="132"/>
      <c r="BC190" s="175"/>
      <c r="BD190" s="122"/>
    </row>
    <row r="191" spans="2:56" x14ac:dyDescent="0.25">
      <c r="B191" s="484"/>
      <c r="C191" s="487"/>
      <c r="D191" s="501"/>
      <c r="E191" s="505"/>
      <c r="F191" s="509"/>
      <c r="G191" s="435"/>
      <c r="H191" s="435"/>
      <c r="I191" s="130">
        <v>0.1</v>
      </c>
      <c r="J191" s="444"/>
      <c r="K191" s="131"/>
      <c r="L191" s="131"/>
      <c r="M191" s="131"/>
      <c r="N191" s="131"/>
      <c r="O191" s="131"/>
      <c r="P191" s="131"/>
      <c r="Q191" s="37">
        <v>17</v>
      </c>
      <c r="R191" s="37" t="s">
        <v>125</v>
      </c>
      <c r="S191" s="38"/>
      <c r="T191" s="475"/>
      <c r="U191" s="96"/>
      <c r="V191" s="96"/>
      <c r="W191" s="96"/>
      <c r="X191" s="96"/>
      <c r="Y191" s="96"/>
      <c r="Z191" s="96"/>
      <c r="AA191" s="96"/>
      <c r="AB191" s="96"/>
      <c r="AC191" s="96"/>
      <c r="AD191" s="40"/>
      <c r="AE191" s="40"/>
      <c r="AF191" s="40"/>
      <c r="AG191" s="41">
        <v>44421</v>
      </c>
      <c r="AH191" s="455"/>
      <c r="AI191" s="94"/>
      <c r="AJ191" s="42">
        <f>27.9/1000</f>
        <v>2.7899999999999998E-2</v>
      </c>
      <c r="AK191" s="42"/>
      <c r="AL191" s="94"/>
      <c r="AM191" s="94"/>
      <c r="AN191" s="94"/>
      <c r="AO191" s="94"/>
      <c r="AP191" s="94">
        <f>7.4/1000</f>
        <v>7.4000000000000003E-3</v>
      </c>
      <c r="AQ191" s="42"/>
      <c r="AR191" s="40">
        <f t="shared" si="433"/>
        <v>3.5299999999999998E-2</v>
      </c>
      <c r="AS191" s="40">
        <f t="shared" si="434"/>
        <v>-2.0499999999999997E-2</v>
      </c>
      <c r="AT191" s="40">
        <f t="shared" si="430"/>
        <v>3.5299999999999998E-2</v>
      </c>
      <c r="AU191" s="43">
        <f t="shared" si="431"/>
        <v>121.61944444444444</v>
      </c>
      <c r="AV191" s="44">
        <f t="shared" si="428"/>
        <v>3.5299999999999998E-2</v>
      </c>
      <c r="AW191" s="95">
        <f t="shared" si="240"/>
        <v>2.9024964027133819E-4</v>
      </c>
      <c r="AX191" s="46">
        <f t="shared" si="429"/>
        <v>344.53100409191063</v>
      </c>
      <c r="AY191" s="72" t="str">
        <f t="shared" si="432"/>
        <v>DOS AÑOS</v>
      </c>
      <c r="AZ191" s="646"/>
      <c r="BA191" s="631"/>
      <c r="BB191" s="132"/>
      <c r="BC191" s="175"/>
      <c r="BD191" s="122"/>
    </row>
    <row r="192" spans="2:56" x14ac:dyDescent="0.25">
      <c r="B192" s="498"/>
      <c r="C192" s="499"/>
      <c r="D192" s="502"/>
      <c r="E192" s="506"/>
      <c r="F192" s="510"/>
      <c r="G192" s="516"/>
      <c r="H192" s="516"/>
      <c r="I192" s="426">
        <v>0.1</v>
      </c>
      <c r="J192" s="551"/>
      <c r="K192" s="427"/>
      <c r="L192" s="427"/>
      <c r="M192" s="427"/>
      <c r="N192" s="427"/>
      <c r="O192" s="427"/>
      <c r="P192" s="427"/>
      <c r="Q192" s="428">
        <v>20</v>
      </c>
      <c r="R192" s="428" t="s">
        <v>125</v>
      </c>
      <c r="S192" s="38"/>
      <c r="T192" s="475"/>
      <c r="U192" s="265"/>
      <c r="V192" s="265"/>
      <c r="W192" s="265"/>
      <c r="X192" s="265"/>
      <c r="Y192" s="265"/>
      <c r="Z192" s="265"/>
      <c r="AA192" s="265"/>
      <c r="AB192" s="265"/>
      <c r="AC192" s="265"/>
      <c r="AD192" s="267"/>
      <c r="AE192" s="267"/>
      <c r="AF192" s="267"/>
      <c r="AG192" s="41">
        <v>44421</v>
      </c>
      <c r="AH192" s="455"/>
      <c r="AI192" s="269"/>
      <c r="AJ192" s="429">
        <f>-4.1/1000</f>
        <v>-4.0999999999999995E-3</v>
      </c>
      <c r="AK192" s="429"/>
      <c r="AL192" s="269"/>
      <c r="AM192" s="269"/>
      <c r="AN192" s="269"/>
      <c r="AO192" s="269"/>
      <c r="AP192" s="94">
        <f t="shared" ref="AP192:AP193" si="435">8.1/1000</f>
        <v>8.0999999999999996E-3</v>
      </c>
      <c r="AQ192" s="429"/>
      <c r="AR192" s="40">
        <f t="shared" ref="AR192" si="436">(AJ192+AP192)</f>
        <v>4.0000000000000001E-3</v>
      </c>
      <c r="AS192" s="40">
        <f t="shared" ref="AS192" si="437">(AP192-AJ192)</f>
        <v>1.2199999999999999E-2</v>
      </c>
      <c r="AT192" s="40">
        <f t="shared" ref="AT192" si="438">MAX(AR192:AS192)</f>
        <v>1.2199999999999999E-2</v>
      </c>
      <c r="AU192" s="43">
        <f t="shared" ref="AU192" si="439">YEARFRAC(S192,AG192)</f>
        <v>121.61944444444444</v>
      </c>
      <c r="AV192" s="44">
        <f t="shared" ref="AV192" si="440">ABS(AT192-AF192)</f>
        <v>1.2199999999999999E-2</v>
      </c>
      <c r="AW192" s="95">
        <f t="shared" ref="AW192" si="441">(AV192/AU192)</f>
        <v>1.0031290683598656E-4</v>
      </c>
      <c r="AX192" s="46">
        <f t="shared" ref="AX192" si="442">(I192/AW192)</f>
        <v>996.88069216757754</v>
      </c>
      <c r="AY192" s="72" t="str">
        <f t="shared" ref="AY192" si="443">IF(AX192&lt;=1,"UN AÑO",IF(AX192&gt;=1,"DOS AÑOS"))</f>
        <v>DOS AÑOS</v>
      </c>
      <c r="AZ192" s="646"/>
      <c r="BA192" s="631"/>
      <c r="BB192" s="430"/>
      <c r="BC192" s="431"/>
      <c r="BD192" s="432"/>
    </row>
    <row r="193" spans="2:56" ht="15.75" thickBot="1" x14ac:dyDescent="0.3">
      <c r="B193" s="485"/>
      <c r="C193" s="488"/>
      <c r="D193" s="503"/>
      <c r="E193" s="507"/>
      <c r="F193" s="511"/>
      <c r="G193" s="442"/>
      <c r="H193" s="442"/>
      <c r="I193" s="136">
        <v>0.1</v>
      </c>
      <c r="J193" s="445"/>
      <c r="K193" s="137"/>
      <c r="L193" s="137"/>
      <c r="M193" s="137"/>
      <c r="N193" s="137"/>
      <c r="O193" s="137"/>
      <c r="P193" s="137"/>
      <c r="Q193" s="47">
        <v>25</v>
      </c>
      <c r="R193" s="47" t="s">
        <v>125</v>
      </c>
      <c r="S193" s="38"/>
      <c r="T193" s="476"/>
      <c r="U193" s="173"/>
      <c r="V193" s="173"/>
      <c r="W193" s="173"/>
      <c r="X193" s="173"/>
      <c r="Y193" s="173"/>
      <c r="Z193" s="173"/>
      <c r="AA193" s="173"/>
      <c r="AB193" s="173"/>
      <c r="AC193" s="173"/>
      <c r="AD193" s="173"/>
      <c r="AE193" s="173"/>
      <c r="AF193" s="49"/>
      <c r="AG193" s="41">
        <v>44421</v>
      </c>
      <c r="AH193" s="553"/>
      <c r="AI193" s="115"/>
      <c r="AJ193" s="50">
        <f>3.8/1000</f>
        <v>3.8E-3</v>
      </c>
      <c r="AK193" s="50"/>
      <c r="AL193" s="115"/>
      <c r="AM193" s="115"/>
      <c r="AN193" s="115"/>
      <c r="AO193" s="115"/>
      <c r="AP193" s="94">
        <f t="shared" si="435"/>
        <v>8.0999999999999996E-3</v>
      </c>
      <c r="AQ193" s="50"/>
      <c r="AR193" s="49">
        <f t="shared" si="433"/>
        <v>1.1899999999999999E-2</v>
      </c>
      <c r="AS193" s="40">
        <f t="shared" si="434"/>
        <v>4.3E-3</v>
      </c>
      <c r="AT193" s="40">
        <f t="shared" si="430"/>
        <v>1.1899999999999999E-2</v>
      </c>
      <c r="AU193" s="43">
        <f t="shared" si="431"/>
        <v>121.61944444444444</v>
      </c>
      <c r="AV193" s="44">
        <f t="shared" si="428"/>
        <v>1.1899999999999999E-2</v>
      </c>
      <c r="AW193" s="95">
        <f t="shared" si="240"/>
        <v>9.7846196012150831E-5</v>
      </c>
      <c r="AX193" s="46">
        <f t="shared" si="429"/>
        <v>1022.0121381886089</v>
      </c>
      <c r="AY193" s="72" t="str">
        <f t="shared" si="432"/>
        <v>DOS AÑOS</v>
      </c>
      <c r="AZ193" s="647"/>
      <c r="BA193" s="632"/>
      <c r="BB193" s="139"/>
      <c r="BC193" s="176"/>
      <c r="BD193" s="123"/>
    </row>
    <row r="194" spans="2:56" ht="0.75" customHeight="1" thickBot="1" x14ac:dyDescent="0.3">
      <c r="B194" s="483" t="s">
        <v>163</v>
      </c>
      <c r="C194" s="486" t="s">
        <v>59</v>
      </c>
      <c r="D194" s="489" t="s">
        <v>113</v>
      </c>
      <c r="E194" s="489" t="s">
        <v>114</v>
      </c>
      <c r="F194" s="492" t="s">
        <v>116</v>
      </c>
      <c r="G194" s="434" t="s">
        <v>60</v>
      </c>
      <c r="H194" s="697" t="s">
        <v>172</v>
      </c>
      <c r="I194" s="55">
        <v>5</v>
      </c>
      <c r="J194" s="443" t="s">
        <v>20</v>
      </c>
      <c r="K194" s="56" t="s">
        <v>69</v>
      </c>
      <c r="L194" s="495" t="s">
        <v>20</v>
      </c>
      <c r="M194" s="56" t="s">
        <v>69</v>
      </c>
      <c r="N194" s="495" t="s">
        <v>20</v>
      </c>
      <c r="O194" s="56" t="s">
        <v>69</v>
      </c>
      <c r="P194" s="495" t="s">
        <v>20</v>
      </c>
      <c r="Q194" s="57">
        <v>40</v>
      </c>
      <c r="R194" s="82" t="s">
        <v>82</v>
      </c>
      <c r="S194" s="58">
        <v>43839</v>
      </c>
      <c r="T194" s="446">
        <v>89921201005</v>
      </c>
      <c r="U194" s="133">
        <v>40.4</v>
      </c>
      <c r="V194" s="133">
        <f>Q194-U194</f>
        <v>-0.39999999999999858</v>
      </c>
      <c r="W194" s="133">
        <f>V194*100/Q194</f>
        <v>-0.99999999999999645</v>
      </c>
      <c r="X194" s="133" t="s">
        <v>69</v>
      </c>
      <c r="Y194" s="133" t="s">
        <v>69</v>
      </c>
      <c r="Z194" s="133" t="s">
        <v>69</v>
      </c>
      <c r="AA194" s="133" t="s">
        <v>69</v>
      </c>
      <c r="AB194" s="133">
        <v>1.45</v>
      </c>
      <c r="AC194" s="133">
        <f>AB194*100/Q194</f>
        <v>3.625</v>
      </c>
      <c r="AD194" s="59">
        <f>(V194+AC194)</f>
        <v>3.2250000000000014</v>
      </c>
      <c r="AE194" s="59">
        <f>(V194-AC194)</f>
        <v>-4.0249999999999986</v>
      </c>
      <c r="AF194" s="59">
        <f t="shared" si="420"/>
        <v>3.2250000000000014</v>
      </c>
      <c r="AG194" s="60">
        <v>44207</v>
      </c>
      <c r="AH194" s="460">
        <v>8992211012</v>
      </c>
      <c r="AI194" s="84">
        <v>39.799999999999997</v>
      </c>
      <c r="AJ194" s="84">
        <f>Q194-AI194</f>
        <v>0.20000000000000284</v>
      </c>
      <c r="AK194" s="84">
        <f>AJ194*100/Q194</f>
        <v>0.50000000000000711</v>
      </c>
      <c r="AL194" s="84" t="s">
        <v>69</v>
      </c>
      <c r="AM194" s="84" t="s">
        <v>69</v>
      </c>
      <c r="AN194" s="84" t="s">
        <v>69</v>
      </c>
      <c r="AO194" s="84" t="s">
        <v>69</v>
      </c>
      <c r="AP194" s="134">
        <v>1.48</v>
      </c>
      <c r="AQ194" s="134">
        <f>AP194*100/Q194</f>
        <v>3.7</v>
      </c>
      <c r="AR194" s="59">
        <f>(AJ194+AQ194)</f>
        <v>3.900000000000003</v>
      </c>
      <c r="AS194" s="59">
        <f>(AJ194-AQ194)</f>
        <v>-3.4999999999999973</v>
      </c>
      <c r="AT194" s="40">
        <f t="shared" si="430"/>
        <v>3.900000000000003</v>
      </c>
      <c r="AU194" s="43">
        <f t="shared" ref="AU194:AU198" si="444">YEARFRAC(S194,AG194)</f>
        <v>1.0055555555555555</v>
      </c>
      <c r="AV194" s="44">
        <f t="shared" ref="AV194:AV198" si="445">ABS(AT194-AF194)</f>
        <v>0.6750000000000016</v>
      </c>
      <c r="AW194" s="95">
        <f t="shared" ref="AW194:AW198" si="446">(AV194/AU194)</f>
        <v>0.67127071823204576</v>
      </c>
      <c r="AX194" s="46">
        <f t="shared" ref="AX194:AX198" si="447">(I194/AW194)</f>
        <v>7.4485596707818758</v>
      </c>
      <c r="AY194" s="72" t="str">
        <f t="shared" ref="AY194:AY198" si="448">IF(AX194&lt;=1,"UN AÑO",IF(AX194&gt;=1,"DOS AÑOS"))</f>
        <v>DOS AÑOS</v>
      </c>
      <c r="AZ194" s="436" t="s">
        <v>59</v>
      </c>
      <c r="BA194" s="439" t="s">
        <v>56</v>
      </c>
      <c r="BB194" s="477" t="s">
        <v>34</v>
      </c>
      <c r="BC194" s="124"/>
      <c r="BD194" s="480">
        <f>BC239</f>
        <v>0</v>
      </c>
    </row>
    <row r="195" spans="2:56" ht="15.75" hidden="1" customHeight="1" thickBot="1" x14ac:dyDescent="0.3">
      <c r="B195" s="484"/>
      <c r="C195" s="487"/>
      <c r="D195" s="490"/>
      <c r="E195" s="490"/>
      <c r="F195" s="493"/>
      <c r="G195" s="435"/>
      <c r="H195" s="699"/>
      <c r="I195" s="69">
        <v>5</v>
      </c>
      <c r="J195" s="444"/>
      <c r="K195" s="71" t="s">
        <v>69</v>
      </c>
      <c r="L195" s="496"/>
      <c r="M195" s="71" t="s">
        <v>69</v>
      </c>
      <c r="N195" s="496"/>
      <c r="O195" s="71" t="s">
        <v>69</v>
      </c>
      <c r="P195" s="496"/>
      <c r="Q195" s="37">
        <v>60</v>
      </c>
      <c r="R195" s="92" t="s">
        <v>82</v>
      </c>
      <c r="S195" s="38">
        <v>43839</v>
      </c>
      <c r="T195" s="447"/>
      <c r="U195" s="96">
        <v>59.6</v>
      </c>
      <c r="V195" s="96">
        <f t="shared" ref="V195:V196" si="449">Q195-U195</f>
        <v>0.39999999999999858</v>
      </c>
      <c r="W195" s="96">
        <f t="shared" ref="W195:W196" si="450">V195*100/Q195</f>
        <v>0.6666666666666643</v>
      </c>
      <c r="X195" s="96" t="s">
        <v>69</v>
      </c>
      <c r="Y195" s="96" t="s">
        <v>69</v>
      </c>
      <c r="Z195" s="96" t="s">
        <v>69</v>
      </c>
      <c r="AA195" s="96" t="s">
        <v>69</v>
      </c>
      <c r="AB195" s="96">
        <v>1.52</v>
      </c>
      <c r="AC195" s="96">
        <f t="shared" ref="AC195:AC196" si="451">AB195*100/Q195</f>
        <v>2.5333333333333332</v>
      </c>
      <c r="AD195" s="40">
        <f t="shared" ref="AD195:AD196" si="452">(V195+AC195)</f>
        <v>2.9333333333333318</v>
      </c>
      <c r="AE195" s="40">
        <f t="shared" ref="AE195:AE196" si="453">(V195-AC195)</f>
        <v>-2.1333333333333346</v>
      </c>
      <c r="AF195" s="40">
        <f t="shared" si="420"/>
        <v>2.9333333333333318</v>
      </c>
      <c r="AG195" s="41">
        <v>44207</v>
      </c>
      <c r="AH195" s="461"/>
      <c r="AI195" s="94">
        <v>59.8</v>
      </c>
      <c r="AJ195" s="94">
        <f t="shared" ref="AJ195:AJ196" si="454">Q195-AI195</f>
        <v>0.20000000000000284</v>
      </c>
      <c r="AK195" s="94">
        <f t="shared" ref="AK195:AK196" si="455">AJ195*100/Q195</f>
        <v>0.33333333333333809</v>
      </c>
      <c r="AL195" s="94" t="s">
        <v>69</v>
      </c>
      <c r="AM195" s="94" t="s">
        <v>69</v>
      </c>
      <c r="AN195" s="94" t="s">
        <v>69</v>
      </c>
      <c r="AO195" s="94" t="s">
        <v>69</v>
      </c>
      <c r="AP195" s="94">
        <v>1.48</v>
      </c>
      <c r="AQ195" s="135">
        <f t="shared" ref="AQ195:AQ196" si="456">AP195*100/Q195</f>
        <v>2.4666666666666668</v>
      </c>
      <c r="AR195" s="40">
        <f t="shared" ref="AR195:AR196" si="457">(AJ195+AQ195)</f>
        <v>2.6666666666666696</v>
      </c>
      <c r="AS195" s="40">
        <f t="shared" ref="AS195:AS196" si="458">(AJ195-AQ195)</f>
        <v>-2.2666666666666639</v>
      </c>
      <c r="AT195" s="40">
        <f t="shared" si="430"/>
        <v>2.6666666666666696</v>
      </c>
      <c r="AU195" s="43">
        <f t="shared" si="444"/>
        <v>1.0055555555555555</v>
      </c>
      <c r="AV195" s="44">
        <f t="shared" si="445"/>
        <v>0.26666666666666217</v>
      </c>
      <c r="AW195" s="95">
        <f t="shared" si="446"/>
        <v>0.2651933701657414</v>
      </c>
      <c r="AX195" s="46">
        <f t="shared" si="447"/>
        <v>18.854166666666984</v>
      </c>
      <c r="AY195" s="72" t="str">
        <f t="shared" si="448"/>
        <v>DOS AÑOS</v>
      </c>
      <c r="AZ195" s="437"/>
      <c r="BA195" s="440"/>
      <c r="BB195" s="478"/>
      <c r="BC195" s="119">
        <f>MIN(AX178:AX200)</f>
        <v>2.5138888888888888</v>
      </c>
      <c r="BD195" s="481"/>
    </row>
    <row r="196" spans="2:56" ht="15.75" hidden="1" customHeight="1" thickBot="1" x14ac:dyDescent="0.3">
      <c r="B196" s="485"/>
      <c r="C196" s="488"/>
      <c r="D196" s="491"/>
      <c r="E196" s="491"/>
      <c r="F196" s="494"/>
      <c r="G196" s="442"/>
      <c r="H196" s="699"/>
      <c r="I196" s="108">
        <v>5</v>
      </c>
      <c r="J196" s="445"/>
      <c r="K196" s="109" t="s">
        <v>69</v>
      </c>
      <c r="L196" s="497"/>
      <c r="M196" s="109" t="s">
        <v>69</v>
      </c>
      <c r="N196" s="497"/>
      <c r="O196" s="109" t="s">
        <v>69</v>
      </c>
      <c r="P196" s="497"/>
      <c r="Q196" s="47">
        <v>100</v>
      </c>
      <c r="R196" s="110" t="s">
        <v>82</v>
      </c>
      <c r="S196" s="111">
        <v>43839</v>
      </c>
      <c r="T196" s="448"/>
      <c r="U196" s="112">
        <v>99</v>
      </c>
      <c r="V196" s="112">
        <f t="shared" si="449"/>
        <v>1</v>
      </c>
      <c r="W196" s="112">
        <f t="shared" si="450"/>
        <v>1</v>
      </c>
      <c r="X196" s="112" t="s">
        <v>69</v>
      </c>
      <c r="Y196" s="112" t="s">
        <v>69</v>
      </c>
      <c r="Z196" s="112" t="s">
        <v>69</v>
      </c>
      <c r="AA196" s="112" t="s">
        <v>69</v>
      </c>
      <c r="AB196" s="112">
        <v>1.28</v>
      </c>
      <c r="AC196" s="112">
        <f t="shared" si="451"/>
        <v>1.28</v>
      </c>
      <c r="AD196" s="49">
        <f t="shared" si="452"/>
        <v>2.2800000000000002</v>
      </c>
      <c r="AE196" s="49">
        <f t="shared" si="453"/>
        <v>-0.28000000000000003</v>
      </c>
      <c r="AF196" s="49">
        <f t="shared" si="420"/>
        <v>2.2800000000000002</v>
      </c>
      <c r="AG196" s="114">
        <v>44207</v>
      </c>
      <c r="AH196" s="462"/>
      <c r="AI196" s="115">
        <v>101</v>
      </c>
      <c r="AJ196" s="115">
        <f t="shared" si="454"/>
        <v>-1</v>
      </c>
      <c r="AK196" s="115">
        <f t="shared" si="455"/>
        <v>-1</v>
      </c>
      <c r="AL196" s="115" t="s">
        <v>69</v>
      </c>
      <c r="AM196" s="115" t="s">
        <v>69</v>
      </c>
      <c r="AN196" s="115" t="s">
        <v>69</v>
      </c>
      <c r="AO196" s="115" t="s">
        <v>69</v>
      </c>
      <c r="AP196" s="115">
        <v>1.28</v>
      </c>
      <c r="AQ196" s="138">
        <f t="shared" si="456"/>
        <v>1.28</v>
      </c>
      <c r="AR196" s="49">
        <f t="shared" si="457"/>
        <v>0.28000000000000003</v>
      </c>
      <c r="AS196" s="49">
        <f t="shared" si="458"/>
        <v>-2.2800000000000002</v>
      </c>
      <c r="AT196" s="40">
        <f t="shared" si="430"/>
        <v>0.28000000000000003</v>
      </c>
      <c r="AU196" s="43">
        <f t="shared" si="444"/>
        <v>1.0055555555555555</v>
      </c>
      <c r="AV196" s="44">
        <f t="shared" si="445"/>
        <v>2</v>
      </c>
      <c r="AW196" s="95">
        <f t="shared" si="446"/>
        <v>1.988950276243094</v>
      </c>
      <c r="AX196" s="46">
        <f t="shared" si="447"/>
        <v>2.5138888888888888</v>
      </c>
      <c r="AY196" s="72" t="str">
        <f t="shared" si="448"/>
        <v>DOS AÑOS</v>
      </c>
      <c r="AZ196" s="438"/>
      <c r="BA196" s="441"/>
      <c r="BB196" s="479"/>
      <c r="BC196" s="125"/>
      <c r="BD196" s="482"/>
    </row>
    <row r="197" spans="2:56" ht="15.75" thickBot="1" x14ac:dyDescent="0.3">
      <c r="B197" s="687" t="s">
        <v>169</v>
      </c>
      <c r="C197" s="689" t="s">
        <v>170</v>
      </c>
      <c r="D197" s="691" t="s">
        <v>171</v>
      </c>
      <c r="E197" s="693">
        <v>407750</v>
      </c>
      <c r="F197" s="695">
        <v>3132092</v>
      </c>
      <c r="G197" s="697" t="s">
        <v>173</v>
      </c>
      <c r="H197" s="699"/>
      <c r="I197" s="340">
        <v>1.5</v>
      </c>
      <c r="J197" s="700" t="s">
        <v>174</v>
      </c>
      <c r="K197" s="341"/>
      <c r="L197" s="341"/>
      <c r="M197" s="341"/>
      <c r="N197" s="341"/>
      <c r="O197" s="341"/>
      <c r="P197" s="341"/>
      <c r="Q197" s="342">
        <v>93.9</v>
      </c>
      <c r="R197" s="343" t="s">
        <v>174</v>
      </c>
      <c r="S197" s="344"/>
      <c r="T197" s="345"/>
      <c r="U197" s="346"/>
      <c r="V197" s="346"/>
      <c r="W197" s="346"/>
      <c r="X197" s="346"/>
      <c r="Y197" s="346"/>
      <c r="Z197" s="346"/>
      <c r="AA197" s="346"/>
      <c r="AB197" s="346"/>
      <c r="AC197" s="346"/>
      <c r="AD197" s="347"/>
      <c r="AE197" s="347"/>
      <c r="AF197" s="347"/>
      <c r="AG197" s="348">
        <v>44421</v>
      </c>
      <c r="AH197" s="702" t="s">
        <v>175</v>
      </c>
      <c r="AI197" s="349">
        <v>94</v>
      </c>
      <c r="AJ197" s="349">
        <f>AI197-Q197</f>
        <v>9.9999999999994316E-2</v>
      </c>
      <c r="AK197" s="349"/>
      <c r="AL197" s="349"/>
      <c r="AM197" s="349"/>
      <c r="AN197" s="349"/>
      <c r="AO197" s="349"/>
      <c r="AP197" s="349">
        <v>0.23</v>
      </c>
      <c r="AQ197" s="350"/>
      <c r="AR197" s="347">
        <f>AJ197+AP197</f>
        <v>0.3299999999999943</v>
      </c>
      <c r="AS197" s="347">
        <f>AJ197-AP197</f>
        <v>-0.13000000000000569</v>
      </c>
      <c r="AT197" s="40">
        <f t="shared" si="430"/>
        <v>0.3299999999999943</v>
      </c>
      <c r="AU197" s="43">
        <f t="shared" si="444"/>
        <v>121.61944444444444</v>
      </c>
      <c r="AV197" s="44">
        <f t="shared" si="445"/>
        <v>0.3299999999999943</v>
      </c>
      <c r="AW197" s="95">
        <f t="shared" si="446"/>
        <v>2.7133819062192619E-3</v>
      </c>
      <c r="AX197" s="46">
        <f t="shared" si="447"/>
        <v>552.81565656566613</v>
      </c>
      <c r="AY197" s="72" t="str">
        <f t="shared" si="448"/>
        <v>DOS AÑOS</v>
      </c>
      <c r="AZ197" s="351"/>
      <c r="BA197" s="352"/>
      <c r="BB197" s="353"/>
      <c r="BC197" s="354"/>
      <c r="BD197" s="355"/>
    </row>
    <row r="198" spans="2:56" ht="15.75" thickBot="1" x14ac:dyDescent="0.3">
      <c r="B198" s="688"/>
      <c r="C198" s="690"/>
      <c r="D198" s="692"/>
      <c r="E198" s="694"/>
      <c r="F198" s="696"/>
      <c r="G198" s="698"/>
      <c r="H198" s="698"/>
      <c r="I198" s="340">
        <v>1.5</v>
      </c>
      <c r="J198" s="701"/>
      <c r="K198" s="341"/>
      <c r="L198" s="341"/>
      <c r="M198" s="341"/>
      <c r="N198" s="341"/>
      <c r="O198" s="341"/>
      <c r="P198" s="341"/>
      <c r="Q198" s="342">
        <v>114.4</v>
      </c>
      <c r="R198" s="343" t="s">
        <v>174</v>
      </c>
      <c r="S198" s="344"/>
      <c r="T198" s="345"/>
      <c r="U198" s="346"/>
      <c r="V198" s="346"/>
      <c r="W198" s="346"/>
      <c r="X198" s="346"/>
      <c r="Y198" s="346"/>
      <c r="Z198" s="346"/>
      <c r="AA198" s="346"/>
      <c r="AB198" s="346"/>
      <c r="AC198" s="346"/>
      <c r="AD198" s="347"/>
      <c r="AE198" s="347"/>
      <c r="AF198" s="347"/>
      <c r="AG198" s="348">
        <v>44421</v>
      </c>
      <c r="AH198" s="703"/>
      <c r="AI198" s="349">
        <v>114.4</v>
      </c>
      <c r="AJ198" s="349">
        <f>AI198-Q198</f>
        <v>0</v>
      </c>
      <c r="AK198" s="349"/>
      <c r="AL198" s="349"/>
      <c r="AM198" s="349"/>
      <c r="AN198" s="349"/>
      <c r="AO198" s="349"/>
      <c r="AP198" s="349">
        <v>0.23</v>
      </c>
      <c r="AQ198" s="350"/>
      <c r="AR198" s="347">
        <f>AJ198+AP198</f>
        <v>0.23</v>
      </c>
      <c r="AS198" s="347">
        <f>AJ198-AP198</f>
        <v>-0.23</v>
      </c>
      <c r="AT198" s="40">
        <f t="shared" si="430"/>
        <v>0.23</v>
      </c>
      <c r="AU198" s="43">
        <f t="shared" si="444"/>
        <v>121.61944444444444</v>
      </c>
      <c r="AV198" s="44">
        <f t="shared" si="445"/>
        <v>0.23</v>
      </c>
      <c r="AW198" s="95">
        <f t="shared" si="446"/>
        <v>1.8911449649407306E-3</v>
      </c>
      <c r="AX198" s="46">
        <f t="shared" si="447"/>
        <v>793.17028985507238</v>
      </c>
      <c r="AY198" s="72" t="str">
        <f t="shared" si="448"/>
        <v>DOS AÑOS</v>
      </c>
      <c r="AZ198" s="351"/>
      <c r="BA198" s="352"/>
      <c r="BB198" s="353"/>
      <c r="BC198" s="354"/>
      <c r="BD198" s="355"/>
    </row>
    <row r="199" spans="2:56" ht="60.75" thickBot="1" x14ac:dyDescent="0.3">
      <c r="B199" s="332" t="s">
        <v>3</v>
      </c>
      <c r="C199" s="8" t="s">
        <v>2</v>
      </c>
      <c r="D199" s="32" t="s">
        <v>0</v>
      </c>
      <c r="E199" s="32" t="s">
        <v>1</v>
      </c>
      <c r="F199" s="33" t="s">
        <v>4</v>
      </c>
      <c r="G199" s="8" t="s">
        <v>5</v>
      </c>
      <c r="H199" s="13" t="s">
        <v>27</v>
      </c>
      <c r="I199" s="548" t="s">
        <v>21</v>
      </c>
      <c r="J199" s="549"/>
      <c r="K199" s="540" t="s">
        <v>66</v>
      </c>
      <c r="L199" s="541"/>
      <c r="M199" s="540" t="s">
        <v>67</v>
      </c>
      <c r="N199" s="541"/>
      <c r="O199" s="540" t="s">
        <v>68</v>
      </c>
      <c r="P199" s="541"/>
      <c r="Q199" s="545" t="s">
        <v>52</v>
      </c>
      <c r="R199" s="546"/>
      <c r="S199" s="180" t="s">
        <v>25</v>
      </c>
      <c r="T199" s="181" t="s">
        <v>70</v>
      </c>
      <c r="U199" s="180" t="s">
        <v>71</v>
      </c>
      <c r="V199" s="180" t="s">
        <v>72</v>
      </c>
      <c r="W199" s="180" t="s">
        <v>73</v>
      </c>
      <c r="X199" s="182" t="s">
        <v>74</v>
      </c>
      <c r="Y199" s="182" t="s">
        <v>75</v>
      </c>
      <c r="Z199" s="31" t="s">
        <v>76</v>
      </c>
      <c r="AA199" s="183" t="s">
        <v>77</v>
      </c>
      <c r="AB199" s="180" t="s">
        <v>78</v>
      </c>
      <c r="AC199" s="180" t="s">
        <v>79</v>
      </c>
      <c r="AD199" s="180" t="s">
        <v>28</v>
      </c>
      <c r="AE199" s="180" t="s">
        <v>29</v>
      </c>
      <c r="AF199" s="184" t="s">
        <v>36</v>
      </c>
      <c r="AG199" s="14" t="s">
        <v>51</v>
      </c>
      <c r="AH199" s="185" t="s">
        <v>80</v>
      </c>
      <c r="AI199" s="14" t="s">
        <v>81</v>
      </c>
      <c r="AJ199" s="14" t="s">
        <v>72</v>
      </c>
      <c r="AK199" s="14" t="s">
        <v>73</v>
      </c>
      <c r="AL199" s="182" t="s">
        <v>74</v>
      </c>
      <c r="AM199" s="182" t="s">
        <v>75</v>
      </c>
      <c r="AN199" s="31" t="s">
        <v>76</v>
      </c>
      <c r="AO199" s="183" t="s">
        <v>77</v>
      </c>
      <c r="AP199" s="14" t="s">
        <v>78</v>
      </c>
      <c r="AQ199" s="14" t="s">
        <v>79</v>
      </c>
      <c r="AR199" s="14" t="s">
        <v>28</v>
      </c>
      <c r="AS199" s="14" t="s">
        <v>29</v>
      </c>
      <c r="AT199" s="30" t="s">
        <v>31</v>
      </c>
      <c r="AU199" s="31" t="s">
        <v>24</v>
      </c>
      <c r="AV199" s="31" t="s">
        <v>53</v>
      </c>
      <c r="AW199" s="31" t="s">
        <v>26</v>
      </c>
      <c r="AX199" s="31" t="s">
        <v>43</v>
      </c>
      <c r="AY199" s="31" t="s">
        <v>37</v>
      </c>
      <c r="AZ199" s="9" t="s">
        <v>3</v>
      </c>
      <c r="BA199" s="15" t="s">
        <v>32</v>
      </c>
      <c r="BB199" s="15" t="s">
        <v>33</v>
      </c>
      <c r="BC199" s="23" t="e">
        <f>MIN(BC10:BC174)</f>
        <v>#DIV/0!</v>
      </c>
      <c r="BD199" s="15" t="s">
        <v>57</v>
      </c>
    </row>
    <row r="200" spans="2:56" x14ac:dyDescent="0.25">
      <c r="U200" s="12"/>
      <c r="V200" s="12"/>
      <c r="W200" s="12"/>
      <c r="X200" s="12"/>
      <c r="Y200" s="12"/>
      <c r="Z200" s="12"/>
      <c r="AA200" s="12"/>
      <c r="AB200" s="12"/>
      <c r="AC200" s="12"/>
      <c r="AD200" s="12"/>
      <c r="AE200" s="12"/>
      <c r="AF200" s="12"/>
      <c r="AG200" s="12"/>
      <c r="AH200" s="12"/>
      <c r="AI200" s="12"/>
      <c r="AJ200" s="12"/>
      <c r="AK200" s="12"/>
      <c r="AL200" s="12"/>
      <c r="AM200" s="12"/>
      <c r="AN200" s="12"/>
      <c r="AO200" s="12"/>
      <c r="AP200" s="12"/>
      <c r="AQ200" s="12"/>
      <c r="AR200" s="12"/>
      <c r="AS200" s="12"/>
      <c r="AT200" s="12"/>
      <c r="AU200" s="12"/>
      <c r="AV200" s="12"/>
      <c r="AW200" s="12"/>
      <c r="AX200" s="12"/>
      <c r="AY200" s="12"/>
      <c r="AZ200" s="12"/>
      <c r="BC200" s="24"/>
    </row>
    <row r="201" spans="2:56" x14ac:dyDescent="0.25">
      <c r="B201" t="s">
        <v>62</v>
      </c>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c r="AS201" s="12"/>
      <c r="AT201" s="12"/>
      <c r="AU201" s="12"/>
      <c r="AV201" s="12"/>
      <c r="AW201" s="12"/>
      <c r="AX201" s="12"/>
      <c r="AY201" s="12"/>
      <c r="AZ201" s="12"/>
    </row>
    <row r="202" spans="2:56" x14ac:dyDescent="0.25">
      <c r="B202" t="s">
        <v>63</v>
      </c>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row>
    <row r="203" spans="2:56" x14ac:dyDescent="0.25">
      <c r="B203" t="s">
        <v>65</v>
      </c>
      <c r="U203" s="12"/>
      <c r="V203" s="12"/>
      <c r="W203" s="12"/>
      <c r="X203" s="12"/>
      <c r="Y203" s="12"/>
      <c r="Z203" s="12"/>
      <c r="AA203" s="12"/>
      <c r="AB203" s="12"/>
      <c r="AC203" s="12"/>
      <c r="AD203" s="12"/>
      <c r="AE203" s="12"/>
      <c r="AF203" s="12"/>
      <c r="AG203" s="12"/>
      <c r="AH203" s="12"/>
      <c r="AI203" s="12"/>
      <c r="AJ203" s="12"/>
      <c r="AK203" s="12"/>
      <c r="AL203" s="12"/>
      <c r="AM203" s="12"/>
      <c r="AN203" s="12"/>
      <c r="AO203" s="12"/>
      <c r="AP203" s="12"/>
      <c r="AQ203" s="12"/>
      <c r="AR203" s="12"/>
      <c r="AS203" s="12"/>
      <c r="AT203" s="12"/>
      <c r="AU203" s="12"/>
      <c r="AV203" s="12"/>
      <c r="AW203" s="12"/>
      <c r="AX203" s="12"/>
      <c r="AY203" s="12"/>
      <c r="AZ203" s="12"/>
    </row>
    <row r="204" spans="2:56" x14ac:dyDescent="0.25">
      <c r="B204" t="s">
        <v>64</v>
      </c>
      <c r="U204" s="12"/>
      <c r="V204" s="12"/>
      <c r="W204" s="12"/>
      <c r="X204" s="12"/>
      <c r="Y204" s="12"/>
      <c r="Z204" s="12"/>
      <c r="AA204" s="12"/>
      <c r="AB204" s="12"/>
      <c r="AC204" s="12"/>
      <c r="AD204" s="12"/>
      <c r="AE204" s="12"/>
      <c r="AF204" s="12"/>
      <c r="AG204" s="12"/>
      <c r="AH204" s="12"/>
      <c r="AI204" s="12"/>
      <c r="AJ204" s="12"/>
      <c r="AK204" s="12"/>
      <c r="AL204" s="12"/>
      <c r="AM204" s="12"/>
      <c r="AN204" s="12"/>
      <c r="AO204" s="12"/>
      <c r="AP204" s="12"/>
      <c r="AQ204" s="12"/>
      <c r="AR204" s="12"/>
      <c r="AS204" s="12"/>
      <c r="AT204" s="12"/>
      <c r="AU204" s="12"/>
      <c r="AV204" s="12"/>
      <c r="AW204" s="12"/>
      <c r="AX204" s="12"/>
      <c r="AY204" s="12"/>
      <c r="AZ204" s="12"/>
    </row>
    <row r="213" spans="35:35" x14ac:dyDescent="0.25">
      <c r="AI213">
        <v>9</v>
      </c>
    </row>
  </sheetData>
  <mergeCells count="261">
    <mergeCell ref="N152:N155"/>
    <mergeCell ref="P152:P155"/>
    <mergeCell ref="T152:T155"/>
    <mergeCell ref="AH152:AH155"/>
    <mergeCell ref="AZ152:AZ155"/>
    <mergeCell ref="BA152:BA155"/>
    <mergeCell ref="BB152:BB155"/>
    <mergeCell ref="BD152:BD155"/>
    <mergeCell ref="B152:B155"/>
    <mergeCell ref="C152:C155"/>
    <mergeCell ref="D152:D155"/>
    <mergeCell ref="E152:E155"/>
    <mergeCell ref="F152:F155"/>
    <mergeCell ref="G152:G155"/>
    <mergeCell ref="H152:H155"/>
    <mergeCell ref="J152:J155"/>
    <mergeCell ref="L152:L155"/>
    <mergeCell ref="H82:H92"/>
    <mergeCell ref="AH82:AH86"/>
    <mergeCell ref="AH87:AH92"/>
    <mergeCell ref="J82:J92"/>
    <mergeCell ref="B104:B151"/>
    <mergeCell ref="D104:D150"/>
    <mergeCell ref="E104:E151"/>
    <mergeCell ref="F104:F151"/>
    <mergeCell ref="AZ104:AZ151"/>
    <mergeCell ref="L104:L151"/>
    <mergeCell ref="J104:J151"/>
    <mergeCell ref="C114:C123"/>
    <mergeCell ref="G114:G123"/>
    <mergeCell ref="H114:H123"/>
    <mergeCell ref="BB71:BB81"/>
    <mergeCell ref="BD71:BD81"/>
    <mergeCell ref="C76:C81"/>
    <mergeCell ref="H71:H81"/>
    <mergeCell ref="J71:J81"/>
    <mergeCell ref="L71:L81"/>
    <mergeCell ref="N71:N81"/>
    <mergeCell ref="P71:P81"/>
    <mergeCell ref="T71:T81"/>
    <mergeCell ref="AH71:AH81"/>
    <mergeCell ref="AZ71:AZ81"/>
    <mergeCell ref="BA71:BA81"/>
    <mergeCell ref="B197:B198"/>
    <mergeCell ref="C197:C198"/>
    <mergeCell ref="D197:D198"/>
    <mergeCell ref="E197:E198"/>
    <mergeCell ref="F197:F198"/>
    <mergeCell ref="G197:G198"/>
    <mergeCell ref="H194:H198"/>
    <mergeCell ref="J197:J198"/>
    <mergeCell ref="AH197:AH198"/>
    <mergeCell ref="B10:B41"/>
    <mergeCell ref="D10:D41"/>
    <mergeCell ref="E10:E41"/>
    <mergeCell ref="F10:F41"/>
    <mergeCell ref="J42:J44"/>
    <mergeCell ref="T42:T44"/>
    <mergeCell ref="P156:P174"/>
    <mergeCell ref="T10:T41"/>
    <mergeCell ref="L42:L44"/>
    <mergeCell ref="L45:L57"/>
    <mergeCell ref="L156:L174"/>
    <mergeCell ref="N104:N137"/>
    <mergeCell ref="P104:P137"/>
    <mergeCell ref="B45:B57"/>
    <mergeCell ref="C45:C57"/>
    <mergeCell ref="D45:D57"/>
    <mergeCell ref="E45:E57"/>
    <mergeCell ref="J45:J57"/>
    <mergeCell ref="T45:T57"/>
    <mergeCell ref="B82:B103"/>
    <mergeCell ref="T82:T103"/>
    <mergeCell ref="C138:C151"/>
    <mergeCell ref="G138:G151"/>
    <mergeCell ref="H138:H151"/>
    <mergeCell ref="E58:E70"/>
    <mergeCell ref="F58:F70"/>
    <mergeCell ref="G58:G70"/>
    <mergeCell ref="C175:C182"/>
    <mergeCell ref="D175:D182"/>
    <mergeCell ref="C71:C75"/>
    <mergeCell ref="E175:E182"/>
    <mergeCell ref="AZ183:AZ193"/>
    <mergeCell ref="BA183:BA193"/>
    <mergeCell ref="H183:H193"/>
    <mergeCell ref="T183:T193"/>
    <mergeCell ref="AH104:AH123"/>
    <mergeCell ref="AH129:AH137"/>
    <mergeCell ref="AH138:AH142"/>
    <mergeCell ref="AH143:AH151"/>
    <mergeCell ref="C93:C103"/>
    <mergeCell ref="G93:G103"/>
    <mergeCell ref="H93:H103"/>
    <mergeCell ref="J93:J103"/>
    <mergeCell ref="AH93:AH97"/>
    <mergeCell ref="AH98:AH103"/>
    <mergeCell ref="D82:D103"/>
    <mergeCell ref="E82:E103"/>
    <mergeCell ref="F82:F103"/>
    <mergeCell ref="C22:C25"/>
    <mergeCell ref="C26:C29"/>
    <mergeCell ref="G26:G29"/>
    <mergeCell ref="H26:H29"/>
    <mergeCell ref="C30:C33"/>
    <mergeCell ref="G30:G33"/>
    <mergeCell ref="H30:H33"/>
    <mergeCell ref="C34:C37"/>
    <mergeCell ref="G34:G37"/>
    <mergeCell ref="H34:H37"/>
    <mergeCell ref="BA175:BA182"/>
    <mergeCell ref="BB175:BB182"/>
    <mergeCell ref="BC175:BC182"/>
    <mergeCell ref="BD175:BD182"/>
    <mergeCell ref="AZ156:AZ174"/>
    <mergeCell ref="BB156:BB174"/>
    <mergeCell ref="BD10:BD41"/>
    <mergeCell ref="BC10:BC41"/>
    <mergeCell ref="BB10:BB41"/>
    <mergeCell ref="BA10:BA41"/>
    <mergeCell ref="BC104:BC135"/>
    <mergeCell ref="BD104:BD135"/>
    <mergeCell ref="BD156:BD174"/>
    <mergeCell ref="BA104:BA135"/>
    <mergeCell ref="BA156:BA174"/>
    <mergeCell ref="BB104:BB135"/>
    <mergeCell ref="AZ10:AZ25"/>
    <mergeCell ref="AZ45:AZ57"/>
    <mergeCell ref="BB45:BB57"/>
    <mergeCell ref="BD45:BD57"/>
    <mergeCell ref="AZ42:AZ44"/>
    <mergeCell ref="BA42:BA44"/>
    <mergeCell ref="BD58:BD70"/>
    <mergeCell ref="BA45:BA57"/>
    <mergeCell ref="B42:B44"/>
    <mergeCell ref="C42:C44"/>
    <mergeCell ref="D42:D44"/>
    <mergeCell ref="E42:E44"/>
    <mergeCell ref="F42:F44"/>
    <mergeCell ref="G104:G113"/>
    <mergeCell ref="C163:C174"/>
    <mergeCell ref="B156:B174"/>
    <mergeCell ref="D156:D174"/>
    <mergeCell ref="E156:E174"/>
    <mergeCell ref="F156:F174"/>
    <mergeCell ref="C156:C162"/>
    <mergeCell ref="B58:B70"/>
    <mergeCell ref="B71:B81"/>
    <mergeCell ref="D71:D81"/>
    <mergeCell ref="E71:E81"/>
    <mergeCell ref="F71:F81"/>
    <mergeCell ref="G71:G81"/>
    <mergeCell ref="C82:C92"/>
    <mergeCell ref="G82:G92"/>
    <mergeCell ref="F45:F57"/>
    <mergeCell ref="G45:G57"/>
    <mergeCell ref="C58:C70"/>
    <mergeCell ref="D58:D70"/>
    <mergeCell ref="BB42:BB44"/>
    <mergeCell ref="H58:H70"/>
    <mergeCell ref="AU8:AZ8"/>
    <mergeCell ref="BA8:BD8"/>
    <mergeCell ref="J58:J70"/>
    <mergeCell ref="L58:L70"/>
    <mergeCell ref="N58:N70"/>
    <mergeCell ref="P58:P70"/>
    <mergeCell ref="T58:T70"/>
    <mergeCell ref="AH58:AH70"/>
    <mergeCell ref="AZ58:AZ70"/>
    <mergeCell ref="BA58:BA70"/>
    <mergeCell ref="BB58:BB70"/>
    <mergeCell ref="Q9:R9"/>
    <mergeCell ref="K9:L9"/>
    <mergeCell ref="BD42:BD44"/>
    <mergeCell ref="AZ26:AZ41"/>
    <mergeCell ref="AG8:AT8"/>
    <mergeCell ref="O9:P9"/>
    <mergeCell ref="P45:P57"/>
    <mergeCell ref="H45:H57"/>
    <mergeCell ref="O199:P199"/>
    <mergeCell ref="AH156:AH174"/>
    <mergeCell ref="Q199:R199"/>
    <mergeCell ref="G163:G174"/>
    <mergeCell ref="I199:J199"/>
    <mergeCell ref="K199:L199"/>
    <mergeCell ref="N42:N44"/>
    <mergeCell ref="N45:N57"/>
    <mergeCell ref="N156:N174"/>
    <mergeCell ref="M199:N199"/>
    <mergeCell ref="H163:H174"/>
    <mergeCell ref="L180:L182"/>
    <mergeCell ref="N180:N182"/>
    <mergeCell ref="P180:P182"/>
    <mergeCell ref="N194:N196"/>
    <mergeCell ref="P194:P196"/>
    <mergeCell ref="T194:T196"/>
    <mergeCell ref="AH194:AH196"/>
    <mergeCell ref="AH175:AH182"/>
    <mergeCell ref="J156:J174"/>
    <mergeCell ref="J183:J193"/>
    <mergeCell ref="G175:G182"/>
    <mergeCell ref="AH183:AH193"/>
    <mergeCell ref="G183:G193"/>
    <mergeCell ref="B183:B193"/>
    <mergeCell ref="C183:C193"/>
    <mergeCell ref="D183:D193"/>
    <mergeCell ref="E183:E193"/>
    <mergeCell ref="F183:F193"/>
    <mergeCell ref="S8:AF8"/>
    <mergeCell ref="C124:C137"/>
    <mergeCell ref="G124:G137"/>
    <mergeCell ref="H124:H137"/>
    <mergeCell ref="H38:H41"/>
    <mergeCell ref="C14:C17"/>
    <mergeCell ref="C38:C41"/>
    <mergeCell ref="G14:G17"/>
    <mergeCell ref="H14:H17"/>
    <mergeCell ref="H10:H13"/>
    <mergeCell ref="B175:B182"/>
    <mergeCell ref="T156:T174"/>
    <mergeCell ref="H104:H113"/>
    <mergeCell ref="M9:N9"/>
    <mergeCell ref="B8:R8"/>
    <mergeCell ref="G22:G25"/>
    <mergeCell ref="H22:H25"/>
    <mergeCell ref="G10:G13"/>
    <mergeCell ref="F175:F182"/>
    <mergeCell ref="BB194:BB196"/>
    <mergeCell ref="BD194:BD196"/>
    <mergeCell ref="B194:B196"/>
    <mergeCell ref="C194:C196"/>
    <mergeCell ref="D194:D196"/>
    <mergeCell ref="E194:E196"/>
    <mergeCell ref="F194:F196"/>
    <mergeCell ref="G194:G196"/>
    <mergeCell ref="J194:J196"/>
    <mergeCell ref="L194:L196"/>
    <mergeCell ref="AP2:AV6"/>
    <mergeCell ref="G156:G162"/>
    <mergeCell ref="H156:H162"/>
    <mergeCell ref="AZ194:AZ196"/>
    <mergeCell ref="BA194:BA196"/>
    <mergeCell ref="H175:H182"/>
    <mergeCell ref="J175:J182"/>
    <mergeCell ref="T175:T182"/>
    <mergeCell ref="C104:C113"/>
    <mergeCell ref="C10:C13"/>
    <mergeCell ref="AH124:AH128"/>
    <mergeCell ref="AH42:AH44"/>
    <mergeCell ref="AH45:AH57"/>
    <mergeCell ref="AH10:AH41"/>
    <mergeCell ref="I9:J9"/>
    <mergeCell ref="G42:G44"/>
    <mergeCell ref="H42:H44"/>
    <mergeCell ref="G18:G21"/>
    <mergeCell ref="H18:H21"/>
    <mergeCell ref="C18:C21"/>
    <mergeCell ref="G38:G41"/>
    <mergeCell ref="P42:P44"/>
    <mergeCell ref="T104:T151"/>
    <mergeCell ref="AZ175:AZ182"/>
  </mergeCells>
  <conditionalFormatting sqref="AY45:AY55 AY10:AY41 AY57:AY68 AY104:AY113 AY156:AY174 AY124:AY138">
    <cfRule type="cellIs" dxfId="227" priority="74" operator="lessThan">
      <formula>$F$112</formula>
    </cfRule>
    <cfRule type="cellIs" dxfId="226" priority="75" operator="lessThan">
      <formula>0.05</formula>
    </cfRule>
  </conditionalFormatting>
  <conditionalFormatting sqref="AY45:AY55 AY10:AY41 AY57:AY68 AY104:AY113 AY156:AY174 AY124:AY138">
    <cfRule type="cellIs" dxfId="225" priority="78" operator="between">
      <formula>$F$112</formula>
      <formula>$G$112</formula>
    </cfRule>
  </conditionalFormatting>
  <conditionalFormatting sqref="AY42:AY44">
    <cfRule type="cellIs" dxfId="224" priority="46" operator="lessThan">
      <formula>$F$112</formula>
    </cfRule>
    <cfRule type="cellIs" dxfId="223" priority="47" operator="lessThan">
      <formula>0.05</formula>
    </cfRule>
  </conditionalFormatting>
  <conditionalFormatting sqref="AY42:AY44">
    <cfRule type="cellIs" dxfId="222" priority="48" operator="between">
      <formula>$F$112</formula>
      <formula>$G$112</formula>
    </cfRule>
  </conditionalFormatting>
  <conditionalFormatting sqref="AY175:AY182">
    <cfRule type="cellIs" dxfId="221" priority="40" operator="lessThan">
      <formula>$F$112</formula>
    </cfRule>
    <cfRule type="cellIs" dxfId="220" priority="41" operator="lessThan">
      <formula>0.05</formula>
    </cfRule>
  </conditionalFormatting>
  <conditionalFormatting sqref="AY175:AY182">
    <cfRule type="cellIs" dxfId="219" priority="42" operator="between">
      <formula>$F$112</formula>
      <formula>$G$112</formula>
    </cfRule>
  </conditionalFormatting>
  <conditionalFormatting sqref="AY183">
    <cfRule type="cellIs" dxfId="218" priority="31" operator="lessThan">
      <formula>$F$112</formula>
    </cfRule>
    <cfRule type="cellIs" dxfId="217" priority="32" operator="lessThan">
      <formula>0.05</formula>
    </cfRule>
  </conditionalFormatting>
  <conditionalFormatting sqref="AY183">
    <cfRule type="cellIs" dxfId="216" priority="33" operator="between">
      <formula>$F$112</formula>
      <formula>$G$112</formula>
    </cfRule>
  </conditionalFormatting>
  <conditionalFormatting sqref="AY184:AY198">
    <cfRule type="cellIs" dxfId="215" priority="28" operator="lessThan">
      <formula>$F$112</formula>
    </cfRule>
    <cfRule type="cellIs" dxfId="214" priority="29" operator="lessThan">
      <formula>0.05</formula>
    </cfRule>
  </conditionalFormatting>
  <conditionalFormatting sqref="AY184:AY198">
    <cfRule type="cellIs" dxfId="213" priority="30" operator="between">
      <formula>$F$112</formula>
      <formula>$G$112</formula>
    </cfRule>
  </conditionalFormatting>
  <conditionalFormatting sqref="AY56">
    <cfRule type="cellIs" dxfId="212" priority="25" operator="lessThan">
      <formula>$F$112</formula>
    </cfRule>
    <cfRule type="cellIs" dxfId="211" priority="26" operator="lessThan">
      <formula>0.05</formula>
    </cfRule>
  </conditionalFormatting>
  <conditionalFormatting sqref="AY56">
    <cfRule type="cellIs" dxfId="210" priority="27" operator="between">
      <formula>$F$112</formula>
      <formula>$G$112</formula>
    </cfRule>
  </conditionalFormatting>
  <conditionalFormatting sqref="AY70">
    <cfRule type="cellIs" dxfId="209" priority="22" operator="lessThan">
      <formula>$F$112</formula>
    </cfRule>
    <cfRule type="cellIs" dxfId="208" priority="23" operator="lessThan">
      <formula>0.05</formula>
    </cfRule>
  </conditionalFormatting>
  <conditionalFormatting sqref="AY70">
    <cfRule type="cellIs" dxfId="207" priority="24" operator="between">
      <formula>$F$112</formula>
      <formula>$G$112</formula>
    </cfRule>
  </conditionalFormatting>
  <conditionalFormatting sqref="AY69">
    <cfRule type="cellIs" dxfId="206" priority="19" operator="lessThan">
      <formula>$F$112</formula>
    </cfRule>
    <cfRule type="cellIs" dxfId="205" priority="20" operator="lessThan">
      <formula>0.05</formula>
    </cfRule>
  </conditionalFormatting>
  <conditionalFormatting sqref="AY69">
    <cfRule type="cellIs" dxfId="204" priority="21" operator="between">
      <formula>$F$112</formula>
      <formula>$G$112</formula>
    </cfRule>
  </conditionalFormatting>
  <conditionalFormatting sqref="AY71:AY81">
    <cfRule type="cellIs" dxfId="203" priority="17" operator="lessThan">
      <formula>#REF!</formula>
    </cfRule>
    <cfRule type="cellIs" dxfId="202" priority="18" operator="lessThan">
      <formula>0.05</formula>
    </cfRule>
  </conditionalFormatting>
  <conditionalFormatting sqref="AY71:AY81">
    <cfRule type="cellIs" dxfId="201" priority="16" operator="between">
      <formula>#REF!</formula>
      <formula>#REF!</formula>
    </cfRule>
  </conditionalFormatting>
  <conditionalFormatting sqref="AY82:AY92">
    <cfRule type="cellIs" dxfId="200" priority="13" operator="lessThan">
      <formula>$F$112</formula>
    </cfRule>
    <cfRule type="cellIs" dxfId="199" priority="14" operator="lessThan">
      <formula>0.05</formula>
    </cfRule>
  </conditionalFormatting>
  <conditionalFormatting sqref="AY82:AY92">
    <cfRule type="cellIs" dxfId="198" priority="15" operator="between">
      <formula>$F$112</formula>
      <formula>$G$112</formula>
    </cfRule>
  </conditionalFormatting>
  <conditionalFormatting sqref="AY93:AY103">
    <cfRule type="cellIs" dxfId="197" priority="10" operator="lessThan">
      <formula>$F$112</formula>
    </cfRule>
    <cfRule type="cellIs" dxfId="196" priority="11" operator="lessThan">
      <formula>0.05</formula>
    </cfRule>
  </conditionalFormatting>
  <conditionalFormatting sqref="AY93:AY103">
    <cfRule type="cellIs" dxfId="195" priority="12" operator="between">
      <formula>$F$112</formula>
      <formula>$G$112</formula>
    </cfRule>
  </conditionalFormatting>
  <conditionalFormatting sqref="AY114:AY123">
    <cfRule type="cellIs" dxfId="194" priority="7" operator="lessThan">
      <formula>$F$112</formula>
    </cfRule>
    <cfRule type="cellIs" dxfId="193" priority="8" operator="lessThan">
      <formula>0.05</formula>
    </cfRule>
  </conditionalFormatting>
  <conditionalFormatting sqref="AY114:AY123">
    <cfRule type="cellIs" dxfId="192" priority="9" operator="between">
      <formula>$F$112</formula>
      <formula>$G$112</formula>
    </cfRule>
  </conditionalFormatting>
  <conditionalFormatting sqref="AY139:AY151">
    <cfRule type="cellIs" dxfId="191" priority="4" operator="lessThan">
      <formula>$F$112</formula>
    </cfRule>
    <cfRule type="cellIs" dxfId="190" priority="5" operator="lessThan">
      <formula>0.05</formula>
    </cfRule>
  </conditionalFormatting>
  <conditionalFormatting sqref="AY139:AY151">
    <cfRule type="cellIs" dxfId="189" priority="6" operator="between">
      <formula>$F$112</formula>
      <formula>$G$112</formula>
    </cfRule>
  </conditionalFormatting>
  <conditionalFormatting sqref="AY152:AY155">
    <cfRule type="cellIs" dxfId="188" priority="2" operator="lessThan">
      <formula>#REF!</formula>
    </cfRule>
    <cfRule type="cellIs" dxfId="187" priority="3" operator="lessThan">
      <formula>0.05</formula>
    </cfRule>
  </conditionalFormatting>
  <conditionalFormatting sqref="AY152:AY155">
    <cfRule type="cellIs" dxfId="186" priority="1" operator="between">
      <formula>#REF!</formula>
      <formula>#REF!</formula>
    </cfRule>
  </conditionalFormatting>
  <pageMargins left="0.7" right="0.7" top="0.75" bottom="0.75" header="0.3" footer="0.3"/>
  <pageSetup orientation="portrait" horizontalDpi="4294967293"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4"/>
  <sheetViews>
    <sheetView zoomScaleNormal="100" workbookViewId="0">
      <selection activeCell="F227" sqref="F227"/>
    </sheetView>
  </sheetViews>
  <sheetFormatPr baseColWidth="10" defaultRowHeight="15" x14ac:dyDescent="0.25"/>
  <cols>
    <col min="1" max="1" width="5.140625" customWidth="1"/>
    <col min="2" max="2" width="22.85546875" customWidth="1"/>
    <col min="3" max="3" width="21.7109375" customWidth="1"/>
    <col min="4" max="4" width="21" customWidth="1"/>
    <col min="5" max="5" width="22.7109375" customWidth="1"/>
  </cols>
  <sheetData>
    <row r="1" spans="1:11" ht="15" customHeight="1" x14ac:dyDescent="0.25">
      <c r="E1" s="214"/>
    </row>
    <row r="2" spans="1:11" ht="15" customHeight="1" x14ac:dyDescent="0.25">
      <c r="B2" s="403"/>
      <c r="C2" s="403"/>
      <c r="D2" s="403"/>
      <c r="E2" s="215"/>
      <c r="F2" s="403"/>
      <c r="G2" s="403"/>
      <c r="H2" s="403"/>
    </row>
    <row r="3" spans="1:11" ht="15" customHeight="1" x14ac:dyDescent="0.25">
      <c r="B3" s="403"/>
      <c r="C3" s="403"/>
      <c r="D3" s="403"/>
      <c r="E3" s="215"/>
      <c r="F3" s="403"/>
      <c r="G3" s="403"/>
      <c r="H3" s="403"/>
    </row>
    <row r="4" spans="1:11" ht="15" customHeight="1" x14ac:dyDescent="0.25">
      <c r="B4" s="403"/>
      <c r="C4" s="403"/>
      <c r="D4" s="403"/>
      <c r="E4" s="215"/>
      <c r="F4" s="403"/>
      <c r="G4" s="403"/>
      <c r="H4" s="403"/>
    </row>
    <row r="5" spans="1:11" ht="15" customHeight="1" x14ac:dyDescent="0.25">
      <c r="B5" s="403"/>
      <c r="C5" s="403"/>
      <c r="D5" s="403"/>
      <c r="E5" s="215"/>
      <c r="F5" s="403"/>
      <c r="G5" s="403"/>
      <c r="H5" s="403"/>
    </row>
    <row r="6" spans="1:11" ht="15" customHeight="1" x14ac:dyDescent="0.25">
      <c r="B6" s="403"/>
      <c r="C6" s="403"/>
      <c r="D6" s="403"/>
      <c r="E6" s="215"/>
      <c r="F6" s="403"/>
      <c r="G6" s="403"/>
      <c r="H6" s="403"/>
    </row>
    <row r="7" spans="1:11" x14ac:dyDescent="0.25">
      <c r="B7" s="231" t="s">
        <v>157</v>
      </c>
      <c r="C7" s="770" t="str">
        <f>'CARTA DE CONTROL'!B82</f>
        <v xml:space="preserve">ANALIZADOR DE SUSPENSION </v>
      </c>
      <c r="D7" s="771"/>
      <c r="E7" s="772"/>
    </row>
    <row r="8" spans="1:11" x14ac:dyDescent="0.25">
      <c r="B8" s="231" t="s">
        <v>158</v>
      </c>
      <c r="C8" s="770" t="str">
        <f>'CARTA DE CONTROL'!D82</f>
        <v>VTEQ</v>
      </c>
      <c r="D8" s="771"/>
      <c r="E8" s="772"/>
    </row>
    <row r="9" spans="1:11" x14ac:dyDescent="0.25">
      <c r="B9" s="231" t="s">
        <v>159</v>
      </c>
      <c r="C9" s="770" t="str">
        <f>'CARTA DE CONTROL'!E82</f>
        <v>EUSA 3012</v>
      </c>
      <c r="D9" s="771"/>
      <c r="E9" s="772"/>
    </row>
    <row r="10" spans="1:11" x14ac:dyDescent="0.25">
      <c r="B10" s="231" t="s">
        <v>160</v>
      </c>
      <c r="C10" s="786" t="str">
        <f>'CARTA DE CONTROL'!F82</f>
        <v>00207720</v>
      </c>
      <c r="D10" s="787"/>
      <c r="E10" s="788"/>
    </row>
    <row r="11" spans="1:11" ht="15" customHeight="1" thickBot="1" x14ac:dyDescent="0.3">
      <c r="B11" s="403"/>
      <c r="C11" s="403"/>
      <c r="D11" s="403"/>
      <c r="E11" s="215"/>
      <c r="F11" s="403"/>
      <c r="G11" s="403"/>
      <c r="H11" s="202"/>
      <c r="I11" s="203"/>
      <c r="J11" s="203"/>
      <c r="K11" s="203"/>
    </row>
    <row r="12" spans="1:11" s="190" customFormat="1" ht="34.5" customHeight="1" x14ac:dyDescent="0.2">
      <c r="A12" s="776" t="s">
        <v>127</v>
      </c>
      <c r="B12" s="777"/>
      <c r="C12" s="777"/>
      <c r="D12" s="777"/>
      <c r="E12" s="777"/>
      <c r="F12" s="777"/>
      <c r="G12" s="778"/>
      <c r="H12" s="204"/>
      <c r="I12" s="204"/>
      <c r="J12" s="204"/>
      <c r="K12" s="204"/>
    </row>
    <row r="13" spans="1:11" s="190" customFormat="1" ht="15" customHeight="1" x14ac:dyDescent="0.2">
      <c r="A13" s="207" t="s">
        <v>128</v>
      </c>
      <c r="B13" s="779" t="s">
        <v>129</v>
      </c>
      <c r="C13" s="780"/>
      <c r="D13" s="781"/>
      <c r="E13" s="405" t="s">
        <v>130</v>
      </c>
      <c r="F13" s="782" t="s">
        <v>131</v>
      </c>
      <c r="G13" s="783"/>
      <c r="H13" s="205"/>
      <c r="I13" s="205"/>
      <c r="J13" s="205"/>
      <c r="K13" s="205"/>
    </row>
    <row r="14" spans="1:11" s="1" customFormat="1" ht="35.25" customHeight="1" x14ac:dyDescent="0.2">
      <c r="A14" s="208">
        <v>1</v>
      </c>
      <c r="B14" s="761" t="s">
        <v>132</v>
      </c>
      <c r="C14" s="761"/>
      <c r="D14" s="761"/>
      <c r="E14" s="404" t="s">
        <v>133</v>
      </c>
      <c r="F14" s="762"/>
      <c r="G14" s="763"/>
      <c r="H14" s="206"/>
      <c r="I14" s="206"/>
      <c r="J14" s="206"/>
      <c r="K14" s="206"/>
    </row>
    <row r="15" spans="1:11" s="1" customFormat="1" ht="35.25" customHeight="1" x14ac:dyDescent="0.2">
      <c r="A15" s="208">
        <v>2</v>
      </c>
      <c r="B15" s="761" t="s">
        <v>134</v>
      </c>
      <c r="C15" s="761"/>
      <c r="D15" s="761"/>
      <c r="E15" s="404" t="s">
        <v>133</v>
      </c>
      <c r="F15" s="762"/>
      <c r="G15" s="763"/>
    </row>
    <row r="16" spans="1:11" s="1" customFormat="1" ht="35.25" customHeight="1" x14ac:dyDescent="0.2">
      <c r="A16" s="208">
        <v>3</v>
      </c>
      <c r="B16" s="761" t="s">
        <v>135</v>
      </c>
      <c r="C16" s="761"/>
      <c r="D16" s="761"/>
      <c r="E16" s="404" t="s">
        <v>133</v>
      </c>
      <c r="F16" s="762"/>
      <c r="G16" s="763"/>
    </row>
    <row r="17" spans="1:11" s="1" customFormat="1" ht="35.25" customHeight="1" x14ac:dyDescent="0.2">
      <c r="A17" s="208">
        <v>4</v>
      </c>
      <c r="B17" s="761" t="s">
        <v>136</v>
      </c>
      <c r="C17" s="761"/>
      <c r="D17" s="761"/>
      <c r="E17" s="404" t="s">
        <v>133</v>
      </c>
      <c r="F17" s="784"/>
      <c r="G17" s="785"/>
    </row>
    <row r="18" spans="1:11" s="1" customFormat="1" ht="35.25" customHeight="1" x14ac:dyDescent="0.2">
      <c r="A18" s="208">
        <v>5</v>
      </c>
      <c r="B18" s="761" t="s">
        <v>137</v>
      </c>
      <c r="C18" s="761"/>
      <c r="D18" s="761"/>
      <c r="E18" s="404" t="s">
        <v>133</v>
      </c>
      <c r="F18" s="762"/>
      <c r="G18" s="763"/>
    </row>
    <row r="19" spans="1:11" s="1" customFormat="1" ht="35.25" customHeight="1" x14ac:dyDescent="0.2">
      <c r="A19" s="208">
        <v>6</v>
      </c>
      <c r="B19" s="761" t="s">
        <v>138</v>
      </c>
      <c r="C19" s="761"/>
      <c r="D19" s="761"/>
      <c r="E19" s="404" t="s">
        <v>133</v>
      </c>
      <c r="F19" s="762"/>
      <c r="G19" s="763"/>
    </row>
    <row r="20" spans="1:11" s="1" customFormat="1" ht="35.25" customHeight="1" x14ac:dyDescent="0.2">
      <c r="A20" s="208">
        <v>7</v>
      </c>
      <c r="B20" s="761" t="s">
        <v>139</v>
      </c>
      <c r="C20" s="761"/>
      <c r="D20" s="761"/>
      <c r="E20" s="404" t="s">
        <v>133</v>
      </c>
      <c r="F20" s="762"/>
      <c r="G20" s="763"/>
    </row>
    <row r="21" spans="1:11" s="1" customFormat="1" ht="35.25" customHeight="1" x14ac:dyDescent="0.2">
      <c r="A21" s="208">
        <v>8</v>
      </c>
      <c r="B21" s="761" t="s">
        <v>140</v>
      </c>
      <c r="C21" s="761"/>
      <c r="D21" s="761"/>
      <c r="E21" s="404" t="s">
        <v>133</v>
      </c>
      <c r="F21" s="762"/>
      <c r="G21" s="763"/>
    </row>
    <row r="22" spans="1:11" s="1" customFormat="1" ht="35.25" customHeight="1" x14ac:dyDescent="0.2">
      <c r="A22" s="208">
        <v>9</v>
      </c>
      <c r="B22" s="761" t="s">
        <v>141</v>
      </c>
      <c r="C22" s="761"/>
      <c r="D22" s="761"/>
      <c r="E22" s="404" t="s">
        <v>133</v>
      </c>
      <c r="F22" s="762"/>
      <c r="G22" s="763"/>
    </row>
    <row r="23" spans="1:11" s="1" customFormat="1" ht="35.25" customHeight="1" x14ac:dyDescent="0.2">
      <c r="A23" s="208">
        <v>10</v>
      </c>
      <c r="B23" s="761" t="s">
        <v>142</v>
      </c>
      <c r="C23" s="761"/>
      <c r="D23" s="761"/>
      <c r="E23" s="404" t="s">
        <v>133</v>
      </c>
      <c r="F23" s="762"/>
      <c r="G23" s="763"/>
    </row>
    <row r="24" spans="1:11" s="1" customFormat="1" ht="35.25" customHeight="1" x14ac:dyDescent="0.2">
      <c r="A24" s="208">
        <v>11</v>
      </c>
      <c r="B24" s="761" t="s">
        <v>143</v>
      </c>
      <c r="C24" s="761"/>
      <c r="D24" s="761"/>
      <c r="E24" s="404" t="s">
        <v>133</v>
      </c>
      <c r="F24" s="762"/>
      <c r="G24" s="763"/>
    </row>
    <row r="25" spans="1:11" s="194" customFormat="1" ht="35.25" customHeight="1" x14ac:dyDescent="0.2">
      <c r="A25" s="209">
        <v>12</v>
      </c>
      <c r="B25" s="761" t="s">
        <v>144</v>
      </c>
      <c r="C25" s="761"/>
      <c r="D25" s="761"/>
      <c r="E25" s="193" t="s">
        <v>133</v>
      </c>
      <c r="F25" s="762"/>
      <c r="G25" s="763"/>
    </row>
    <row r="26" spans="1:11" s="1" customFormat="1" ht="35.25" customHeight="1" x14ac:dyDescent="0.2">
      <c r="A26" s="208">
        <v>13</v>
      </c>
      <c r="B26" s="761" t="s">
        <v>145</v>
      </c>
      <c r="C26" s="761"/>
      <c r="D26" s="761"/>
      <c r="E26" s="404" t="s">
        <v>133</v>
      </c>
      <c r="F26" s="762"/>
      <c r="G26" s="763"/>
    </row>
    <row r="27" spans="1:11" s="1" customFormat="1" ht="35.25" customHeight="1" x14ac:dyDescent="0.2">
      <c r="A27" s="208">
        <v>14</v>
      </c>
      <c r="B27" s="761" t="s">
        <v>146</v>
      </c>
      <c r="C27" s="761"/>
      <c r="D27" s="761"/>
      <c r="E27" s="404" t="s">
        <v>133</v>
      </c>
      <c r="F27" s="762"/>
      <c r="G27" s="763"/>
    </row>
    <row r="28" spans="1:11" s="1" customFormat="1" ht="54.75" customHeight="1" thickBot="1" x14ac:dyDescent="0.25">
      <c r="A28" s="210">
        <v>15</v>
      </c>
      <c r="B28" s="764" t="s">
        <v>147</v>
      </c>
      <c r="C28" s="764"/>
      <c r="D28" s="764"/>
      <c r="E28" s="406" t="s">
        <v>133</v>
      </c>
      <c r="F28" s="765"/>
      <c r="G28" s="766"/>
    </row>
    <row r="29" spans="1:11" s="198" customFormat="1" ht="21" customHeight="1" thickBot="1" x14ac:dyDescent="0.25">
      <c r="B29" s="195"/>
      <c r="C29" s="196"/>
      <c r="D29" s="196"/>
      <c r="E29" s="195"/>
      <c r="F29" s="196"/>
      <c r="G29" s="196"/>
      <c r="H29" s="197"/>
      <c r="I29" s="197"/>
    </row>
    <row r="30" spans="1:11" s="219" customFormat="1" ht="15" customHeight="1" x14ac:dyDescent="0.2">
      <c r="A30" s="767" t="s">
        <v>148</v>
      </c>
      <c r="B30" s="768"/>
      <c r="C30" s="768"/>
      <c r="D30" s="768"/>
      <c r="E30" s="768"/>
      <c r="F30" s="768"/>
      <c r="G30" s="769"/>
      <c r="H30" s="222"/>
      <c r="I30" s="223"/>
      <c r="J30" s="223"/>
      <c r="K30" s="223"/>
    </row>
    <row r="31" spans="1:11" s="219" customFormat="1" ht="15" customHeight="1" x14ac:dyDescent="0.2">
      <c r="A31" s="220" t="s">
        <v>128</v>
      </c>
      <c r="B31" s="759" t="s">
        <v>129</v>
      </c>
      <c r="C31" s="759"/>
      <c r="D31" s="759"/>
      <c r="E31" s="407" t="s">
        <v>130</v>
      </c>
      <c r="F31" s="759" t="s">
        <v>131</v>
      </c>
      <c r="G31" s="760"/>
      <c r="H31" s="224"/>
      <c r="I31" s="225"/>
      <c r="J31" s="225"/>
      <c r="K31" s="225"/>
    </row>
    <row r="32" spans="1:11" s="1" customFormat="1" ht="55.5" customHeight="1" x14ac:dyDescent="0.2">
      <c r="A32" s="216">
        <v>1</v>
      </c>
      <c r="B32" s="754" t="s">
        <v>149</v>
      </c>
      <c r="C32" s="754"/>
      <c r="D32" s="754"/>
      <c r="E32" s="199" t="s">
        <v>150</v>
      </c>
      <c r="F32" s="755"/>
      <c r="G32" s="756"/>
      <c r="H32" s="226"/>
      <c r="I32" s="206"/>
      <c r="J32" s="206"/>
      <c r="K32" s="206"/>
    </row>
    <row r="33" spans="1:8" s="1" customFormat="1" ht="25.5" customHeight="1" x14ac:dyDescent="0.2">
      <c r="A33" s="216">
        <v>2</v>
      </c>
      <c r="B33" s="754" t="s">
        <v>151</v>
      </c>
      <c r="C33" s="754"/>
      <c r="D33" s="754"/>
      <c r="E33" s="199" t="s">
        <v>150</v>
      </c>
      <c r="F33" s="755"/>
      <c r="G33" s="756"/>
    </row>
    <row r="34" spans="1:8" s="1" customFormat="1" ht="25.5" customHeight="1" x14ac:dyDescent="0.2">
      <c r="A34" s="216">
        <v>3</v>
      </c>
      <c r="B34" s="754" t="s">
        <v>152</v>
      </c>
      <c r="C34" s="754"/>
      <c r="D34" s="754"/>
      <c r="E34" s="199" t="s">
        <v>150</v>
      </c>
      <c r="F34" s="755"/>
      <c r="G34" s="756"/>
    </row>
    <row r="35" spans="1:8" s="1" customFormat="1" ht="25.5" customHeight="1" x14ac:dyDescent="0.2">
      <c r="A35" s="216">
        <v>4</v>
      </c>
      <c r="B35" s="754" t="s">
        <v>153</v>
      </c>
      <c r="C35" s="754"/>
      <c r="D35" s="754"/>
      <c r="E35" s="199" t="s">
        <v>154</v>
      </c>
      <c r="F35" s="755"/>
      <c r="G35" s="756"/>
    </row>
    <row r="36" spans="1:8" s="1" customFormat="1" ht="25.5" customHeight="1" x14ac:dyDescent="0.2">
      <c r="A36" s="216">
        <v>5</v>
      </c>
      <c r="B36" s="754" t="s">
        <v>155</v>
      </c>
      <c r="C36" s="754"/>
      <c r="D36" s="754"/>
      <c r="E36" s="199" t="s">
        <v>154</v>
      </c>
      <c r="F36" s="757"/>
      <c r="G36" s="758"/>
    </row>
    <row r="37" spans="1:8" s="1" customFormat="1" ht="25.5" customHeight="1" thickBot="1" x14ac:dyDescent="0.25">
      <c r="A37" s="217">
        <v>6</v>
      </c>
      <c r="B37" s="748" t="s">
        <v>156</v>
      </c>
      <c r="C37" s="748"/>
      <c r="D37" s="748"/>
      <c r="E37" s="218" t="s">
        <v>154</v>
      </c>
      <c r="F37" s="749"/>
      <c r="G37" s="750"/>
    </row>
    <row r="38" spans="1:8" ht="15.75" thickBot="1" x14ac:dyDescent="0.3"/>
    <row r="39" spans="1:8" ht="15.75" thickBot="1" x14ac:dyDescent="0.3">
      <c r="B39" s="751" t="s">
        <v>209</v>
      </c>
      <c r="C39" s="752"/>
      <c r="D39" s="752"/>
      <c r="E39" s="752"/>
      <c r="F39" s="752"/>
      <c r="G39" s="753"/>
    </row>
    <row r="40" spans="1:8" ht="72.75" thickBot="1" x14ac:dyDescent="0.3">
      <c r="B40" s="2" t="s">
        <v>39</v>
      </c>
      <c r="C40" s="11" t="s">
        <v>108</v>
      </c>
      <c r="D40" s="11" t="s">
        <v>109</v>
      </c>
      <c r="E40" s="22" t="s">
        <v>102</v>
      </c>
      <c r="F40" s="22" t="s">
        <v>103</v>
      </c>
      <c r="G40" s="22" t="s">
        <v>38</v>
      </c>
    </row>
    <row r="41" spans="1:8" ht="15.75" thickBot="1" x14ac:dyDescent="0.3">
      <c r="B41" s="54">
        <f>'CARTA DE CONTROL'!R82</f>
        <v>0</v>
      </c>
      <c r="C41" s="4">
        <f>'CARTA DE CONTROL'!AR82</f>
        <v>0.56999999999999995</v>
      </c>
      <c r="D41" s="4">
        <f>'CARTA DE CONTROL'!AS82</f>
        <v>-0.56999999999999995</v>
      </c>
      <c r="E41" s="6">
        <f>'CARTA DE CONTROL'!I82</f>
        <v>3</v>
      </c>
      <c r="F41" s="7">
        <f>-('CARTA DE CONTROL'!I82)</f>
        <v>-3</v>
      </c>
      <c r="G41" s="5" t="str">
        <f>IF(C41&lt;=2,IF(D41&gt;=-2,"PASS","NO PASS"))</f>
        <v>PASS</v>
      </c>
    </row>
    <row r="42" spans="1:8" ht="15.75" thickBot="1" x14ac:dyDescent="0.3">
      <c r="B42" s="54">
        <f>'CARTA DE CONTROL'!R83</f>
        <v>30</v>
      </c>
      <c r="C42" s="4">
        <f>'CARTA DE CONTROL'!AR83</f>
        <v>1.8999999999999997</v>
      </c>
      <c r="D42" s="4">
        <f>'CARTA DE CONTROL'!AS83</f>
        <v>-1.8999999999999997</v>
      </c>
      <c r="E42" s="6">
        <f>'CARTA DE CONTROL'!I83</f>
        <v>3</v>
      </c>
      <c r="F42" s="7">
        <f>-('CARTA DE CONTROL'!I83)</f>
        <v>-3</v>
      </c>
      <c r="G42" s="5" t="str">
        <f t="shared" ref="G42:G45" si="0">IF(C42&lt;=2,IF(D42&gt;=-2,"PASS","NO PASS"))</f>
        <v>PASS</v>
      </c>
    </row>
    <row r="43" spans="1:8" ht="15.75" thickBot="1" x14ac:dyDescent="0.3">
      <c r="B43" s="54">
        <f>'CARTA DE CONTROL'!R84</f>
        <v>40</v>
      </c>
      <c r="C43" s="4">
        <f>'CARTA DE CONTROL'!AR84</f>
        <v>1.4499999999999997</v>
      </c>
      <c r="D43" s="4">
        <f>'CARTA DE CONTROL'!AS84</f>
        <v>-1.4499999999999997</v>
      </c>
      <c r="E43" s="6">
        <f>'CARTA DE CONTROL'!I84</f>
        <v>3</v>
      </c>
      <c r="F43" s="7">
        <f>-('CARTA DE CONTROL'!I84)</f>
        <v>-3</v>
      </c>
      <c r="G43" s="5" t="str">
        <f t="shared" si="0"/>
        <v>PASS</v>
      </c>
    </row>
    <row r="44" spans="1:8" ht="15.75" thickBot="1" x14ac:dyDescent="0.3">
      <c r="B44" s="54">
        <f>'CARTA DE CONTROL'!R85</f>
        <v>60</v>
      </c>
      <c r="C44" s="4">
        <f>'CARTA DE CONTROL'!AR85</f>
        <v>0.98333333333333328</v>
      </c>
      <c r="D44" s="4">
        <f>'CARTA DE CONTROL'!AS85</f>
        <v>-0.98333333333333328</v>
      </c>
      <c r="E44" s="6">
        <f>'CARTA DE CONTROL'!I85</f>
        <v>3</v>
      </c>
      <c r="F44" s="7">
        <f>-('CARTA DE CONTROL'!I85)</f>
        <v>-3</v>
      </c>
      <c r="G44" s="5" t="str">
        <f t="shared" si="0"/>
        <v>PASS</v>
      </c>
    </row>
    <row r="45" spans="1:8" ht="15.75" thickBot="1" x14ac:dyDescent="0.3">
      <c r="B45" s="54">
        <f>'CARTA DE CONTROL'!R86</f>
        <v>100</v>
      </c>
      <c r="C45" s="4">
        <f>'CARTA DE CONTROL'!AR86</f>
        <v>0.63</v>
      </c>
      <c r="D45" s="4">
        <f>'CARTA DE CONTROL'!AS86</f>
        <v>-0.63</v>
      </c>
      <c r="E45" s="6">
        <f>'CARTA DE CONTROL'!I86</f>
        <v>3</v>
      </c>
      <c r="F45" s="7">
        <f>-('CARTA DE CONTROL'!I86)</f>
        <v>-3</v>
      </c>
      <c r="G45" s="5" t="str">
        <f t="shared" si="0"/>
        <v>PASS</v>
      </c>
    </row>
    <row r="46" spans="1:8" x14ac:dyDescent="0.25">
      <c r="A46" s="1"/>
      <c r="B46" s="1"/>
      <c r="C46" s="1"/>
      <c r="D46" s="1"/>
      <c r="E46" s="1"/>
      <c r="F46" s="1"/>
      <c r="G46" s="1"/>
      <c r="H46" s="1"/>
    </row>
    <row r="47" spans="1:8" x14ac:dyDescent="0.25">
      <c r="A47" s="1"/>
      <c r="B47" s="1"/>
      <c r="C47" s="1"/>
      <c r="D47" s="1"/>
      <c r="E47" s="1"/>
      <c r="F47" s="1"/>
      <c r="G47" s="1"/>
      <c r="H47" s="1"/>
    </row>
    <row r="48" spans="1:8" x14ac:dyDescent="0.25">
      <c r="A48" s="1"/>
      <c r="B48" s="1"/>
      <c r="C48" s="1"/>
      <c r="D48" s="1"/>
      <c r="E48" s="1"/>
      <c r="F48" s="1"/>
      <c r="G48" s="1"/>
      <c r="H48" s="1"/>
    </row>
    <row r="49" spans="1:8" x14ac:dyDescent="0.25">
      <c r="A49" s="1"/>
      <c r="B49" s="1"/>
      <c r="C49" s="1"/>
      <c r="D49" s="1"/>
      <c r="E49" s="1"/>
      <c r="F49" s="1"/>
      <c r="G49" s="1"/>
      <c r="H49" s="1"/>
    </row>
    <row r="50" spans="1:8" x14ac:dyDescent="0.25">
      <c r="A50" s="1"/>
      <c r="B50" s="1"/>
      <c r="C50" s="1"/>
      <c r="D50" s="1"/>
      <c r="E50" s="1"/>
      <c r="F50" s="1"/>
      <c r="G50" s="1"/>
      <c r="H50" s="1"/>
    </row>
    <row r="51" spans="1:8" x14ac:dyDescent="0.25">
      <c r="A51" s="1"/>
      <c r="B51" s="1"/>
      <c r="C51" s="1"/>
      <c r="D51" s="1"/>
      <c r="E51" s="1"/>
      <c r="F51" s="1"/>
      <c r="G51" s="1"/>
      <c r="H51" s="1"/>
    </row>
    <row r="64" spans="1:8" ht="15.75" thickBot="1" x14ac:dyDescent="0.3"/>
    <row r="65" spans="2:5" ht="15.75" thickBot="1" x14ac:dyDescent="0.3">
      <c r="B65" s="751" t="s">
        <v>210</v>
      </c>
      <c r="C65" s="752"/>
      <c r="D65" s="752"/>
      <c r="E65" s="753"/>
    </row>
    <row r="66" spans="2:5" ht="34.5" thickBot="1" x14ac:dyDescent="0.3">
      <c r="B66" s="2" t="s">
        <v>39</v>
      </c>
      <c r="C66" s="10" t="s">
        <v>110</v>
      </c>
      <c r="D66" s="2" t="s">
        <v>91</v>
      </c>
      <c r="E66" s="21" t="s">
        <v>90</v>
      </c>
    </row>
    <row r="67" spans="2:5" ht="15.75" thickBot="1" x14ac:dyDescent="0.3">
      <c r="B67" s="3">
        <f>'CARTA DE CONTROL'!R82</f>
        <v>0</v>
      </c>
      <c r="C67" s="4">
        <f>'CARTA DE CONTROL'!AM82</f>
        <v>0</v>
      </c>
      <c r="D67" s="6">
        <f>'CARTA DE CONTROL'!K82</f>
        <v>3</v>
      </c>
      <c r="E67" s="5" t="str">
        <f>IF(C67&lt;=3,IF(C67&gt;=-3,"PASS","NO PASS"))</f>
        <v>PASS</v>
      </c>
    </row>
    <row r="68" spans="2:5" ht="15.75" thickBot="1" x14ac:dyDescent="0.3">
      <c r="B68" s="3">
        <f>'CARTA DE CONTROL'!R83</f>
        <v>30</v>
      </c>
      <c r="C68" s="4">
        <f>'CARTA DE CONTROL'!AM83</f>
        <v>0</v>
      </c>
      <c r="D68" s="6">
        <f>'CARTA DE CONTROL'!K83</f>
        <v>3</v>
      </c>
      <c r="E68" s="5" t="str">
        <f t="shared" ref="E68:E71" si="1">IF(C68&lt;=3,IF(C68&gt;=-3,"PASS","NO PASS"))</f>
        <v>PASS</v>
      </c>
    </row>
    <row r="69" spans="2:5" ht="15.75" thickBot="1" x14ac:dyDescent="0.3">
      <c r="B69" s="3">
        <f>'CARTA DE CONTROL'!R84</f>
        <v>40</v>
      </c>
      <c r="C69" s="4">
        <f>'CARTA DE CONTROL'!AM84</f>
        <v>0</v>
      </c>
      <c r="D69" s="6">
        <f>'CARTA DE CONTROL'!K84</f>
        <v>3</v>
      </c>
      <c r="E69" s="5" t="str">
        <f t="shared" si="1"/>
        <v>PASS</v>
      </c>
    </row>
    <row r="70" spans="2:5" ht="15.75" thickBot="1" x14ac:dyDescent="0.3">
      <c r="B70" s="3">
        <f>'CARTA DE CONTROL'!R85</f>
        <v>60</v>
      </c>
      <c r="C70" s="4">
        <f>'CARTA DE CONTROL'!AM85</f>
        <v>0</v>
      </c>
      <c r="D70" s="6">
        <f>'CARTA DE CONTROL'!K85</f>
        <v>3</v>
      </c>
      <c r="E70" s="5" t="str">
        <f t="shared" si="1"/>
        <v>PASS</v>
      </c>
    </row>
    <row r="71" spans="2:5" ht="15.75" thickBot="1" x14ac:dyDescent="0.3">
      <c r="B71" s="3">
        <f>'CARTA DE CONTROL'!R86</f>
        <v>100</v>
      </c>
      <c r="C71" s="4">
        <f>'CARTA DE CONTROL'!AM86</f>
        <v>0</v>
      </c>
      <c r="D71" s="6">
        <f>'CARTA DE CONTROL'!K86</f>
        <v>3</v>
      </c>
      <c r="E71" s="5" t="str">
        <f t="shared" si="1"/>
        <v>PASS</v>
      </c>
    </row>
    <row r="85" spans="1:8" ht="15.75" thickBot="1" x14ac:dyDescent="0.3"/>
    <row r="86" spans="1:8" ht="15.75" thickBot="1" x14ac:dyDescent="0.3">
      <c r="B86" s="751" t="s">
        <v>209</v>
      </c>
      <c r="C86" s="752"/>
      <c r="D86" s="752"/>
      <c r="E86" s="752"/>
      <c r="F86" s="752"/>
      <c r="G86" s="753"/>
    </row>
    <row r="87" spans="1:8" ht="72.75" thickBot="1" x14ac:dyDescent="0.3">
      <c r="B87" s="2" t="s">
        <v>39</v>
      </c>
      <c r="C87" s="11" t="s">
        <v>108</v>
      </c>
      <c r="D87" s="11" t="s">
        <v>109</v>
      </c>
      <c r="E87" s="22" t="s">
        <v>102</v>
      </c>
      <c r="F87" s="22" t="s">
        <v>103</v>
      </c>
      <c r="G87" s="22" t="s">
        <v>38</v>
      </c>
    </row>
    <row r="88" spans="1:8" ht="15.75" thickBot="1" x14ac:dyDescent="0.3">
      <c r="B88" s="54">
        <f>'CARTA DE CONTROL'!R87</f>
        <v>100.4</v>
      </c>
      <c r="C88" s="4">
        <f>'CARTA DE CONTROL'!AR87</f>
        <v>1.1952191235059733</v>
      </c>
      <c r="D88" s="4">
        <f>'CARTA DE CONTROL'!AS87</f>
        <v>-2.5896414342629508</v>
      </c>
      <c r="E88" s="6">
        <f>'CARTA DE CONTROL'!I87</f>
        <v>3</v>
      </c>
      <c r="F88" s="7">
        <f>-('CARTA DE CONTROL'!I87)</f>
        <v>-3</v>
      </c>
      <c r="G88" s="5" t="str">
        <f>IF(C88&lt;=3,IF(D88&gt;=-3,"PASS","NO PASS"))</f>
        <v>PASS</v>
      </c>
    </row>
    <row r="89" spans="1:8" ht="15.75" thickBot="1" x14ac:dyDescent="0.3">
      <c r="B89" s="54">
        <f>'CARTA DE CONTROL'!R88</f>
        <v>200.9</v>
      </c>
      <c r="C89" s="4">
        <f>'CARTA DE CONTROL'!AR88</f>
        <v>1.2403317262028266</v>
      </c>
      <c r="D89" s="4">
        <f>'CARTA DE CONTROL'!AS88</f>
        <v>-1.8457807675751723</v>
      </c>
      <c r="E89" s="6">
        <f>'CARTA DE CONTROL'!I88</f>
        <v>3</v>
      </c>
      <c r="F89" s="7">
        <f>-('CARTA DE CONTROL'!I88)</f>
        <v>-3</v>
      </c>
      <c r="G89" s="5" t="str">
        <f t="shared" ref="G89:G92" si="2">IF(C89&lt;=3,IF(D89&gt;=-3,"PASS","NO PASS"))</f>
        <v>PASS</v>
      </c>
    </row>
    <row r="90" spans="1:8" ht="15.75" thickBot="1" x14ac:dyDescent="0.3">
      <c r="B90" s="54">
        <f>'CARTA DE CONTROL'!R89</f>
        <v>301.3</v>
      </c>
      <c r="C90" s="4">
        <f>'CARTA DE CONTROL'!AR89</f>
        <v>0.96249585131098181</v>
      </c>
      <c r="D90" s="4">
        <f>'CARTA DE CONTROL'!AS89</f>
        <v>-1.8254231662794593</v>
      </c>
      <c r="E90" s="6">
        <f>'CARTA DE CONTROL'!I89</f>
        <v>3</v>
      </c>
      <c r="F90" s="7">
        <f>-('CARTA DE CONTROL'!I89)</f>
        <v>-3</v>
      </c>
      <c r="G90" s="5" t="str">
        <f t="shared" si="2"/>
        <v>PASS</v>
      </c>
    </row>
    <row r="91" spans="1:8" ht="15.75" thickBot="1" x14ac:dyDescent="0.3">
      <c r="B91" s="54">
        <f>'CARTA DE CONTROL'!R90</f>
        <v>401.8</v>
      </c>
      <c r="C91" s="4">
        <f>'CARTA DE CONTROL'!AR90</f>
        <v>1.1697361871577872</v>
      </c>
      <c r="D91" s="4">
        <f>'CARTA DE CONTROL'!AS90</f>
        <v>-1.567944250871083</v>
      </c>
      <c r="E91" s="6">
        <f>'CARTA DE CONTROL'!I90</f>
        <v>3</v>
      </c>
      <c r="F91" s="7">
        <f>-('CARTA DE CONTROL'!I90)</f>
        <v>-3</v>
      </c>
      <c r="G91" s="5" t="str">
        <f t="shared" si="2"/>
        <v>PASS</v>
      </c>
    </row>
    <row r="92" spans="1:8" ht="15.75" thickBot="1" x14ac:dyDescent="0.3">
      <c r="B92" s="54">
        <f>'CARTA DE CONTROL'!R91</f>
        <v>502.3</v>
      </c>
      <c r="C92" s="4">
        <f>'CARTA DE CONTROL'!AR91</f>
        <v>0.67688632291459283</v>
      </c>
      <c r="D92" s="4">
        <f>'CARTA DE CONTROL'!AS91</f>
        <v>-1.8713915986462273</v>
      </c>
      <c r="E92" s="6">
        <f>'CARTA DE CONTROL'!I91</f>
        <v>3</v>
      </c>
      <c r="F92" s="7">
        <f>-('CARTA DE CONTROL'!I91)</f>
        <v>-3</v>
      </c>
      <c r="G92" s="5" t="str">
        <f t="shared" si="2"/>
        <v>PASS</v>
      </c>
    </row>
    <row r="93" spans="1:8" ht="15.75" thickBot="1" x14ac:dyDescent="0.3">
      <c r="A93" s="1"/>
      <c r="B93" s="54">
        <f>'CARTA DE CONTROL'!R92</f>
        <v>1004</v>
      </c>
      <c r="C93" s="4">
        <f>'CARTA DE CONTROL'!AR92</f>
        <v>0.69721115537848599</v>
      </c>
      <c r="D93" s="4">
        <f>'CARTA DE CONTROL'!AS92</f>
        <v>-1.8924302788844622</v>
      </c>
      <c r="E93" s="6">
        <f>'CARTA DE CONTROL'!I92</f>
        <v>3</v>
      </c>
      <c r="F93" s="7">
        <f>-('CARTA DE CONTROL'!I92)</f>
        <v>-3</v>
      </c>
      <c r="G93" s="5" t="str">
        <f>IF(C93&lt;=3,IF(D93&gt;=-3,"PASS","NO PASS"))</f>
        <v>PASS</v>
      </c>
      <c r="H93" s="1"/>
    </row>
    <row r="94" spans="1:8" x14ac:dyDescent="0.25">
      <c r="A94" s="1"/>
      <c r="B94" s="1"/>
      <c r="C94" s="1"/>
      <c r="D94" s="1"/>
      <c r="E94" s="1"/>
      <c r="F94" s="1"/>
      <c r="G94" s="1"/>
      <c r="H94" s="1"/>
    </row>
    <row r="95" spans="1:8" x14ac:dyDescent="0.25">
      <c r="A95" s="1"/>
      <c r="B95" s="1"/>
      <c r="C95" s="1"/>
      <c r="D95" s="1"/>
      <c r="E95" s="1"/>
      <c r="F95" s="1"/>
      <c r="G95" s="1"/>
      <c r="H95" s="1"/>
    </row>
    <row r="96" spans="1:8" x14ac:dyDescent="0.25">
      <c r="A96" s="1"/>
      <c r="B96" s="1"/>
      <c r="C96" s="1"/>
      <c r="D96" s="1"/>
      <c r="E96" s="1"/>
      <c r="F96" s="1"/>
      <c r="G96" s="1"/>
      <c r="H96" s="1"/>
    </row>
    <row r="97" spans="1:8" x14ac:dyDescent="0.25">
      <c r="A97" s="1"/>
      <c r="B97" s="1"/>
      <c r="C97" s="1"/>
      <c r="D97" s="1"/>
      <c r="E97" s="1"/>
      <c r="F97" s="1"/>
      <c r="G97" s="1"/>
      <c r="H97" s="1"/>
    </row>
    <row r="98" spans="1:8" x14ac:dyDescent="0.25">
      <c r="A98" s="1"/>
      <c r="B98" s="1"/>
      <c r="C98" s="1"/>
      <c r="D98" s="1"/>
      <c r="E98" s="1"/>
      <c r="F98" s="1"/>
      <c r="G98" s="1"/>
      <c r="H98" s="1"/>
    </row>
    <row r="111" spans="1:8" ht="15.75" thickBot="1" x14ac:dyDescent="0.3"/>
    <row r="112" spans="1:8" ht="15.75" thickBot="1" x14ac:dyDescent="0.3">
      <c r="B112" s="751" t="s">
        <v>210</v>
      </c>
      <c r="C112" s="752"/>
      <c r="D112" s="752"/>
      <c r="E112" s="753"/>
    </row>
    <row r="113" spans="2:5" ht="34.5" thickBot="1" x14ac:dyDescent="0.3">
      <c r="B113" s="2" t="s">
        <v>39</v>
      </c>
      <c r="C113" s="10" t="s">
        <v>110</v>
      </c>
      <c r="D113" s="2" t="s">
        <v>91</v>
      </c>
      <c r="E113" s="21" t="s">
        <v>90</v>
      </c>
    </row>
    <row r="114" spans="2:5" ht="15.75" thickBot="1" x14ac:dyDescent="0.3">
      <c r="B114" s="3">
        <f>'CARTA DE CONTROL'!R87</f>
        <v>100.4</v>
      </c>
      <c r="C114" s="4">
        <f>'CARTA DE CONTROL'!AM87</f>
        <v>0.57768924302788838</v>
      </c>
      <c r="D114" s="6">
        <f>'CARTA DE CONTROL'!K87</f>
        <v>3</v>
      </c>
      <c r="E114" s="5" t="str">
        <f>IF(C114&lt;=3,IF(C114&gt;=-3,"PASS","NO PASS"))</f>
        <v>PASS</v>
      </c>
    </row>
    <row r="115" spans="2:5" ht="15.75" thickBot="1" x14ac:dyDescent="0.3">
      <c r="B115" s="3">
        <f>'CARTA DE CONTROL'!R88</f>
        <v>200.9</v>
      </c>
      <c r="C115" s="4">
        <f>'CARTA DE CONTROL'!AM88</f>
        <v>0.28870084619213537</v>
      </c>
      <c r="D115" s="6">
        <f>'CARTA DE CONTROL'!K88</f>
        <v>3</v>
      </c>
      <c r="E115" s="5" t="str">
        <f t="shared" ref="E115:E118" si="3">IF(C115&lt;=3,IF(C115&gt;=-3,"PASS","NO PASS"))</f>
        <v>PASS</v>
      </c>
    </row>
    <row r="116" spans="2:5" ht="15.75" thickBot="1" x14ac:dyDescent="0.3">
      <c r="B116" s="3">
        <f>'CARTA DE CONTROL'!R89</f>
        <v>301.3</v>
      </c>
      <c r="C116" s="4">
        <f>'CARTA DE CONTROL'!AM89</f>
        <v>0.33189512114171921</v>
      </c>
      <c r="D116" s="6">
        <f>'CARTA DE CONTROL'!K89</f>
        <v>3</v>
      </c>
      <c r="E116" s="5" t="str">
        <f t="shared" si="3"/>
        <v>PASS</v>
      </c>
    </row>
    <row r="117" spans="2:5" ht="15.75" thickBot="1" x14ac:dyDescent="0.3">
      <c r="B117" s="3">
        <f>'CARTA DE CONTROL'!R90</f>
        <v>401.8</v>
      </c>
      <c r="C117" s="4">
        <f>'CARTA DE CONTROL'!AM90</f>
        <v>0.430562468889995</v>
      </c>
      <c r="D117" s="6">
        <f>'CARTA DE CONTROL'!K90</f>
        <v>3</v>
      </c>
      <c r="E117" s="5" t="str">
        <f t="shared" si="3"/>
        <v>PASS</v>
      </c>
    </row>
    <row r="118" spans="2:5" ht="15.75" thickBot="1" x14ac:dyDescent="0.3">
      <c r="B118" s="3">
        <f>'CARTA DE CONTROL'!R91</f>
        <v>502.3</v>
      </c>
      <c r="C118" s="4">
        <f>'CARTA DE CONTROL'!AM91</f>
        <v>0.11546884332072464</v>
      </c>
      <c r="D118" s="6">
        <f>'CARTA DE CONTROL'!K91</f>
        <v>3</v>
      </c>
      <c r="E118" s="5" t="str">
        <f t="shared" si="3"/>
        <v>PASS</v>
      </c>
    </row>
    <row r="119" spans="2:5" ht="15.75" thickBot="1" x14ac:dyDescent="0.3">
      <c r="B119" s="3">
        <f>'CARTA DE CONTROL'!R92</f>
        <v>1004</v>
      </c>
      <c r="C119" s="4">
        <f>'CARTA DE CONTROL'!AM92</f>
        <v>5.7768924302788835E-2</v>
      </c>
      <c r="D119" s="6">
        <f>'CARTA DE CONTROL'!K92</f>
        <v>3</v>
      </c>
      <c r="E119" s="5" t="str">
        <f t="shared" ref="E119" si="4">IF(C119&lt;=3,IF(C119&gt;=-3,"PASS","NO PASS"))</f>
        <v>PASS</v>
      </c>
    </row>
    <row r="133" spans="1:8" ht="15.75" thickBot="1" x14ac:dyDescent="0.3"/>
    <row r="134" spans="1:8" ht="15.75" thickBot="1" x14ac:dyDescent="0.3">
      <c r="B134" s="751" t="s">
        <v>211</v>
      </c>
      <c r="C134" s="752"/>
      <c r="D134" s="752"/>
      <c r="E134" s="752"/>
      <c r="F134" s="752"/>
      <c r="G134" s="753"/>
    </row>
    <row r="135" spans="1:8" ht="72.75" thickBot="1" x14ac:dyDescent="0.3">
      <c r="B135" s="2" t="s">
        <v>39</v>
      </c>
      <c r="C135" s="11" t="s">
        <v>108</v>
      </c>
      <c r="D135" s="11" t="s">
        <v>109</v>
      </c>
      <c r="E135" s="22" t="s">
        <v>102</v>
      </c>
      <c r="F135" s="22" t="s">
        <v>103</v>
      </c>
      <c r="G135" s="22" t="s">
        <v>38</v>
      </c>
    </row>
    <row r="136" spans="1:8" ht="15.75" thickBot="1" x14ac:dyDescent="0.3">
      <c r="B136" s="54">
        <f>'CARTA DE CONTROL'!R93</f>
        <v>0</v>
      </c>
      <c r="C136" s="4">
        <f>'CARTA DE CONTROL'!AR93</f>
        <v>0.56999999999999995</v>
      </c>
      <c r="D136" s="4">
        <f>'CARTA DE CONTROL'!AS93</f>
        <v>-0.56999999999999995</v>
      </c>
      <c r="E136" s="6">
        <f>'CARTA DE CONTROL'!I93</f>
        <v>3</v>
      </c>
      <c r="F136" s="7">
        <f>-('CARTA DE CONTROL'!I93)</f>
        <v>-3</v>
      </c>
      <c r="G136" s="5" t="str">
        <f>IF(C136&lt;=2,IF(D136&gt;=-2,"PASS","NO PASS"))</f>
        <v>PASS</v>
      </c>
    </row>
    <row r="137" spans="1:8" ht="15.75" thickBot="1" x14ac:dyDescent="0.3">
      <c r="B137" s="54">
        <f>'CARTA DE CONTROL'!R94</f>
        <v>30</v>
      </c>
      <c r="C137" s="4">
        <f>'CARTA DE CONTROL'!AR94</f>
        <v>1.8999999999999997</v>
      </c>
      <c r="D137" s="4">
        <f>'CARTA DE CONTROL'!AS94</f>
        <v>-1.8999999999999997</v>
      </c>
      <c r="E137" s="6">
        <f>'CARTA DE CONTROL'!I94</f>
        <v>3</v>
      </c>
      <c r="F137" s="7">
        <f>-('CARTA DE CONTROL'!I94)</f>
        <v>-3</v>
      </c>
      <c r="G137" s="5" t="str">
        <f t="shared" ref="G137:G140" si="5">IF(C137&lt;=2,IF(D137&gt;=-2,"PASS","NO PASS"))</f>
        <v>PASS</v>
      </c>
    </row>
    <row r="138" spans="1:8" ht="15.75" thickBot="1" x14ac:dyDescent="0.3">
      <c r="B138" s="54">
        <f>'CARTA DE CONTROL'!R95</f>
        <v>40</v>
      </c>
      <c r="C138" s="4">
        <f>'CARTA DE CONTROL'!AR95</f>
        <v>1.4499999999999997</v>
      </c>
      <c r="D138" s="4">
        <f>'CARTA DE CONTROL'!AS95</f>
        <v>-1.4499999999999997</v>
      </c>
      <c r="E138" s="6">
        <f>'CARTA DE CONTROL'!I95</f>
        <v>3</v>
      </c>
      <c r="F138" s="7">
        <f>-('CARTA DE CONTROL'!I95)</f>
        <v>-3</v>
      </c>
      <c r="G138" s="5" t="str">
        <f t="shared" si="5"/>
        <v>PASS</v>
      </c>
    </row>
    <row r="139" spans="1:8" ht="15.75" thickBot="1" x14ac:dyDescent="0.3">
      <c r="B139" s="54">
        <f>'CARTA DE CONTROL'!R96</f>
        <v>60</v>
      </c>
      <c r="C139" s="4">
        <f>'CARTA DE CONTROL'!AR96</f>
        <v>0.98333333333333328</v>
      </c>
      <c r="D139" s="4">
        <f>'CARTA DE CONTROL'!AS96</f>
        <v>-0.98333333333333328</v>
      </c>
      <c r="E139" s="6">
        <f>'CARTA DE CONTROL'!I96</f>
        <v>3</v>
      </c>
      <c r="F139" s="7">
        <f>-('CARTA DE CONTROL'!I96)</f>
        <v>-3</v>
      </c>
      <c r="G139" s="5" t="str">
        <f t="shared" si="5"/>
        <v>PASS</v>
      </c>
    </row>
    <row r="140" spans="1:8" ht="15.75" thickBot="1" x14ac:dyDescent="0.3">
      <c r="B140" s="54">
        <f>'CARTA DE CONTROL'!R97</f>
        <v>100</v>
      </c>
      <c r="C140" s="4">
        <f>'CARTA DE CONTROL'!AR97</f>
        <v>0.63</v>
      </c>
      <c r="D140" s="4">
        <f>'CARTA DE CONTROL'!AS97</f>
        <v>-0.63</v>
      </c>
      <c r="E140" s="6">
        <f>'CARTA DE CONTROL'!I97</f>
        <v>3</v>
      </c>
      <c r="F140" s="7">
        <f>-('CARTA DE CONTROL'!I97)</f>
        <v>-3</v>
      </c>
      <c r="G140" s="5" t="str">
        <f t="shared" si="5"/>
        <v>PASS</v>
      </c>
    </row>
    <row r="141" spans="1:8" x14ac:dyDescent="0.25">
      <c r="A141" s="1"/>
      <c r="B141" s="1"/>
      <c r="C141" s="1"/>
      <c r="D141" s="1"/>
      <c r="E141" s="1"/>
      <c r="F141" s="1"/>
      <c r="G141" s="1"/>
      <c r="H141" s="1"/>
    </row>
    <row r="142" spans="1:8" x14ac:dyDescent="0.25">
      <c r="A142" s="1"/>
      <c r="B142" s="1"/>
      <c r="C142" s="1"/>
      <c r="D142" s="1"/>
      <c r="E142" s="1"/>
      <c r="F142" s="1"/>
      <c r="G142" s="1"/>
      <c r="H142" s="1"/>
    </row>
    <row r="143" spans="1:8" x14ac:dyDescent="0.25">
      <c r="A143" s="1"/>
      <c r="B143" s="1"/>
      <c r="C143" s="1"/>
      <c r="D143" s="1"/>
      <c r="E143" s="1"/>
      <c r="F143" s="1"/>
      <c r="G143" s="1"/>
      <c r="H143" s="1"/>
    </row>
    <row r="144" spans="1:8" x14ac:dyDescent="0.25">
      <c r="A144" s="1"/>
      <c r="B144" s="1"/>
      <c r="C144" s="1"/>
      <c r="D144" s="1"/>
      <c r="E144" s="1"/>
      <c r="F144" s="1"/>
      <c r="G144" s="1"/>
      <c r="H144" s="1"/>
    </row>
    <row r="145" spans="1:8" x14ac:dyDescent="0.25">
      <c r="A145" s="1"/>
      <c r="B145" s="1"/>
      <c r="C145" s="1"/>
      <c r="D145" s="1"/>
      <c r="E145" s="1"/>
      <c r="F145" s="1"/>
      <c r="G145" s="1"/>
      <c r="H145" s="1"/>
    </row>
    <row r="146" spans="1:8" x14ac:dyDescent="0.25">
      <c r="A146" s="1"/>
      <c r="B146" s="1"/>
      <c r="C146" s="1"/>
      <c r="D146" s="1"/>
      <c r="E146" s="1"/>
      <c r="F146" s="1"/>
      <c r="G146" s="1"/>
      <c r="H146" s="1"/>
    </row>
    <row r="159" spans="1:8" ht="15.75" thickBot="1" x14ac:dyDescent="0.3"/>
    <row r="160" spans="1:8" ht="15.75" thickBot="1" x14ac:dyDescent="0.3">
      <c r="B160" s="751" t="s">
        <v>212</v>
      </c>
      <c r="C160" s="752"/>
      <c r="D160" s="752"/>
      <c r="E160" s="753"/>
    </row>
    <row r="161" spans="2:5" ht="34.5" thickBot="1" x14ac:dyDescent="0.3">
      <c r="B161" s="2" t="s">
        <v>39</v>
      </c>
      <c r="C161" s="10" t="s">
        <v>110</v>
      </c>
      <c r="D161" s="2" t="s">
        <v>91</v>
      </c>
      <c r="E161" s="21" t="s">
        <v>90</v>
      </c>
    </row>
    <row r="162" spans="2:5" ht="15.75" thickBot="1" x14ac:dyDescent="0.3">
      <c r="B162" s="3">
        <f>'CARTA DE CONTROL'!R93</f>
        <v>0</v>
      </c>
      <c r="C162" s="4">
        <f>'CARTA DE CONTROL'!AM93</f>
        <v>0</v>
      </c>
      <c r="D162" s="6">
        <f>'CARTA DE CONTROL'!K93</f>
        <v>3</v>
      </c>
      <c r="E162" s="5" t="str">
        <f>IF(C162&lt;=3,IF(C162&gt;=-3,"PASS","NO PASS"))</f>
        <v>PASS</v>
      </c>
    </row>
    <row r="163" spans="2:5" ht="15.75" thickBot="1" x14ac:dyDescent="0.3">
      <c r="B163" s="3">
        <f>'CARTA DE CONTROL'!R94</f>
        <v>30</v>
      </c>
      <c r="C163" s="4">
        <f>'CARTA DE CONTROL'!AM94</f>
        <v>0</v>
      </c>
      <c r="D163" s="6">
        <f>'CARTA DE CONTROL'!K94</f>
        <v>3</v>
      </c>
      <c r="E163" s="5" t="str">
        <f t="shared" ref="E163:E166" si="6">IF(C163&lt;=3,IF(C163&gt;=-3,"PASS","NO PASS"))</f>
        <v>PASS</v>
      </c>
    </row>
    <row r="164" spans="2:5" ht="15.75" thickBot="1" x14ac:dyDescent="0.3">
      <c r="B164" s="3">
        <f>'CARTA DE CONTROL'!R95</f>
        <v>40</v>
      </c>
      <c r="C164" s="4">
        <f>'CARTA DE CONTROL'!AM95</f>
        <v>0</v>
      </c>
      <c r="D164" s="6">
        <f>'CARTA DE CONTROL'!K95</f>
        <v>3</v>
      </c>
      <c r="E164" s="5" t="str">
        <f t="shared" si="6"/>
        <v>PASS</v>
      </c>
    </row>
    <row r="165" spans="2:5" ht="15.75" thickBot="1" x14ac:dyDescent="0.3">
      <c r="B165" s="3">
        <f>'CARTA DE CONTROL'!R96</f>
        <v>60</v>
      </c>
      <c r="C165" s="4">
        <f>'CARTA DE CONTROL'!AM96</f>
        <v>0</v>
      </c>
      <c r="D165" s="6">
        <f>'CARTA DE CONTROL'!K96</f>
        <v>3</v>
      </c>
      <c r="E165" s="5" t="str">
        <f t="shared" si="6"/>
        <v>PASS</v>
      </c>
    </row>
    <row r="166" spans="2:5" ht="15.75" thickBot="1" x14ac:dyDescent="0.3">
      <c r="B166" s="3">
        <f>'CARTA DE CONTROL'!R97</f>
        <v>100</v>
      </c>
      <c r="C166" s="4">
        <f>'CARTA DE CONTROL'!AM97</f>
        <v>0</v>
      </c>
      <c r="D166" s="6">
        <f>'CARTA DE CONTROL'!K97</f>
        <v>3</v>
      </c>
      <c r="E166" s="5" t="str">
        <f t="shared" si="6"/>
        <v>PASS</v>
      </c>
    </row>
    <row r="180" spans="1:8" ht="15.75" thickBot="1" x14ac:dyDescent="0.3"/>
    <row r="181" spans="1:8" ht="15.75" thickBot="1" x14ac:dyDescent="0.3">
      <c r="B181" s="751" t="s">
        <v>211</v>
      </c>
      <c r="C181" s="752"/>
      <c r="D181" s="752"/>
      <c r="E181" s="752"/>
      <c r="F181" s="752"/>
      <c r="G181" s="753"/>
    </row>
    <row r="182" spans="1:8" ht="72.75" thickBot="1" x14ac:dyDescent="0.3">
      <c r="B182" s="2" t="s">
        <v>39</v>
      </c>
      <c r="C182" s="11" t="s">
        <v>108</v>
      </c>
      <c r="D182" s="11" t="s">
        <v>109</v>
      </c>
      <c r="E182" s="22" t="s">
        <v>102</v>
      </c>
      <c r="F182" s="22" t="s">
        <v>103</v>
      </c>
      <c r="G182" s="22" t="s">
        <v>38</v>
      </c>
    </row>
    <row r="183" spans="1:8" ht="15.75" thickBot="1" x14ac:dyDescent="0.3">
      <c r="B183" s="54">
        <f>'CARTA DE CONTROL'!R98</f>
        <v>100.4</v>
      </c>
      <c r="C183" s="4">
        <f>'CARTA DE CONTROL'!AR98</f>
        <v>1.7928286852589554</v>
      </c>
      <c r="D183" s="4">
        <f>'CARTA DE CONTROL'!AS98</f>
        <v>-1.9920318725099686</v>
      </c>
      <c r="E183" s="6">
        <f>'CARTA DE CONTROL'!I98</f>
        <v>3</v>
      </c>
      <c r="F183" s="7">
        <f>-('CARTA DE CONTROL'!I98)</f>
        <v>-3</v>
      </c>
      <c r="G183" s="5" t="str">
        <f>IF(C183&lt;=3,IF(D183&gt;=-3,"PASS","NO PASS"))</f>
        <v>PASS</v>
      </c>
    </row>
    <row r="184" spans="1:8" ht="15.75" thickBot="1" x14ac:dyDescent="0.3">
      <c r="B184" s="54">
        <f>'CARTA DE CONTROL'!R99</f>
        <v>200.9</v>
      </c>
      <c r="C184" s="4">
        <f>'CARTA DE CONTROL'!AR99</f>
        <v>1.4421480733269323</v>
      </c>
      <c r="D184" s="4">
        <f>'CARTA DE CONTROL'!AS99</f>
        <v>-1.6439644204510666</v>
      </c>
      <c r="E184" s="6">
        <f>'CARTA DE CONTROL'!I99</f>
        <v>3</v>
      </c>
      <c r="F184" s="7">
        <f>-('CARTA DE CONTROL'!I99)</f>
        <v>-3</v>
      </c>
      <c r="G184" s="5" t="str">
        <f t="shared" ref="G184:G187" si="7">IF(C184&lt;=3,IF(D184&gt;=-3,"PASS","NO PASS"))</f>
        <v>PASS</v>
      </c>
    </row>
    <row r="185" spans="1:8" ht="15.75" thickBot="1" x14ac:dyDescent="0.3">
      <c r="B185" s="54">
        <f>'CARTA DE CONTROL'!R100</f>
        <v>301.3</v>
      </c>
      <c r="C185" s="4">
        <f>'CARTA DE CONTROL'!AR100</f>
        <v>1.0288748755393293</v>
      </c>
      <c r="D185" s="4">
        <f>'CARTA DE CONTROL'!AS100</f>
        <v>-1.6926651178227676</v>
      </c>
      <c r="E185" s="6">
        <f>'CARTA DE CONTROL'!I100</f>
        <v>3</v>
      </c>
      <c r="F185" s="7">
        <f>-('CARTA DE CONTROL'!I100)</f>
        <v>-3</v>
      </c>
      <c r="G185" s="5" t="str">
        <f t="shared" si="7"/>
        <v>PASS</v>
      </c>
    </row>
    <row r="186" spans="1:8" ht="15.75" thickBot="1" x14ac:dyDescent="0.3">
      <c r="B186" s="54">
        <f>'CARTA DE CONTROL'!R101</f>
        <v>401.8</v>
      </c>
      <c r="C186" s="4">
        <f>'CARTA DE CONTROL'!AR101</f>
        <v>1.1697361871577898</v>
      </c>
      <c r="D186" s="4">
        <f>'CARTA DE CONTROL'!AS101</f>
        <v>-1.4186162269785962</v>
      </c>
      <c r="E186" s="6">
        <f>'CARTA DE CONTROL'!I101</f>
        <v>3</v>
      </c>
      <c r="F186" s="7">
        <f>-('CARTA DE CONTROL'!I101)</f>
        <v>-3</v>
      </c>
      <c r="G186" s="5" t="str">
        <f t="shared" si="7"/>
        <v>PASS</v>
      </c>
    </row>
    <row r="187" spans="1:8" ht="15.75" thickBot="1" x14ac:dyDescent="0.3">
      <c r="B187" s="54">
        <f>'CARTA DE CONTROL'!R102</f>
        <v>502.3</v>
      </c>
      <c r="C187" s="4">
        <f>'CARTA DE CONTROL'!AR102</f>
        <v>1.0869998009157877</v>
      </c>
      <c r="D187" s="4">
        <f>'CARTA DE CONTROL'!AS102</f>
        <v>-1.4612781206450325</v>
      </c>
      <c r="E187" s="6">
        <f>'CARTA DE CONTROL'!I102</f>
        <v>3</v>
      </c>
      <c r="F187" s="7">
        <f>-('CARTA DE CONTROL'!I102)</f>
        <v>-3</v>
      </c>
      <c r="G187" s="5" t="str">
        <f t="shared" si="7"/>
        <v>PASS</v>
      </c>
    </row>
    <row r="188" spans="1:8" ht="15.75" thickBot="1" x14ac:dyDescent="0.3">
      <c r="A188" s="1"/>
      <c r="B188" s="54">
        <f>'CARTA DE CONTROL'!R103</f>
        <v>1004</v>
      </c>
      <c r="C188" s="4">
        <f>'CARTA DE CONTROL'!AR103</f>
        <v>0.99601593625498008</v>
      </c>
      <c r="D188" s="4">
        <f>'CARTA DE CONTROL'!AS103</f>
        <v>-1.593625498007968</v>
      </c>
      <c r="E188" s="6">
        <f>'CARTA DE CONTROL'!I103</f>
        <v>3</v>
      </c>
      <c r="F188" s="7">
        <f>-('CARTA DE CONTROL'!I103)</f>
        <v>-3</v>
      </c>
      <c r="G188" s="5" t="str">
        <f>IF(C188&lt;=3,IF(D188&gt;=-3,"PASS","NO PASS"))</f>
        <v>PASS</v>
      </c>
      <c r="H188" s="1"/>
    </row>
    <row r="189" spans="1:8" x14ac:dyDescent="0.25">
      <c r="A189" s="1"/>
      <c r="B189" s="1"/>
      <c r="C189" s="1"/>
      <c r="D189" s="1"/>
      <c r="E189" s="1"/>
      <c r="F189" s="1"/>
      <c r="G189" s="1"/>
      <c r="H189" s="1"/>
    </row>
    <row r="190" spans="1:8" x14ac:dyDescent="0.25">
      <c r="A190" s="1"/>
      <c r="B190" s="1"/>
      <c r="C190" s="1"/>
      <c r="D190" s="1"/>
      <c r="E190" s="1"/>
      <c r="F190" s="1"/>
      <c r="G190" s="1"/>
      <c r="H190" s="1"/>
    </row>
    <row r="191" spans="1:8" x14ac:dyDescent="0.25">
      <c r="A191" s="1"/>
      <c r="B191" s="1"/>
      <c r="C191" s="1"/>
      <c r="D191" s="1"/>
      <c r="E191" s="1"/>
      <c r="F191" s="1"/>
      <c r="G191" s="1"/>
      <c r="H191" s="1"/>
    </row>
    <row r="192" spans="1:8" x14ac:dyDescent="0.25">
      <c r="A192" s="1"/>
      <c r="B192" s="1"/>
      <c r="C192" s="1"/>
      <c r="D192" s="1"/>
      <c r="E192" s="1"/>
      <c r="F192" s="1"/>
      <c r="G192" s="1"/>
      <c r="H192" s="1"/>
    </row>
    <row r="193" spans="1:8" x14ac:dyDescent="0.25">
      <c r="A193" s="1"/>
      <c r="B193" s="1"/>
      <c r="C193" s="1"/>
      <c r="D193" s="1"/>
      <c r="E193" s="1"/>
      <c r="F193" s="1"/>
      <c r="G193" s="1"/>
      <c r="H193" s="1"/>
    </row>
    <row r="206" spans="1:8" ht="15.75" thickBot="1" x14ac:dyDescent="0.3"/>
    <row r="207" spans="1:8" ht="15.75" thickBot="1" x14ac:dyDescent="0.3">
      <c r="B207" s="751" t="s">
        <v>212</v>
      </c>
      <c r="C207" s="752"/>
      <c r="D207" s="752"/>
      <c r="E207" s="753"/>
    </row>
    <row r="208" spans="1:8" ht="34.5" thickBot="1" x14ac:dyDescent="0.3">
      <c r="B208" s="2" t="s">
        <v>39</v>
      </c>
      <c r="C208" s="10" t="s">
        <v>110</v>
      </c>
      <c r="D208" s="2" t="s">
        <v>91</v>
      </c>
      <c r="E208" s="21" t="s">
        <v>90</v>
      </c>
    </row>
    <row r="209" spans="2:5" ht="15.75" thickBot="1" x14ac:dyDescent="0.3">
      <c r="B209" s="3">
        <f>'CARTA DE CONTROL'!R98</f>
        <v>100.4</v>
      </c>
      <c r="C209" s="4">
        <f>'CARTA DE CONTROL'!AM98</f>
        <v>0.57768924302788838</v>
      </c>
      <c r="D209" s="6">
        <f>'CARTA DE CONTROL'!K98</f>
        <v>3</v>
      </c>
      <c r="E209" s="5" t="str">
        <f>IF(C209&lt;=3,IF(C209&gt;=-3,"PASS","NO PASS"))</f>
        <v>PASS</v>
      </c>
    </row>
    <row r="210" spans="2:5" ht="15.75" thickBot="1" x14ac:dyDescent="0.3">
      <c r="B210" s="3">
        <f>'CARTA DE CONTROL'!R99</f>
        <v>200.9</v>
      </c>
      <c r="C210" s="4">
        <f>'CARTA DE CONTROL'!AM99</f>
        <v>0.28870084619213537</v>
      </c>
      <c r="D210" s="6">
        <f>'CARTA DE CONTROL'!K99</f>
        <v>3</v>
      </c>
      <c r="E210" s="5" t="str">
        <f t="shared" ref="E210:E214" si="8">IF(C210&lt;=3,IF(C210&gt;=-3,"PASS","NO PASS"))</f>
        <v>PASS</v>
      </c>
    </row>
    <row r="211" spans="2:5" ht="15.75" thickBot="1" x14ac:dyDescent="0.3">
      <c r="B211" s="3">
        <f>'CARTA DE CONTROL'!R100</f>
        <v>301.3</v>
      </c>
      <c r="C211" s="4">
        <f>'CARTA DE CONTROL'!AM100</f>
        <v>0.19249917026219712</v>
      </c>
      <c r="D211" s="6">
        <f>'CARTA DE CONTROL'!K100</f>
        <v>3</v>
      </c>
      <c r="E211" s="5" t="str">
        <f t="shared" si="8"/>
        <v>PASS</v>
      </c>
    </row>
    <row r="212" spans="2:5" ht="15.75" thickBot="1" x14ac:dyDescent="0.3">
      <c r="B212" s="3">
        <f>'CARTA DE CONTROL'!R101</f>
        <v>401.8</v>
      </c>
      <c r="C212" s="4">
        <f>'CARTA DE CONTROL'!AM101</f>
        <v>0.14435042309606769</v>
      </c>
      <c r="D212" s="6">
        <f>'CARTA DE CONTROL'!K101</f>
        <v>3</v>
      </c>
      <c r="E212" s="5" t="str">
        <f t="shared" si="8"/>
        <v>PASS</v>
      </c>
    </row>
    <row r="213" spans="2:5" ht="15.75" thickBot="1" x14ac:dyDescent="0.3">
      <c r="B213" s="3">
        <f>'CARTA DE CONTROL'!R102</f>
        <v>502.3</v>
      </c>
      <c r="C213" s="4">
        <f>'CARTA DE CONTROL'!AM102</f>
        <v>0.11546884332072464</v>
      </c>
      <c r="D213" s="6">
        <f>'CARTA DE CONTROL'!K102</f>
        <v>3</v>
      </c>
      <c r="E213" s="5" t="str">
        <f t="shared" si="8"/>
        <v>PASS</v>
      </c>
    </row>
    <row r="214" spans="2:5" ht="15.75" thickBot="1" x14ac:dyDescent="0.3">
      <c r="B214" s="3">
        <f>'CARTA DE CONTROL'!R103</f>
        <v>1004</v>
      </c>
      <c r="C214" s="4">
        <f>'CARTA DE CONTROL'!AM103</f>
        <v>9.9601593625498003E-2</v>
      </c>
      <c r="D214" s="6">
        <f>'CARTA DE CONTROL'!K103</f>
        <v>3</v>
      </c>
      <c r="E214" s="5" t="str">
        <f t="shared" si="8"/>
        <v>PASS</v>
      </c>
    </row>
  </sheetData>
  <mergeCells count="60">
    <mergeCell ref="B134:G134"/>
    <mergeCell ref="B160:E160"/>
    <mergeCell ref="B181:G181"/>
    <mergeCell ref="B207:E207"/>
    <mergeCell ref="B37:D37"/>
    <mergeCell ref="F37:G37"/>
    <mergeCell ref="B65:E65"/>
    <mergeCell ref="B112:E112"/>
    <mergeCell ref="B39:G39"/>
    <mergeCell ref="B86:G86"/>
    <mergeCell ref="B34:D34"/>
    <mergeCell ref="F34:G34"/>
    <mergeCell ref="B35:D35"/>
    <mergeCell ref="F35:G35"/>
    <mergeCell ref="B36:D36"/>
    <mergeCell ref="F36:G36"/>
    <mergeCell ref="B33:D33"/>
    <mergeCell ref="F33:G33"/>
    <mergeCell ref="B26:D26"/>
    <mergeCell ref="F26:G26"/>
    <mergeCell ref="B27:D27"/>
    <mergeCell ref="F27:G27"/>
    <mergeCell ref="B28:D28"/>
    <mergeCell ref="F28:G28"/>
    <mergeCell ref="A30:G30"/>
    <mergeCell ref="B31:D31"/>
    <mergeCell ref="F31:G31"/>
    <mergeCell ref="B32:D32"/>
    <mergeCell ref="F32:G32"/>
    <mergeCell ref="B23:D23"/>
    <mergeCell ref="F23:G23"/>
    <mergeCell ref="B24:D24"/>
    <mergeCell ref="F24:G24"/>
    <mergeCell ref="B25:D25"/>
    <mergeCell ref="F25:G25"/>
    <mergeCell ref="B20:D20"/>
    <mergeCell ref="F20:G20"/>
    <mergeCell ref="B21:D21"/>
    <mergeCell ref="F21:G21"/>
    <mergeCell ref="B22:D22"/>
    <mergeCell ref="F22:G22"/>
    <mergeCell ref="B17:D17"/>
    <mergeCell ref="F17:G17"/>
    <mergeCell ref="B18:D18"/>
    <mergeCell ref="F18:G18"/>
    <mergeCell ref="B19:D19"/>
    <mergeCell ref="F19:G19"/>
    <mergeCell ref="B14:D14"/>
    <mergeCell ref="F14:G14"/>
    <mergeCell ref="B15:D15"/>
    <mergeCell ref="F15:G15"/>
    <mergeCell ref="B16:D16"/>
    <mergeCell ref="F16:G16"/>
    <mergeCell ref="B13:D13"/>
    <mergeCell ref="F13:G13"/>
    <mergeCell ref="C7:E7"/>
    <mergeCell ref="C8:E8"/>
    <mergeCell ref="C9:E9"/>
    <mergeCell ref="C10:E10"/>
    <mergeCell ref="A12:G12"/>
  </mergeCells>
  <conditionalFormatting sqref="G41:G45">
    <cfRule type="cellIs" dxfId="133" priority="19" operator="lessThan">
      <formula>$F$73</formula>
    </cfRule>
    <cfRule type="cellIs" dxfId="132" priority="20" operator="lessThan">
      <formula>0.05</formula>
    </cfRule>
  </conditionalFormatting>
  <conditionalFormatting sqref="G41:G45">
    <cfRule type="cellIs" dxfId="131" priority="18" operator="between">
      <formula>$F$73</formula>
      <formula>$G$73</formula>
    </cfRule>
  </conditionalFormatting>
  <conditionalFormatting sqref="E67:E71">
    <cfRule type="cellIs" dxfId="130" priority="16" operator="lessThan">
      <formula>$H$73</formula>
    </cfRule>
    <cfRule type="cellIs" dxfId="129" priority="17" operator="lessThan">
      <formula>0.05</formula>
    </cfRule>
  </conditionalFormatting>
  <conditionalFormatting sqref="G88:G93">
    <cfRule type="cellIs" dxfId="128" priority="14" operator="lessThan">
      <formula>$F$73</formula>
    </cfRule>
    <cfRule type="cellIs" dxfId="127" priority="15" operator="lessThan">
      <formula>0.05</formula>
    </cfRule>
  </conditionalFormatting>
  <conditionalFormatting sqref="G88:G93">
    <cfRule type="cellIs" dxfId="126" priority="13" operator="between">
      <formula>$F$73</formula>
      <formula>$G$73</formula>
    </cfRule>
  </conditionalFormatting>
  <conditionalFormatting sqref="E114:E119">
    <cfRule type="cellIs" dxfId="125" priority="11" operator="lessThan">
      <formula>$H$73</formula>
    </cfRule>
    <cfRule type="cellIs" dxfId="124" priority="12" operator="lessThan">
      <formula>0.05</formula>
    </cfRule>
  </conditionalFormatting>
  <conditionalFormatting sqref="G136:G140">
    <cfRule type="cellIs" dxfId="123" priority="9" operator="lessThan">
      <formula>$F$73</formula>
    </cfRule>
    <cfRule type="cellIs" dxfId="122" priority="10" operator="lessThan">
      <formula>0.05</formula>
    </cfRule>
  </conditionalFormatting>
  <conditionalFormatting sqref="G136:G140">
    <cfRule type="cellIs" dxfId="121" priority="8" operator="between">
      <formula>$F$73</formula>
      <formula>$G$73</formula>
    </cfRule>
  </conditionalFormatting>
  <conditionalFormatting sqref="E162:E166">
    <cfRule type="cellIs" dxfId="120" priority="6" operator="lessThan">
      <formula>$H$73</formula>
    </cfRule>
    <cfRule type="cellIs" dxfId="119" priority="7" operator="lessThan">
      <formula>0.05</formula>
    </cfRule>
  </conditionalFormatting>
  <conditionalFormatting sqref="G183:G188">
    <cfRule type="cellIs" dxfId="118" priority="4" operator="lessThan">
      <formula>$F$73</formula>
    </cfRule>
    <cfRule type="cellIs" dxfId="117" priority="5" operator="lessThan">
      <formula>0.05</formula>
    </cfRule>
  </conditionalFormatting>
  <conditionalFormatting sqref="G183:G188">
    <cfRule type="cellIs" dxfId="116" priority="3" operator="between">
      <formula>$F$73</formula>
      <formula>$G$73</formula>
    </cfRule>
  </conditionalFormatting>
  <conditionalFormatting sqref="E209:E214">
    <cfRule type="cellIs" dxfId="115" priority="1" operator="lessThan">
      <formula>$H$73</formula>
    </cfRule>
    <cfRule type="cellIs" dxfId="114" priority="2" operator="lessThan">
      <formula>0.05</formula>
    </cfRule>
  </conditionalFormatting>
  <pageMargins left="0.7" right="0.7" top="0.75" bottom="0.75" header="0.3" footer="0.3"/>
  <pageSetup orientation="portrait"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7"/>
  <sheetViews>
    <sheetView topLeftCell="A112" workbookViewId="0">
      <selection activeCell="D124" sqref="D124"/>
    </sheetView>
  </sheetViews>
  <sheetFormatPr baseColWidth="10" defaultRowHeight="15" x14ac:dyDescent="0.25"/>
  <cols>
    <col min="1" max="1" width="7" customWidth="1"/>
    <col min="2" max="2" width="22.85546875" customWidth="1"/>
    <col min="3" max="3" width="21.7109375" customWidth="1"/>
    <col min="4" max="4" width="21" customWidth="1"/>
    <col min="5" max="5" width="22.7109375" customWidth="1"/>
  </cols>
  <sheetData>
    <row r="1" spans="1:11" ht="15" customHeight="1" x14ac:dyDescent="0.25">
      <c r="E1" s="214"/>
    </row>
    <row r="2" spans="1:11" ht="15" customHeight="1" x14ac:dyDescent="0.25">
      <c r="B2" s="189"/>
      <c r="C2" s="189"/>
      <c r="D2" s="189"/>
      <c r="E2" s="215"/>
      <c r="F2" s="189"/>
      <c r="G2" s="189"/>
      <c r="H2" s="189"/>
    </row>
    <row r="3" spans="1:11" ht="15" customHeight="1" x14ac:dyDescent="0.25">
      <c r="B3" s="189"/>
      <c r="C3" s="189"/>
      <c r="D3" s="189"/>
      <c r="E3" s="215"/>
      <c r="F3" s="189"/>
      <c r="G3" s="189"/>
      <c r="H3" s="189"/>
    </row>
    <row r="4" spans="1:11" ht="15" customHeight="1" x14ac:dyDescent="0.25">
      <c r="B4" s="189"/>
      <c r="C4" s="189"/>
      <c r="D4" s="189"/>
      <c r="E4" s="215"/>
      <c r="F4" s="189"/>
      <c r="G4" s="189"/>
      <c r="H4" s="189"/>
    </row>
    <row r="5" spans="1:11" ht="15" customHeight="1" x14ac:dyDescent="0.25">
      <c r="B5" s="189"/>
      <c r="C5" s="189"/>
      <c r="D5" s="189"/>
      <c r="E5" s="215"/>
      <c r="F5" s="189"/>
      <c r="G5" s="189"/>
      <c r="H5" s="189"/>
    </row>
    <row r="6" spans="1:11" ht="15" customHeight="1" x14ac:dyDescent="0.25">
      <c r="B6" s="189"/>
      <c r="C6" s="189"/>
      <c r="D6" s="189"/>
      <c r="E6" s="215"/>
      <c r="F6" s="189"/>
      <c r="G6" s="189"/>
      <c r="H6" s="189"/>
    </row>
    <row r="7" spans="1:11" x14ac:dyDescent="0.25">
      <c r="B7" s="231" t="s">
        <v>157</v>
      </c>
      <c r="C7" s="770" t="str">
        <f>'CARTA DE CONTROL'!B104</f>
        <v>FRENOMETRO MIXTO</v>
      </c>
      <c r="D7" s="771"/>
      <c r="E7" s="772"/>
    </row>
    <row r="8" spans="1:11" x14ac:dyDescent="0.25">
      <c r="B8" s="231" t="s">
        <v>158</v>
      </c>
      <c r="C8" s="770" t="str">
        <f>'CARTA DE CONTROL'!D104</f>
        <v>VAMAG</v>
      </c>
      <c r="D8" s="771"/>
      <c r="E8" s="772"/>
    </row>
    <row r="9" spans="1:11" x14ac:dyDescent="0.25">
      <c r="B9" s="231" t="s">
        <v>159</v>
      </c>
      <c r="C9" s="770" t="str">
        <f>'CARTA DE CONTROL'!E104</f>
        <v>RBT/C2VFW</v>
      </c>
      <c r="D9" s="771"/>
      <c r="E9" s="772"/>
    </row>
    <row r="10" spans="1:11" x14ac:dyDescent="0.25">
      <c r="B10" s="231" t="s">
        <v>160</v>
      </c>
      <c r="C10" s="786">
        <f>'CARTA DE CONTROL'!F104</f>
        <v>18032107</v>
      </c>
      <c r="D10" s="787"/>
      <c r="E10" s="788"/>
    </row>
    <row r="11" spans="1:11" ht="15" customHeight="1" thickBot="1" x14ac:dyDescent="0.3">
      <c r="B11" s="189"/>
      <c r="C11" s="189"/>
      <c r="D11" s="189"/>
      <c r="E11" s="215"/>
      <c r="F11" s="189"/>
      <c r="G11" s="189"/>
      <c r="H11" s="202"/>
      <c r="I11" s="203"/>
      <c r="J11" s="203"/>
      <c r="K11" s="203"/>
    </row>
    <row r="12" spans="1:11" s="190" customFormat="1" ht="34.5" customHeight="1" x14ac:dyDescent="0.2">
      <c r="A12" s="776" t="s">
        <v>127</v>
      </c>
      <c r="B12" s="777"/>
      <c r="C12" s="777"/>
      <c r="D12" s="777"/>
      <c r="E12" s="777"/>
      <c r="F12" s="777"/>
      <c r="G12" s="778"/>
      <c r="H12" s="204"/>
      <c r="I12" s="204"/>
      <c r="J12" s="204"/>
      <c r="K12" s="204"/>
    </row>
    <row r="13" spans="1:11" s="190" customFormat="1" ht="15" customHeight="1" x14ac:dyDescent="0.2">
      <c r="A13" s="207" t="s">
        <v>128</v>
      </c>
      <c r="B13" s="779" t="s">
        <v>129</v>
      </c>
      <c r="C13" s="780"/>
      <c r="D13" s="781"/>
      <c r="E13" s="201" t="s">
        <v>130</v>
      </c>
      <c r="F13" s="782" t="s">
        <v>131</v>
      </c>
      <c r="G13" s="783"/>
      <c r="H13" s="205"/>
      <c r="I13" s="205"/>
      <c r="J13" s="205"/>
      <c r="K13" s="205"/>
    </row>
    <row r="14" spans="1:11" s="1" customFormat="1" ht="35.25" customHeight="1" x14ac:dyDescent="0.2">
      <c r="A14" s="208">
        <v>1</v>
      </c>
      <c r="B14" s="761" t="s">
        <v>132</v>
      </c>
      <c r="C14" s="761"/>
      <c r="D14" s="761"/>
      <c r="E14" s="192" t="s">
        <v>133</v>
      </c>
      <c r="F14" s="762"/>
      <c r="G14" s="763"/>
      <c r="H14" s="206"/>
      <c r="I14" s="206"/>
      <c r="J14" s="206"/>
      <c r="K14" s="206"/>
    </row>
    <row r="15" spans="1:11" s="1" customFormat="1" ht="35.25" customHeight="1" x14ac:dyDescent="0.2">
      <c r="A15" s="208">
        <v>2</v>
      </c>
      <c r="B15" s="761" t="s">
        <v>134</v>
      </c>
      <c r="C15" s="761"/>
      <c r="D15" s="761"/>
      <c r="E15" s="192" t="s">
        <v>133</v>
      </c>
      <c r="F15" s="762"/>
      <c r="G15" s="763"/>
    </row>
    <row r="16" spans="1:11" s="1" customFormat="1" ht="35.25" customHeight="1" x14ac:dyDescent="0.2">
      <c r="A16" s="208">
        <v>3</v>
      </c>
      <c r="B16" s="761" t="s">
        <v>135</v>
      </c>
      <c r="C16" s="761"/>
      <c r="D16" s="761"/>
      <c r="E16" s="192" t="s">
        <v>133</v>
      </c>
      <c r="F16" s="762"/>
      <c r="G16" s="763"/>
    </row>
    <row r="17" spans="1:11" s="1" customFormat="1" ht="35.25" customHeight="1" x14ac:dyDescent="0.2">
      <c r="A17" s="208">
        <v>4</v>
      </c>
      <c r="B17" s="761" t="s">
        <v>136</v>
      </c>
      <c r="C17" s="761"/>
      <c r="D17" s="761"/>
      <c r="E17" s="192" t="s">
        <v>133</v>
      </c>
      <c r="F17" s="784"/>
      <c r="G17" s="785"/>
    </row>
    <row r="18" spans="1:11" s="1" customFormat="1" ht="35.25" customHeight="1" x14ac:dyDescent="0.2">
      <c r="A18" s="208">
        <v>5</v>
      </c>
      <c r="B18" s="761" t="s">
        <v>137</v>
      </c>
      <c r="C18" s="761"/>
      <c r="D18" s="761"/>
      <c r="E18" s="192" t="s">
        <v>133</v>
      </c>
      <c r="F18" s="762"/>
      <c r="G18" s="763"/>
    </row>
    <row r="19" spans="1:11" s="1" customFormat="1" ht="35.25" customHeight="1" x14ac:dyDescent="0.2">
      <c r="A19" s="208">
        <v>6</v>
      </c>
      <c r="B19" s="761" t="s">
        <v>138</v>
      </c>
      <c r="C19" s="761"/>
      <c r="D19" s="761"/>
      <c r="E19" s="192" t="s">
        <v>133</v>
      </c>
      <c r="F19" s="762"/>
      <c r="G19" s="763"/>
    </row>
    <row r="20" spans="1:11" s="1" customFormat="1" ht="35.25" customHeight="1" x14ac:dyDescent="0.2">
      <c r="A20" s="208">
        <v>7</v>
      </c>
      <c r="B20" s="761" t="s">
        <v>139</v>
      </c>
      <c r="C20" s="761"/>
      <c r="D20" s="761"/>
      <c r="E20" s="192" t="s">
        <v>133</v>
      </c>
      <c r="F20" s="762"/>
      <c r="G20" s="763"/>
    </row>
    <row r="21" spans="1:11" s="1" customFormat="1" ht="35.25" customHeight="1" x14ac:dyDescent="0.2">
      <c r="A21" s="208">
        <v>8</v>
      </c>
      <c r="B21" s="761" t="s">
        <v>140</v>
      </c>
      <c r="C21" s="761"/>
      <c r="D21" s="761"/>
      <c r="E21" s="192" t="s">
        <v>133</v>
      </c>
      <c r="F21" s="762"/>
      <c r="G21" s="763"/>
    </row>
    <row r="22" spans="1:11" s="1" customFormat="1" ht="35.25" customHeight="1" x14ac:dyDescent="0.2">
      <c r="A22" s="208">
        <v>9</v>
      </c>
      <c r="B22" s="761" t="s">
        <v>141</v>
      </c>
      <c r="C22" s="761"/>
      <c r="D22" s="761"/>
      <c r="E22" s="192" t="s">
        <v>133</v>
      </c>
      <c r="F22" s="762"/>
      <c r="G22" s="763"/>
    </row>
    <row r="23" spans="1:11" s="1" customFormat="1" ht="35.25" customHeight="1" x14ac:dyDescent="0.2">
      <c r="A23" s="208">
        <v>10</v>
      </c>
      <c r="B23" s="761" t="s">
        <v>142</v>
      </c>
      <c r="C23" s="761"/>
      <c r="D23" s="761"/>
      <c r="E23" s="192" t="s">
        <v>133</v>
      </c>
      <c r="F23" s="762"/>
      <c r="G23" s="763"/>
    </row>
    <row r="24" spans="1:11" s="1" customFormat="1" ht="35.25" customHeight="1" x14ac:dyDescent="0.2">
      <c r="A24" s="208">
        <v>11</v>
      </c>
      <c r="B24" s="761" t="s">
        <v>143</v>
      </c>
      <c r="C24" s="761"/>
      <c r="D24" s="761"/>
      <c r="E24" s="192" t="s">
        <v>133</v>
      </c>
      <c r="F24" s="762"/>
      <c r="G24" s="763"/>
    </row>
    <row r="25" spans="1:11" s="194" customFormat="1" ht="35.25" customHeight="1" x14ac:dyDescent="0.2">
      <c r="A25" s="209">
        <v>12</v>
      </c>
      <c r="B25" s="761" t="s">
        <v>144</v>
      </c>
      <c r="C25" s="761"/>
      <c r="D25" s="761"/>
      <c r="E25" s="193" t="s">
        <v>133</v>
      </c>
      <c r="F25" s="762"/>
      <c r="G25" s="763"/>
    </row>
    <row r="26" spans="1:11" s="1" customFormat="1" ht="35.25" customHeight="1" x14ac:dyDescent="0.2">
      <c r="A26" s="208">
        <v>13</v>
      </c>
      <c r="B26" s="761" t="s">
        <v>145</v>
      </c>
      <c r="C26" s="761"/>
      <c r="D26" s="761"/>
      <c r="E26" s="192" t="s">
        <v>133</v>
      </c>
      <c r="F26" s="762"/>
      <c r="G26" s="763"/>
    </row>
    <row r="27" spans="1:11" s="1" customFormat="1" ht="35.25" customHeight="1" x14ac:dyDescent="0.2">
      <c r="A27" s="208">
        <v>14</v>
      </c>
      <c r="B27" s="761" t="s">
        <v>146</v>
      </c>
      <c r="C27" s="761"/>
      <c r="D27" s="761"/>
      <c r="E27" s="192" t="s">
        <v>133</v>
      </c>
      <c r="F27" s="762"/>
      <c r="G27" s="763"/>
    </row>
    <row r="28" spans="1:11" s="1" customFormat="1" ht="54.75" customHeight="1" thickBot="1" x14ac:dyDescent="0.25">
      <c r="A28" s="210">
        <v>15</v>
      </c>
      <c r="B28" s="764" t="s">
        <v>147</v>
      </c>
      <c r="C28" s="764"/>
      <c r="D28" s="764"/>
      <c r="E28" s="212" t="s">
        <v>133</v>
      </c>
      <c r="F28" s="765"/>
      <c r="G28" s="766"/>
    </row>
    <row r="29" spans="1:11" s="198" customFormat="1" ht="21" customHeight="1" thickBot="1" x14ac:dyDescent="0.25">
      <c r="B29" s="195"/>
      <c r="C29" s="196"/>
      <c r="D29" s="196"/>
      <c r="E29" s="195"/>
      <c r="F29" s="196"/>
      <c r="G29" s="196"/>
      <c r="H29" s="197"/>
      <c r="I29" s="197"/>
    </row>
    <row r="30" spans="1:11" s="219" customFormat="1" ht="15" customHeight="1" x14ac:dyDescent="0.2">
      <c r="A30" s="767" t="s">
        <v>148</v>
      </c>
      <c r="B30" s="768"/>
      <c r="C30" s="768"/>
      <c r="D30" s="768"/>
      <c r="E30" s="768"/>
      <c r="F30" s="768"/>
      <c r="G30" s="769"/>
      <c r="H30" s="222"/>
      <c r="I30" s="223"/>
      <c r="J30" s="223"/>
      <c r="K30" s="223"/>
    </row>
    <row r="31" spans="1:11" s="219" customFormat="1" ht="15" customHeight="1" x14ac:dyDescent="0.2">
      <c r="A31" s="220" t="s">
        <v>128</v>
      </c>
      <c r="B31" s="759" t="s">
        <v>129</v>
      </c>
      <c r="C31" s="759"/>
      <c r="D31" s="759"/>
      <c r="E31" s="221" t="s">
        <v>130</v>
      </c>
      <c r="F31" s="759" t="s">
        <v>131</v>
      </c>
      <c r="G31" s="760"/>
      <c r="H31" s="224"/>
      <c r="I31" s="225"/>
      <c r="J31" s="225"/>
      <c r="K31" s="225"/>
    </row>
    <row r="32" spans="1:11" s="1" customFormat="1" ht="55.5" customHeight="1" x14ac:dyDescent="0.2">
      <c r="A32" s="216">
        <v>1</v>
      </c>
      <c r="B32" s="754" t="s">
        <v>149</v>
      </c>
      <c r="C32" s="754"/>
      <c r="D32" s="754"/>
      <c r="E32" s="199" t="s">
        <v>150</v>
      </c>
      <c r="F32" s="755"/>
      <c r="G32" s="756"/>
      <c r="H32" s="226"/>
      <c r="I32" s="206"/>
      <c r="J32" s="206"/>
      <c r="K32" s="206"/>
    </row>
    <row r="33" spans="1:7" s="1" customFormat="1" ht="25.5" customHeight="1" x14ac:dyDescent="0.2">
      <c r="A33" s="216">
        <v>2</v>
      </c>
      <c r="B33" s="754" t="s">
        <v>151</v>
      </c>
      <c r="C33" s="754"/>
      <c r="D33" s="754"/>
      <c r="E33" s="199" t="s">
        <v>150</v>
      </c>
      <c r="F33" s="755"/>
      <c r="G33" s="756"/>
    </row>
    <row r="34" spans="1:7" s="1" customFormat="1" ht="25.5" customHeight="1" x14ac:dyDescent="0.2">
      <c r="A34" s="216">
        <v>3</v>
      </c>
      <c r="B34" s="754" t="s">
        <v>152</v>
      </c>
      <c r="C34" s="754"/>
      <c r="D34" s="754"/>
      <c r="E34" s="199" t="s">
        <v>150</v>
      </c>
      <c r="F34" s="755"/>
      <c r="G34" s="756"/>
    </row>
    <row r="35" spans="1:7" s="1" customFormat="1" ht="25.5" customHeight="1" x14ac:dyDescent="0.2">
      <c r="A35" s="216">
        <v>4</v>
      </c>
      <c r="B35" s="754" t="s">
        <v>153</v>
      </c>
      <c r="C35" s="754"/>
      <c r="D35" s="754"/>
      <c r="E35" s="199" t="s">
        <v>154</v>
      </c>
      <c r="F35" s="755"/>
      <c r="G35" s="756"/>
    </row>
    <row r="36" spans="1:7" s="1" customFormat="1" ht="25.5" customHeight="1" x14ac:dyDescent="0.2">
      <c r="A36" s="216">
        <v>5</v>
      </c>
      <c r="B36" s="754" t="s">
        <v>155</v>
      </c>
      <c r="C36" s="754"/>
      <c r="D36" s="754"/>
      <c r="E36" s="199" t="s">
        <v>154</v>
      </c>
      <c r="F36" s="757"/>
      <c r="G36" s="758"/>
    </row>
    <row r="37" spans="1:7" s="1" customFormat="1" ht="25.5" customHeight="1" thickBot="1" x14ac:dyDescent="0.25">
      <c r="A37" s="217">
        <v>6</v>
      </c>
      <c r="B37" s="748" t="s">
        <v>156</v>
      </c>
      <c r="C37" s="748"/>
      <c r="D37" s="748"/>
      <c r="E37" s="218" t="s">
        <v>154</v>
      </c>
      <c r="F37" s="749"/>
      <c r="G37" s="750"/>
    </row>
    <row r="38" spans="1:7" ht="15.75" thickBot="1" x14ac:dyDescent="0.3"/>
    <row r="39" spans="1:7" ht="15.75" thickBot="1" x14ac:dyDescent="0.3">
      <c r="B39" s="751" t="s">
        <v>209</v>
      </c>
      <c r="C39" s="752"/>
      <c r="D39" s="752"/>
      <c r="E39" s="752"/>
      <c r="F39" s="752"/>
      <c r="G39" s="753"/>
    </row>
    <row r="40" spans="1:7" ht="72.75" thickBot="1" x14ac:dyDescent="0.3">
      <c r="B40" s="2" t="s">
        <v>168</v>
      </c>
      <c r="C40" s="11" t="s">
        <v>98</v>
      </c>
      <c r="D40" s="11" t="s">
        <v>99</v>
      </c>
      <c r="E40" s="22" t="s">
        <v>100</v>
      </c>
      <c r="F40" s="22" t="s">
        <v>101</v>
      </c>
      <c r="G40" s="22" t="s">
        <v>38</v>
      </c>
    </row>
    <row r="41" spans="1:7" ht="15.75" thickBot="1" x14ac:dyDescent="0.3">
      <c r="B41" s="3">
        <f>'CARTA DE CONTROL'!R104</f>
        <v>0</v>
      </c>
      <c r="C41" s="4">
        <f>'CARTA DE CONTROL'!AR104</f>
        <v>3.3333333333333335E-3</v>
      </c>
      <c r="D41" s="4">
        <f>'CARTA DE CONTROL'!AS104</f>
        <v>-3.3333333333333335E-3</v>
      </c>
      <c r="E41" s="6">
        <f>'CARTA DE CONTROL'!I104</f>
        <v>3</v>
      </c>
      <c r="F41" s="7">
        <f>-('CARTA DE CONTROL'!I104)</f>
        <v>-3</v>
      </c>
      <c r="G41" s="5" t="str">
        <f>IF(C41&lt;=2,IF(D41&gt;=-2,"PASS","NO PASS"))</f>
        <v>PASS</v>
      </c>
    </row>
    <row r="42" spans="1:7" ht="15.75" thickBot="1" x14ac:dyDescent="0.3">
      <c r="B42" s="3">
        <f>'CARTA DE CONTROL'!R105</f>
        <v>313.7</v>
      </c>
      <c r="C42" s="4">
        <f>'CARTA DE CONTROL'!AR105</f>
        <v>5.3000000000000075E-2</v>
      </c>
      <c r="D42" s="4">
        <f>'CARTA DE CONTROL'!AS105</f>
        <v>3.433333333333341E-2</v>
      </c>
      <c r="E42" s="6">
        <f>'CARTA DE CONTROL'!I105</f>
        <v>3</v>
      </c>
      <c r="F42" s="7">
        <f>-('CARTA DE CONTROL'!I105)</f>
        <v>-3</v>
      </c>
      <c r="G42" s="5" t="str">
        <f t="shared" ref="G42:G48" si="0">IF(C42&lt;=2,IF(D42&gt;=-2,"PASS","NO PASS"))</f>
        <v>PASS</v>
      </c>
    </row>
    <row r="43" spans="1:7" ht="15.75" thickBot="1" x14ac:dyDescent="0.3">
      <c r="B43" s="3">
        <f>'CARTA DE CONTROL'!R108</f>
        <v>6274</v>
      </c>
      <c r="C43" s="4">
        <f>'CARTA DE CONTROL'!AR108</f>
        <v>-7.3333333333333334E-2</v>
      </c>
      <c r="D43" s="4">
        <f>'CARTA DE CONTROL'!AS108</f>
        <v>-0.16666666666666666</v>
      </c>
      <c r="E43" s="6">
        <f>'CARTA DE CONTROL'!I108</f>
        <v>3</v>
      </c>
      <c r="F43" s="7">
        <f>-('CARTA DE CONTROL'!I108)</f>
        <v>-3</v>
      </c>
      <c r="G43" s="5" t="str">
        <f t="shared" si="0"/>
        <v>PASS</v>
      </c>
    </row>
    <row r="44" spans="1:7" ht="15.75" thickBot="1" x14ac:dyDescent="0.3">
      <c r="B44" s="3">
        <f>'CARTA DE CONTROL'!R109</f>
        <v>9410</v>
      </c>
      <c r="C44" s="4">
        <f>'CARTA DE CONTROL'!AR109</f>
        <v>-0.31666666666666671</v>
      </c>
      <c r="D44" s="4">
        <f>'CARTA DE CONTROL'!AS109</f>
        <v>-0.45</v>
      </c>
      <c r="E44" s="6">
        <f>'CARTA DE CONTROL'!I109</f>
        <v>3</v>
      </c>
      <c r="F44" s="7">
        <f>-('CARTA DE CONTROL'!I109)</f>
        <v>-3</v>
      </c>
      <c r="G44" s="5" t="str">
        <f t="shared" si="0"/>
        <v>PASS</v>
      </c>
    </row>
    <row r="45" spans="1:7" ht="15.75" thickBot="1" x14ac:dyDescent="0.3">
      <c r="B45" s="3">
        <f>'CARTA DE CONTROL'!R110</f>
        <v>15684</v>
      </c>
      <c r="C45" s="4">
        <f>'CARTA DE CONTROL'!AR110</f>
        <v>6.666666666666668E-3</v>
      </c>
      <c r="D45" s="4">
        <f>'CARTA DE CONTROL'!AS110</f>
        <v>-0.21333333333333332</v>
      </c>
      <c r="E45" s="6">
        <f>'CARTA DE CONTROL'!I110</f>
        <v>3</v>
      </c>
      <c r="F45" s="7">
        <f>-('CARTA DE CONTROL'!I110)</f>
        <v>-3</v>
      </c>
      <c r="G45" s="5" t="str">
        <f t="shared" si="0"/>
        <v>PASS</v>
      </c>
    </row>
    <row r="46" spans="1:7" ht="15.75" thickBot="1" x14ac:dyDescent="0.3">
      <c r="B46" s="3">
        <f>'CARTA DE CONTROL'!R111</f>
        <v>21958</v>
      </c>
      <c r="C46" s="4">
        <f>'CARTA DE CONTROL'!AR111</f>
        <v>-0.33666666666666667</v>
      </c>
      <c r="D46" s="4">
        <f>'CARTA DE CONTROL'!AS111</f>
        <v>-0.63666666666666671</v>
      </c>
      <c r="E46" s="6">
        <f>'CARTA DE CONTROL'!I111</f>
        <v>3</v>
      </c>
      <c r="F46" s="7">
        <f>-('CARTA DE CONTROL'!I111)</f>
        <v>-3</v>
      </c>
      <c r="G46" s="5" t="str">
        <f t="shared" si="0"/>
        <v>PASS</v>
      </c>
    </row>
    <row r="47" spans="1:7" ht="15.75" thickBot="1" x14ac:dyDescent="0.3">
      <c r="B47" s="3">
        <f>'CARTA DE CONTROL'!R112</f>
        <v>28231</v>
      </c>
      <c r="C47" s="4">
        <f>'CARTA DE CONTROL'!AR112</f>
        <v>-5.3333333333333344E-2</v>
      </c>
      <c r="D47" s="4">
        <f>'CARTA DE CONTROL'!AS112</f>
        <v>-0.44</v>
      </c>
      <c r="E47" s="6">
        <f>'CARTA DE CONTROL'!I112</f>
        <v>3</v>
      </c>
      <c r="F47" s="7">
        <f>-('CARTA DE CONTROL'!I112)</f>
        <v>-3</v>
      </c>
      <c r="G47" s="5" t="str">
        <f t="shared" si="0"/>
        <v>PASS</v>
      </c>
    </row>
    <row r="48" spans="1:7" ht="15.75" thickBot="1" x14ac:dyDescent="0.3">
      <c r="B48" s="3">
        <f>'CARTA DE CONTROL'!R113</f>
        <v>29800</v>
      </c>
      <c r="C48" s="4">
        <f>'CARTA DE CONTROL'!AR113</f>
        <v>0.11</v>
      </c>
      <c r="D48" s="4">
        <f>'CARTA DE CONTROL'!AS113</f>
        <v>-0.29666666666666669</v>
      </c>
      <c r="E48" s="6">
        <f>'CARTA DE CONTROL'!I113</f>
        <v>3</v>
      </c>
      <c r="F48" s="7">
        <f>-('CARTA DE CONTROL'!I113)</f>
        <v>-3</v>
      </c>
      <c r="G48" s="5" t="str">
        <f t="shared" si="0"/>
        <v>PASS</v>
      </c>
    </row>
    <row r="49" spans="1:8" x14ac:dyDescent="0.25">
      <c r="A49" s="1"/>
      <c r="B49" s="1"/>
      <c r="C49" s="1"/>
      <c r="D49" s="1"/>
      <c r="E49" s="1"/>
      <c r="F49" s="1"/>
      <c r="G49" s="1"/>
      <c r="H49" s="1"/>
    </row>
    <row r="50" spans="1:8" x14ac:dyDescent="0.25">
      <c r="A50" s="1"/>
      <c r="B50" s="1"/>
      <c r="C50" s="1"/>
      <c r="D50" s="1"/>
    </row>
    <row r="51" spans="1:8" x14ac:dyDescent="0.25">
      <c r="A51" s="1"/>
      <c r="B51" s="1"/>
      <c r="C51" s="1"/>
      <c r="D51" s="1"/>
    </row>
    <row r="52" spans="1:8" x14ac:dyDescent="0.25">
      <c r="A52" s="1"/>
      <c r="B52" s="1"/>
      <c r="C52" s="1"/>
      <c r="D52" s="1"/>
    </row>
    <row r="53" spans="1:8" x14ac:dyDescent="0.25">
      <c r="A53" s="1"/>
      <c r="B53" s="1"/>
      <c r="C53" s="1"/>
      <c r="D53" s="1"/>
      <c r="E53" s="1"/>
      <c r="F53" s="1"/>
      <c r="G53" s="1"/>
      <c r="H53" s="1"/>
    </row>
    <row r="54" spans="1:8" x14ac:dyDescent="0.25">
      <c r="A54" s="1"/>
      <c r="B54" s="1"/>
      <c r="C54" s="1"/>
      <c r="D54" s="1"/>
      <c r="E54" s="1"/>
      <c r="F54" s="1"/>
      <c r="G54" s="1"/>
      <c r="H54" s="1"/>
    </row>
    <row r="55" spans="1:8" x14ac:dyDescent="0.25">
      <c r="A55" s="1"/>
      <c r="B55" s="1"/>
      <c r="C55" s="1"/>
      <c r="D55" s="1"/>
      <c r="E55" s="1"/>
      <c r="F55" s="1"/>
      <c r="G55" s="1"/>
      <c r="H55" s="1"/>
    </row>
    <row r="56" spans="1:8" x14ac:dyDescent="0.25">
      <c r="A56" s="1"/>
      <c r="B56" s="1"/>
      <c r="C56" s="1"/>
      <c r="D56" s="1"/>
      <c r="E56" s="1"/>
      <c r="F56" s="1"/>
      <c r="G56" s="1"/>
      <c r="H56" s="1"/>
    </row>
    <row r="57" spans="1:8" x14ac:dyDescent="0.25">
      <c r="A57" s="1"/>
      <c r="B57" s="1"/>
      <c r="C57" s="1"/>
      <c r="D57" s="1"/>
      <c r="E57" s="1"/>
      <c r="F57" s="1"/>
      <c r="G57" s="1"/>
      <c r="H57" s="1"/>
    </row>
    <row r="58" spans="1:8" x14ac:dyDescent="0.25">
      <c r="A58" s="1"/>
      <c r="B58" s="1"/>
      <c r="C58" s="1"/>
      <c r="D58" s="1"/>
      <c r="E58" s="1"/>
      <c r="F58" s="1"/>
      <c r="G58" s="1"/>
      <c r="H58" s="1"/>
    </row>
    <row r="59" spans="1:8" x14ac:dyDescent="0.25">
      <c r="A59" s="1"/>
      <c r="B59" s="1"/>
      <c r="C59" s="1"/>
      <c r="D59" s="1"/>
      <c r="E59" s="1"/>
      <c r="F59" s="1"/>
      <c r="G59" s="1"/>
      <c r="H59" s="1"/>
    </row>
    <row r="60" spans="1:8" x14ac:dyDescent="0.25">
      <c r="A60" s="1"/>
      <c r="B60" s="1"/>
      <c r="C60" s="1"/>
      <c r="D60" s="1"/>
      <c r="E60" s="1"/>
      <c r="F60" s="1"/>
      <c r="G60" s="1"/>
      <c r="H60" s="1"/>
    </row>
    <row r="61" spans="1:8" x14ac:dyDescent="0.25">
      <c r="A61" s="1"/>
      <c r="B61" s="1"/>
      <c r="C61" s="1"/>
      <c r="D61" s="1"/>
      <c r="E61" s="1"/>
      <c r="F61" s="1"/>
      <c r="G61" s="1"/>
      <c r="H61" s="1"/>
    </row>
    <row r="62" spans="1:8" x14ac:dyDescent="0.25">
      <c r="A62" s="1"/>
      <c r="B62" s="1"/>
      <c r="C62" s="1"/>
      <c r="D62" s="1"/>
      <c r="E62" s="1"/>
      <c r="F62" s="1"/>
      <c r="G62" s="1"/>
      <c r="H62" s="1"/>
    </row>
    <row r="66" spans="2:5" ht="15.75" thickBot="1" x14ac:dyDescent="0.3"/>
    <row r="67" spans="2:5" ht="15.75" thickBot="1" x14ac:dyDescent="0.3">
      <c r="B67" s="751" t="s">
        <v>210</v>
      </c>
      <c r="C67" s="752"/>
      <c r="D67" s="752"/>
      <c r="E67" s="753"/>
    </row>
    <row r="68" spans="2:5" ht="34.5" thickBot="1" x14ac:dyDescent="0.3">
      <c r="B68" s="2" t="s">
        <v>39</v>
      </c>
      <c r="C68" s="10" t="s">
        <v>89</v>
      </c>
      <c r="D68" s="2" t="s">
        <v>91</v>
      </c>
      <c r="E68" s="21" t="s">
        <v>90</v>
      </c>
    </row>
    <row r="69" spans="2:5" ht="15.75" thickBot="1" x14ac:dyDescent="0.3">
      <c r="B69" s="3">
        <f>'CARTA DE CONTROL'!R104</f>
        <v>0</v>
      </c>
      <c r="C69" s="4">
        <f>'CARTA DE CONTROL'!AM104</f>
        <v>0</v>
      </c>
      <c r="D69" s="6">
        <f>'CARTA DE CONTROL'!K104</f>
        <v>2</v>
      </c>
      <c r="E69" s="5" t="str">
        <f>IF(C69&lt;=2,IF(C69&gt;=-2,"PASS","NO PASS"))</f>
        <v>PASS</v>
      </c>
    </row>
    <row r="70" spans="2:5" ht="15.75" thickBot="1" x14ac:dyDescent="0.3">
      <c r="B70" s="3">
        <f>'CARTA DE CONTROL'!R105</f>
        <v>313.7</v>
      </c>
      <c r="C70" s="4">
        <f>'CARTA DE CONTROL'!AM105</f>
        <v>7.3333333333333341E-3</v>
      </c>
      <c r="D70" s="6">
        <f>'CARTA DE CONTROL'!K105</f>
        <v>2</v>
      </c>
      <c r="E70" s="5" t="str">
        <f t="shared" ref="E70:E76" si="1">IF(C70&lt;=2,IF(C70&gt;=-2,"PASS","NO PASS"))</f>
        <v>PASS</v>
      </c>
    </row>
    <row r="71" spans="2:5" ht="15.75" thickBot="1" x14ac:dyDescent="0.3">
      <c r="B71" s="3">
        <f>'CARTA DE CONTROL'!R108</f>
        <v>6274</v>
      </c>
      <c r="C71" s="4">
        <f>'CARTA DE CONTROL'!AM108</f>
        <v>8.6666666666666663E-3</v>
      </c>
      <c r="D71" s="6">
        <f>'CARTA DE CONTROL'!K108</f>
        <v>2</v>
      </c>
      <c r="E71" s="5" t="str">
        <f t="shared" si="1"/>
        <v>PASS</v>
      </c>
    </row>
    <row r="72" spans="2:5" ht="15.75" thickBot="1" x14ac:dyDescent="0.3">
      <c r="B72" s="3">
        <f>'CARTA DE CONTROL'!R109</f>
        <v>9410</v>
      </c>
      <c r="C72" s="4">
        <f>'CARTA DE CONTROL'!AM109</f>
        <v>9.6666666666666672E-3</v>
      </c>
      <c r="D72" s="6">
        <f>'CARTA DE CONTROL'!K109</f>
        <v>2</v>
      </c>
      <c r="E72" s="5" t="str">
        <f t="shared" si="1"/>
        <v>PASS</v>
      </c>
    </row>
    <row r="73" spans="2:5" ht="15.75" thickBot="1" x14ac:dyDescent="0.3">
      <c r="B73" s="3">
        <f>'CARTA DE CONTROL'!R110</f>
        <v>15684</v>
      </c>
      <c r="C73" s="4">
        <f>'CARTA DE CONTROL'!AM110</f>
        <v>1.2E-2</v>
      </c>
      <c r="D73" s="6">
        <f>'CARTA DE CONTROL'!K110</f>
        <v>2</v>
      </c>
      <c r="E73" s="5" t="str">
        <f t="shared" si="1"/>
        <v>PASS</v>
      </c>
    </row>
    <row r="74" spans="2:5" ht="15.75" thickBot="1" x14ac:dyDescent="0.3">
      <c r="B74" s="3">
        <f>'CARTA DE CONTROL'!R111</f>
        <v>21958</v>
      </c>
      <c r="C74" s="4">
        <f>'CARTA DE CONTROL'!AM111</f>
        <v>1.6333333333333335E-2</v>
      </c>
      <c r="D74" s="6">
        <f>'CARTA DE CONTROL'!K111</f>
        <v>2</v>
      </c>
      <c r="E74" s="5" t="str">
        <f t="shared" si="1"/>
        <v>PASS</v>
      </c>
    </row>
    <row r="75" spans="2:5" ht="15.75" thickBot="1" x14ac:dyDescent="0.3">
      <c r="B75" s="3">
        <f>'CARTA DE CONTROL'!R112</f>
        <v>28231</v>
      </c>
      <c r="C75" s="4">
        <f>'CARTA DE CONTROL'!AM112</f>
        <v>1.2333333333333333E-2</v>
      </c>
      <c r="D75" s="6">
        <f>'CARTA DE CONTROL'!K112</f>
        <v>2</v>
      </c>
      <c r="E75" s="5" t="str">
        <f t="shared" si="1"/>
        <v>PASS</v>
      </c>
    </row>
    <row r="76" spans="2:5" ht="15.75" thickBot="1" x14ac:dyDescent="0.3">
      <c r="B76" s="3">
        <f>'CARTA DE CONTROL'!R113</f>
        <v>29800</v>
      </c>
      <c r="C76" s="4">
        <f>'CARTA DE CONTROL'!AM113</f>
        <v>1.9666666666666666E-2</v>
      </c>
      <c r="D76" s="6">
        <f>'CARTA DE CONTROL'!K113</f>
        <v>2</v>
      </c>
      <c r="E76" s="5" t="str">
        <f t="shared" si="1"/>
        <v>PASS</v>
      </c>
    </row>
    <row r="89" spans="2:7" ht="15.75" thickBot="1" x14ac:dyDescent="0.3"/>
    <row r="90" spans="2:7" ht="15.75" thickBot="1" x14ac:dyDescent="0.3">
      <c r="B90" s="751" t="s">
        <v>211</v>
      </c>
      <c r="C90" s="752"/>
      <c r="D90" s="752"/>
      <c r="E90" s="752"/>
      <c r="F90" s="752"/>
      <c r="G90" s="753"/>
    </row>
    <row r="91" spans="2:7" ht="72.75" thickBot="1" x14ac:dyDescent="0.3">
      <c r="B91" s="2" t="s">
        <v>168</v>
      </c>
      <c r="C91" s="11" t="s">
        <v>98</v>
      </c>
      <c r="D91" s="11" t="s">
        <v>99</v>
      </c>
      <c r="E91" s="22" t="s">
        <v>100</v>
      </c>
      <c r="F91" s="22" t="s">
        <v>101</v>
      </c>
      <c r="G91" s="22" t="s">
        <v>38</v>
      </c>
    </row>
    <row r="92" spans="2:7" ht="15.75" thickBot="1" x14ac:dyDescent="0.3">
      <c r="B92" s="3">
        <f>'CARTA DE CONTROL'!R114</f>
        <v>0</v>
      </c>
      <c r="C92" s="4">
        <f>'CARTA DE CONTROL'!AR114</f>
        <v>3.3333333333333335E-3</v>
      </c>
      <c r="D92" s="4">
        <f>'CARTA DE CONTROL'!AS114</f>
        <v>-3.3333333333333335E-3</v>
      </c>
      <c r="E92" s="6">
        <f>'CARTA DE CONTROL'!I114</f>
        <v>3</v>
      </c>
      <c r="F92" s="7">
        <f>-('CARTA DE CONTROL'!I114)</f>
        <v>-3</v>
      </c>
      <c r="G92" s="5" t="str">
        <f>IF(C92&lt;=2,IF(D92&gt;=-2,"PASS","NO PASS"))</f>
        <v>PASS</v>
      </c>
    </row>
    <row r="93" spans="2:7" ht="15.75" thickBot="1" x14ac:dyDescent="0.3">
      <c r="B93" s="3">
        <f>'CARTA DE CONTROL'!R115</f>
        <v>313.7</v>
      </c>
      <c r="C93" s="4">
        <f>'CARTA DE CONTROL'!AR115</f>
        <v>0.18666666666666673</v>
      </c>
      <c r="D93" s="4">
        <f>'CARTA DE CONTROL'!AS115</f>
        <v>0.16733333333333342</v>
      </c>
      <c r="E93" s="6">
        <f>'CARTA DE CONTROL'!I115</f>
        <v>3</v>
      </c>
      <c r="F93" s="7">
        <f>-('CARTA DE CONTROL'!I115)</f>
        <v>-3</v>
      </c>
      <c r="G93" s="5" t="str">
        <f t="shared" ref="G93:G99" si="2">IF(C93&lt;=2,IF(D93&gt;=-2,"PASS","NO PASS"))</f>
        <v>PASS</v>
      </c>
    </row>
    <row r="94" spans="2:7" ht="15.75" thickBot="1" x14ac:dyDescent="0.3">
      <c r="B94" s="3">
        <f>'CARTA DE CONTROL'!R116</f>
        <v>1568.4</v>
      </c>
      <c r="C94" s="4">
        <f>'CARTA DE CONTROL'!AR116</f>
        <v>3.8666666666666211E-2</v>
      </c>
      <c r="D94" s="4">
        <f>'CARTA DE CONTROL'!AS116</f>
        <v>1.0666666666666212E-2</v>
      </c>
      <c r="E94" s="6">
        <f>'CARTA DE CONTROL'!I116</f>
        <v>3</v>
      </c>
      <c r="F94" s="7">
        <f>-('CARTA DE CONTROL'!I116)</f>
        <v>-3</v>
      </c>
      <c r="G94" s="5" t="str">
        <f t="shared" si="2"/>
        <v>PASS</v>
      </c>
    </row>
    <row r="95" spans="2:7" ht="15.75" thickBot="1" x14ac:dyDescent="0.3">
      <c r="B95" s="3">
        <f>'CARTA DE CONTROL'!R117</f>
        <v>3136.8</v>
      </c>
      <c r="C95" s="4">
        <f>'CARTA DE CONTROL'!AR117</f>
        <v>-0.24500000000000061</v>
      </c>
      <c r="D95" s="4">
        <f>'CARTA DE CONTROL'!AS117</f>
        <v>-0.29366666666666724</v>
      </c>
      <c r="E95" s="6">
        <f>'CARTA DE CONTROL'!I117</f>
        <v>3</v>
      </c>
      <c r="F95" s="7">
        <f>-('CARTA DE CONTROL'!I117)</f>
        <v>-3</v>
      </c>
      <c r="G95" s="5" t="str">
        <f t="shared" si="2"/>
        <v>PASS</v>
      </c>
    </row>
    <row r="96" spans="2:7" ht="15.75" thickBot="1" x14ac:dyDescent="0.3">
      <c r="B96" s="3">
        <f>'CARTA DE CONTROL'!R118</f>
        <v>6274</v>
      </c>
      <c r="C96" s="4">
        <f>'CARTA DE CONTROL'!AR118</f>
        <v>-0.57333333333333336</v>
      </c>
      <c r="D96" s="4">
        <f>'CARTA DE CONTROL'!AS118</f>
        <v>-0.66666666666666663</v>
      </c>
      <c r="E96" s="6">
        <f>'CARTA DE CONTROL'!I118</f>
        <v>3</v>
      </c>
      <c r="F96" s="7">
        <f>-('CARTA DE CONTROL'!I118)</f>
        <v>-3</v>
      </c>
      <c r="G96" s="5" t="str">
        <f t="shared" si="2"/>
        <v>PASS</v>
      </c>
    </row>
    <row r="97" spans="1:8" ht="15.75" thickBot="1" x14ac:dyDescent="0.3">
      <c r="B97" s="3">
        <f>'CARTA DE CONTROL'!R119</f>
        <v>9410</v>
      </c>
      <c r="C97" s="4">
        <f>'CARTA DE CONTROL'!AR119</f>
        <v>-0.65333333333333332</v>
      </c>
      <c r="D97" s="4">
        <f>'CARTA DE CONTROL'!AS119</f>
        <v>-0.78666666666666663</v>
      </c>
      <c r="E97" s="6">
        <f>'CARTA DE CONTROL'!I119</f>
        <v>3</v>
      </c>
      <c r="F97" s="7">
        <f>-('CARTA DE CONTROL'!I119)</f>
        <v>-3</v>
      </c>
      <c r="G97" s="5" t="str">
        <f t="shared" si="2"/>
        <v>PASS</v>
      </c>
    </row>
    <row r="98" spans="1:8" ht="15.75" thickBot="1" x14ac:dyDescent="0.3">
      <c r="B98" s="3">
        <f>'CARTA DE CONTROL'!R120</f>
        <v>15684</v>
      </c>
      <c r="C98" s="4">
        <f>'CARTA DE CONTROL'!AR120</f>
        <v>-0.90666666666666662</v>
      </c>
      <c r="D98" s="4">
        <f>'CARTA DE CONTROL'!AS120</f>
        <v>-1.1266666666666667</v>
      </c>
      <c r="E98" s="6">
        <f>'CARTA DE CONTROL'!I120</f>
        <v>3</v>
      </c>
      <c r="F98" s="7">
        <f>-('CARTA DE CONTROL'!I120)</f>
        <v>-3</v>
      </c>
      <c r="G98" s="5" t="str">
        <f t="shared" si="2"/>
        <v>PASS</v>
      </c>
    </row>
    <row r="99" spans="1:8" ht="15.75" thickBot="1" x14ac:dyDescent="0.3">
      <c r="B99" s="3">
        <f>'CARTA DE CONTROL'!R121</f>
        <v>21958</v>
      </c>
      <c r="C99" s="4">
        <f>'CARTA DE CONTROL'!AR121</f>
        <v>-0.66</v>
      </c>
      <c r="D99" s="4">
        <f>'CARTA DE CONTROL'!AS121</f>
        <v>-0.96000000000000008</v>
      </c>
      <c r="E99" s="6">
        <f>'CARTA DE CONTROL'!I121</f>
        <v>3</v>
      </c>
      <c r="F99" s="7">
        <f>-('CARTA DE CONTROL'!I121)</f>
        <v>-3</v>
      </c>
      <c r="G99" s="5" t="str">
        <f t="shared" si="2"/>
        <v>PASS</v>
      </c>
    </row>
    <row r="100" spans="1:8" x14ac:dyDescent="0.25">
      <c r="A100" s="1"/>
      <c r="B100" s="1"/>
      <c r="C100" s="1"/>
      <c r="D100" s="1"/>
      <c r="E100" s="1"/>
      <c r="F100" s="1"/>
      <c r="G100" s="1"/>
      <c r="H100" s="1"/>
    </row>
    <row r="101" spans="1:8" x14ac:dyDescent="0.25">
      <c r="A101" s="1"/>
      <c r="B101" s="1"/>
      <c r="C101" s="1"/>
      <c r="D101" s="1"/>
    </row>
    <row r="102" spans="1:8" x14ac:dyDescent="0.25">
      <c r="A102" s="1"/>
      <c r="B102" s="1"/>
      <c r="C102" s="1"/>
      <c r="D102" s="1"/>
    </row>
    <row r="103" spans="1:8" x14ac:dyDescent="0.25">
      <c r="A103" s="1"/>
      <c r="B103" s="1"/>
      <c r="C103" s="1"/>
      <c r="D103" s="1"/>
    </row>
    <row r="104" spans="1:8" x14ac:dyDescent="0.25">
      <c r="A104" s="1"/>
      <c r="B104" s="1"/>
      <c r="C104" s="1"/>
      <c r="D104" s="1"/>
      <c r="E104" s="1"/>
      <c r="F104" s="1"/>
      <c r="G104" s="1"/>
      <c r="H104" s="1"/>
    </row>
    <row r="105" spans="1:8" x14ac:dyDescent="0.25">
      <c r="A105" s="1"/>
      <c r="B105" s="1"/>
      <c r="C105" s="1"/>
      <c r="D105" s="1"/>
      <c r="E105" s="1"/>
      <c r="F105" s="1"/>
      <c r="G105" s="1"/>
      <c r="H105" s="1"/>
    </row>
    <row r="106" spans="1:8" x14ac:dyDescent="0.25">
      <c r="A106" s="1"/>
      <c r="B106" s="1"/>
      <c r="C106" s="1"/>
      <c r="D106" s="1"/>
      <c r="E106" s="1"/>
      <c r="F106" s="1"/>
      <c r="G106" s="1"/>
      <c r="H106" s="1"/>
    </row>
    <row r="107" spans="1:8" x14ac:dyDescent="0.25">
      <c r="A107" s="1"/>
      <c r="B107" s="1"/>
      <c r="C107" s="1"/>
      <c r="D107" s="1"/>
      <c r="E107" s="1"/>
      <c r="F107" s="1"/>
      <c r="G107" s="1"/>
      <c r="H107" s="1"/>
    </row>
    <row r="108" spans="1:8" x14ac:dyDescent="0.25">
      <c r="A108" s="1"/>
      <c r="B108" s="1"/>
      <c r="C108" s="1"/>
      <c r="D108" s="1"/>
      <c r="E108" s="1"/>
      <c r="F108" s="1"/>
      <c r="G108" s="1"/>
      <c r="H108" s="1"/>
    </row>
    <row r="109" spans="1:8" x14ac:dyDescent="0.25">
      <c r="A109" s="1"/>
      <c r="B109" s="1"/>
      <c r="C109" s="1"/>
      <c r="D109" s="1"/>
      <c r="E109" s="1"/>
      <c r="F109" s="1"/>
      <c r="G109" s="1"/>
      <c r="H109" s="1"/>
    </row>
    <row r="110" spans="1:8" x14ac:dyDescent="0.25">
      <c r="A110" s="1"/>
      <c r="B110" s="1"/>
      <c r="C110" s="1"/>
      <c r="D110" s="1"/>
      <c r="E110" s="1"/>
      <c r="F110" s="1"/>
      <c r="G110" s="1"/>
      <c r="H110" s="1"/>
    </row>
    <row r="111" spans="1:8" x14ac:dyDescent="0.25">
      <c r="A111" s="1"/>
      <c r="B111" s="1"/>
      <c r="C111" s="1"/>
      <c r="D111" s="1"/>
      <c r="E111" s="1"/>
      <c r="F111" s="1"/>
      <c r="G111" s="1"/>
      <c r="H111" s="1"/>
    </row>
    <row r="112" spans="1:8" x14ac:dyDescent="0.25">
      <c r="A112" s="1"/>
      <c r="B112" s="1"/>
      <c r="C112" s="1"/>
      <c r="D112" s="1"/>
      <c r="E112" s="1"/>
      <c r="F112" s="1"/>
      <c r="G112" s="1"/>
      <c r="H112" s="1"/>
    </row>
    <row r="113" spans="1:8" x14ac:dyDescent="0.25">
      <c r="A113" s="1"/>
      <c r="B113" s="1"/>
      <c r="C113" s="1"/>
      <c r="D113" s="1"/>
      <c r="E113" s="1"/>
      <c r="F113" s="1"/>
      <c r="G113" s="1"/>
      <c r="H113" s="1"/>
    </row>
    <row r="117" spans="1:8" ht="15.75" thickBot="1" x14ac:dyDescent="0.3"/>
    <row r="118" spans="1:8" ht="15.75" thickBot="1" x14ac:dyDescent="0.3">
      <c r="B118" s="751" t="s">
        <v>212</v>
      </c>
      <c r="C118" s="752"/>
      <c r="D118" s="752"/>
      <c r="E118" s="753"/>
    </row>
    <row r="119" spans="1:8" ht="34.5" thickBot="1" x14ac:dyDescent="0.3">
      <c r="B119" s="2" t="s">
        <v>39</v>
      </c>
      <c r="C119" s="10" t="s">
        <v>89</v>
      </c>
      <c r="D119" s="2" t="s">
        <v>91</v>
      </c>
      <c r="E119" s="21" t="s">
        <v>90</v>
      </c>
    </row>
    <row r="120" spans="1:8" ht="15.75" thickBot="1" x14ac:dyDescent="0.3">
      <c r="B120" s="3">
        <f>'CARTA DE CONTROL'!R114</f>
        <v>0</v>
      </c>
      <c r="C120" s="4">
        <f>'CARTA DE CONTROL'!AM114</f>
        <v>0</v>
      </c>
      <c r="D120" s="6">
        <f>'CARTA DE CONTROL'!K114</f>
        <v>2</v>
      </c>
      <c r="E120" s="5" t="str">
        <f>IF(C120&lt;=2,IF(C120&gt;=-2,"PASS","NO PASS"))</f>
        <v>PASS</v>
      </c>
    </row>
    <row r="121" spans="1:8" ht="15.75" thickBot="1" x14ac:dyDescent="0.3">
      <c r="B121" s="3">
        <f>'CARTA DE CONTROL'!R115</f>
        <v>313.7</v>
      </c>
      <c r="C121" s="4">
        <f>'CARTA DE CONTROL'!AM115</f>
        <v>7.6666666666666654E-3</v>
      </c>
      <c r="D121" s="6">
        <f>'CARTA DE CONTROL'!K115</f>
        <v>2</v>
      </c>
      <c r="E121" s="5" t="str">
        <f t="shared" ref="E121:E127" si="3">IF(C121&lt;=2,IF(C121&gt;=-2,"PASS","NO PASS"))</f>
        <v>PASS</v>
      </c>
    </row>
    <row r="122" spans="1:8" ht="15.75" thickBot="1" x14ac:dyDescent="0.3">
      <c r="B122" s="3">
        <f>'CARTA DE CONTROL'!R116</f>
        <v>1568.4</v>
      </c>
      <c r="C122" s="4">
        <f>'CARTA DE CONTROL'!AM116</f>
        <v>9.6666666666666672E-3</v>
      </c>
      <c r="D122" s="6">
        <f>'CARTA DE CONTROL'!K116</f>
        <v>2</v>
      </c>
      <c r="E122" s="5" t="str">
        <f t="shared" si="3"/>
        <v>PASS</v>
      </c>
    </row>
    <row r="123" spans="1:8" ht="15.75" thickBot="1" x14ac:dyDescent="0.3">
      <c r="B123" s="3">
        <f>'CARTA DE CONTROL'!R117</f>
        <v>3136.8</v>
      </c>
      <c r="C123" s="4">
        <f>'CARTA DE CONTROL'!AM117</f>
        <v>1.7666666666666667E-2</v>
      </c>
      <c r="D123" s="6">
        <f>'CARTA DE CONTROL'!K117</f>
        <v>2</v>
      </c>
      <c r="E123" s="5" t="str">
        <f t="shared" si="3"/>
        <v>PASS</v>
      </c>
    </row>
    <row r="124" spans="1:8" ht="15.75" thickBot="1" x14ac:dyDescent="0.3">
      <c r="B124" s="3">
        <f>'CARTA DE CONTROL'!R118</f>
        <v>6274</v>
      </c>
      <c r="C124" s="4">
        <f>'CARTA DE CONTROL'!AM118</f>
        <v>1.6666666666666666E-2</v>
      </c>
      <c r="D124" s="6">
        <f>'CARTA DE CONTROL'!K118</f>
        <v>2</v>
      </c>
      <c r="E124" s="5" t="str">
        <f t="shared" si="3"/>
        <v>PASS</v>
      </c>
    </row>
    <row r="125" spans="1:8" ht="15.75" thickBot="1" x14ac:dyDescent="0.3">
      <c r="B125" s="3">
        <f>'CARTA DE CONTROL'!R119</f>
        <v>9410</v>
      </c>
      <c r="C125" s="4">
        <f>'CARTA DE CONTROL'!AM119</f>
        <v>1.0333333333333333E-2</v>
      </c>
      <c r="D125" s="6">
        <f>'CARTA DE CONTROL'!K119</f>
        <v>2</v>
      </c>
      <c r="E125" s="5" t="str">
        <f t="shared" si="3"/>
        <v>PASS</v>
      </c>
    </row>
    <row r="126" spans="1:8" ht="15.75" thickBot="1" x14ac:dyDescent="0.3">
      <c r="B126" s="3">
        <f>'CARTA DE CONTROL'!R120</f>
        <v>15684</v>
      </c>
      <c r="C126" s="4">
        <f>'CARTA DE CONTROL'!AM120</f>
        <v>2.3E-2</v>
      </c>
      <c r="D126" s="6">
        <f>'CARTA DE CONTROL'!K120</f>
        <v>2</v>
      </c>
      <c r="E126" s="5" t="str">
        <f t="shared" si="3"/>
        <v>PASS</v>
      </c>
    </row>
    <row r="127" spans="1:8" ht="15.75" thickBot="1" x14ac:dyDescent="0.3">
      <c r="B127" s="3">
        <f>'CARTA DE CONTROL'!R121</f>
        <v>21958</v>
      </c>
      <c r="C127" s="4">
        <f>'CARTA DE CONTROL'!AM121</f>
        <v>1.7333333333333333E-2</v>
      </c>
      <c r="D127" s="6">
        <f>'CARTA DE CONTROL'!K121</f>
        <v>2</v>
      </c>
      <c r="E127" s="5" t="str">
        <f t="shared" si="3"/>
        <v>PASS</v>
      </c>
    </row>
  </sheetData>
  <mergeCells count="56">
    <mergeCell ref="B39:G39"/>
    <mergeCell ref="B90:G90"/>
    <mergeCell ref="B118:E118"/>
    <mergeCell ref="B37:D37"/>
    <mergeCell ref="F37:G37"/>
    <mergeCell ref="B67:E67"/>
    <mergeCell ref="B31:D31"/>
    <mergeCell ref="F31:G31"/>
    <mergeCell ref="B32:D32"/>
    <mergeCell ref="F32:G32"/>
    <mergeCell ref="B36:D36"/>
    <mergeCell ref="F36:G36"/>
    <mergeCell ref="B33:D33"/>
    <mergeCell ref="F33:G33"/>
    <mergeCell ref="B34:D34"/>
    <mergeCell ref="F34:G34"/>
    <mergeCell ref="B35:D35"/>
    <mergeCell ref="F35:G35"/>
    <mergeCell ref="B27:D27"/>
    <mergeCell ref="F27:G27"/>
    <mergeCell ref="B28:D28"/>
    <mergeCell ref="F28:G28"/>
    <mergeCell ref="A30:G30"/>
    <mergeCell ref="B24:D24"/>
    <mergeCell ref="F24:G24"/>
    <mergeCell ref="B25:D25"/>
    <mergeCell ref="F25:G25"/>
    <mergeCell ref="B26:D26"/>
    <mergeCell ref="F26:G26"/>
    <mergeCell ref="B21:D21"/>
    <mergeCell ref="F21:G21"/>
    <mergeCell ref="B22:D22"/>
    <mergeCell ref="F22:G22"/>
    <mergeCell ref="B23:D23"/>
    <mergeCell ref="F23:G23"/>
    <mergeCell ref="B18:D18"/>
    <mergeCell ref="F18:G18"/>
    <mergeCell ref="B19:D19"/>
    <mergeCell ref="F19:G19"/>
    <mergeCell ref="B20:D20"/>
    <mergeCell ref="F20:G20"/>
    <mergeCell ref="C7:E7"/>
    <mergeCell ref="C8:E8"/>
    <mergeCell ref="C9:E9"/>
    <mergeCell ref="C10:E10"/>
    <mergeCell ref="A12:G12"/>
    <mergeCell ref="B16:D16"/>
    <mergeCell ref="F16:G16"/>
    <mergeCell ref="B17:D17"/>
    <mergeCell ref="F17:G17"/>
    <mergeCell ref="B13:D13"/>
    <mergeCell ref="F13:G13"/>
    <mergeCell ref="B14:D14"/>
    <mergeCell ref="F14:G14"/>
    <mergeCell ref="B15:D15"/>
    <mergeCell ref="F15:G15"/>
  </mergeCells>
  <conditionalFormatting sqref="G41:G48">
    <cfRule type="cellIs" dxfId="113" priority="25" operator="lessThan">
      <formula>$F$77</formula>
    </cfRule>
    <cfRule type="cellIs" dxfId="112" priority="26" operator="lessThan">
      <formula>0.05</formula>
    </cfRule>
  </conditionalFormatting>
  <conditionalFormatting sqref="G41:G48">
    <cfRule type="cellIs" dxfId="111" priority="24" operator="between">
      <formula>$F$77</formula>
      <formula>$G$77</formula>
    </cfRule>
  </conditionalFormatting>
  <conditionalFormatting sqref="E69:E76">
    <cfRule type="cellIs" dxfId="110" priority="10" operator="lessThan">
      <formula>$H$77</formula>
    </cfRule>
    <cfRule type="cellIs" dxfId="109" priority="11" operator="lessThan">
      <formula>0.05</formula>
    </cfRule>
  </conditionalFormatting>
  <conditionalFormatting sqref="G92:G99">
    <cfRule type="cellIs" dxfId="108" priority="4" operator="lessThan">
      <formula>$F$77</formula>
    </cfRule>
    <cfRule type="cellIs" dxfId="107" priority="5" operator="lessThan">
      <formula>0.05</formula>
    </cfRule>
  </conditionalFormatting>
  <conditionalFormatting sqref="G92:G99">
    <cfRule type="cellIs" dxfId="106" priority="3" operator="between">
      <formula>$F$77</formula>
      <formula>$G$77</formula>
    </cfRule>
  </conditionalFormatting>
  <conditionalFormatting sqref="E120:E127">
    <cfRule type="cellIs" dxfId="105" priority="1" operator="lessThan">
      <formula>$H$77</formula>
    </cfRule>
    <cfRule type="cellIs" dxfId="104" priority="2" operator="lessThan">
      <formula>0.05</formula>
    </cfRule>
  </conditionalFormatting>
  <pageMargins left="0.7" right="0.7" top="0.75" bottom="0.75" header="0.3" footer="0.3"/>
  <pageSetup orientation="portrait"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9"/>
  <sheetViews>
    <sheetView topLeftCell="A249" zoomScaleNormal="100" workbookViewId="0">
      <selection activeCell="B221" sqref="B221:D229"/>
    </sheetView>
  </sheetViews>
  <sheetFormatPr baseColWidth="10" defaultRowHeight="15" x14ac:dyDescent="0.25"/>
  <cols>
    <col min="1" max="1" width="5.140625" customWidth="1"/>
    <col min="2" max="2" width="22.85546875" customWidth="1"/>
    <col min="3" max="3" width="21.7109375" customWidth="1"/>
    <col min="4" max="4" width="21" customWidth="1"/>
    <col min="5" max="5" width="22.7109375" customWidth="1"/>
  </cols>
  <sheetData>
    <row r="1" spans="1:11" ht="15" customHeight="1" x14ac:dyDescent="0.25">
      <c r="E1" s="214"/>
    </row>
    <row r="2" spans="1:11" ht="15" customHeight="1" x14ac:dyDescent="0.25">
      <c r="B2" s="189"/>
      <c r="C2" s="189"/>
      <c r="D2" s="189"/>
      <c r="E2" s="215"/>
      <c r="F2" s="189"/>
      <c r="G2" s="189"/>
      <c r="H2" s="189"/>
    </row>
    <row r="3" spans="1:11" ht="15" customHeight="1" x14ac:dyDescent="0.25">
      <c r="B3" s="189"/>
      <c r="C3" s="189"/>
      <c r="D3" s="189"/>
      <c r="E3" s="215"/>
      <c r="F3" s="189"/>
      <c r="G3" s="189"/>
      <c r="H3" s="189"/>
    </row>
    <row r="4" spans="1:11" ht="15" customHeight="1" x14ac:dyDescent="0.25">
      <c r="B4" s="189"/>
      <c r="C4" s="189"/>
      <c r="D4" s="189"/>
      <c r="E4" s="215"/>
      <c r="F4" s="189"/>
      <c r="G4" s="189"/>
      <c r="H4" s="189"/>
    </row>
    <row r="5" spans="1:11" ht="15" customHeight="1" x14ac:dyDescent="0.25">
      <c r="B5" s="189"/>
      <c r="C5" s="189"/>
      <c r="D5" s="189"/>
      <c r="E5" s="215"/>
      <c r="F5" s="189"/>
      <c r="G5" s="189"/>
      <c r="H5" s="189"/>
    </row>
    <row r="6" spans="1:11" ht="15" customHeight="1" x14ac:dyDescent="0.25">
      <c r="B6" s="189"/>
      <c r="C6" s="189"/>
      <c r="D6" s="189"/>
      <c r="E6" s="215"/>
      <c r="F6" s="189"/>
      <c r="G6" s="189"/>
      <c r="H6" s="189"/>
    </row>
    <row r="7" spans="1:11" x14ac:dyDescent="0.25">
      <c r="B7" s="231" t="s">
        <v>157</v>
      </c>
      <c r="C7" s="770" t="str">
        <f>'CARTA DE CONTROL'!B104</f>
        <v>FRENOMETRO MIXTO</v>
      </c>
      <c r="D7" s="771"/>
      <c r="E7" s="772"/>
    </row>
    <row r="8" spans="1:11" x14ac:dyDescent="0.25">
      <c r="B8" s="231" t="s">
        <v>158</v>
      </c>
      <c r="C8" s="770" t="str">
        <f>'CARTA DE CONTROL'!D104</f>
        <v>VAMAG</v>
      </c>
      <c r="D8" s="771"/>
      <c r="E8" s="772"/>
    </row>
    <row r="9" spans="1:11" x14ac:dyDescent="0.25">
      <c r="B9" s="231" t="s">
        <v>159</v>
      </c>
      <c r="C9" s="770" t="str">
        <f>'CARTA DE CONTROL'!E104</f>
        <v>RBT/C2VFW</v>
      </c>
      <c r="D9" s="771"/>
      <c r="E9" s="772"/>
    </row>
    <row r="10" spans="1:11" x14ac:dyDescent="0.25">
      <c r="B10" s="231" t="s">
        <v>160</v>
      </c>
      <c r="C10" s="786">
        <f>'CARTA DE CONTROL'!F104</f>
        <v>18032107</v>
      </c>
      <c r="D10" s="787"/>
      <c r="E10" s="788"/>
    </row>
    <row r="11" spans="1:11" ht="15" customHeight="1" thickBot="1" x14ac:dyDescent="0.3">
      <c r="B11" s="189"/>
      <c r="C11" s="189"/>
      <c r="D11" s="189"/>
      <c r="E11" s="215"/>
      <c r="F11" s="189"/>
      <c r="G11" s="189"/>
      <c r="H11" s="202"/>
      <c r="I11" s="203"/>
      <c r="J11" s="203"/>
      <c r="K11" s="203"/>
    </row>
    <row r="12" spans="1:11" s="190" customFormat="1" ht="34.5" customHeight="1" x14ac:dyDescent="0.2">
      <c r="A12" s="776" t="s">
        <v>127</v>
      </c>
      <c r="B12" s="777"/>
      <c r="C12" s="777"/>
      <c r="D12" s="777"/>
      <c r="E12" s="777"/>
      <c r="F12" s="777"/>
      <c r="G12" s="778"/>
      <c r="H12" s="204"/>
      <c r="I12" s="204"/>
      <c r="J12" s="204"/>
      <c r="K12" s="204"/>
    </row>
    <row r="13" spans="1:11" s="190" customFormat="1" ht="15" customHeight="1" x14ac:dyDescent="0.2">
      <c r="A13" s="207" t="s">
        <v>128</v>
      </c>
      <c r="B13" s="779" t="s">
        <v>129</v>
      </c>
      <c r="C13" s="780"/>
      <c r="D13" s="781"/>
      <c r="E13" s="201" t="s">
        <v>130</v>
      </c>
      <c r="F13" s="782" t="s">
        <v>131</v>
      </c>
      <c r="G13" s="783"/>
      <c r="H13" s="205"/>
      <c r="I13" s="205"/>
      <c r="J13" s="205"/>
      <c r="K13" s="205"/>
    </row>
    <row r="14" spans="1:11" s="1" customFormat="1" ht="35.25" customHeight="1" x14ac:dyDescent="0.2">
      <c r="A14" s="208">
        <v>1</v>
      </c>
      <c r="B14" s="761" t="s">
        <v>132</v>
      </c>
      <c r="C14" s="761"/>
      <c r="D14" s="761"/>
      <c r="E14" s="192" t="s">
        <v>133</v>
      </c>
      <c r="F14" s="762"/>
      <c r="G14" s="763"/>
      <c r="H14" s="206"/>
      <c r="I14" s="206"/>
      <c r="J14" s="206"/>
      <c r="K14" s="206"/>
    </row>
    <row r="15" spans="1:11" s="1" customFormat="1" ht="35.25" customHeight="1" x14ac:dyDescent="0.2">
      <c r="A15" s="208">
        <v>2</v>
      </c>
      <c r="B15" s="761" t="s">
        <v>134</v>
      </c>
      <c r="C15" s="761"/>
      <c r="D15" s="761"/>
      <c r="E15" s="192" t="s">
        <v>133</v>
      </c>
      <c r="F15" s="762"/>
      <c r="G15" s="763"/>
    </row>
    <row r="16" spans="1:11" s="1" customFormat="1" ht="35.25" customHeight="1" x14ac:dyDescent="0.2">
      <c r="A16" s="208">
        <v>3</v>
      </c>
      <c r="B16" s="761" t="s">
        <v>135</v>
      </c>
      <c r="C16" s="761"/>
      <c r="D16" s="761"/>
      <c r="E16" s="192" t="s">
        <v>133</v>
      </c>
      <c r="F16" s="762"/>
      <c r="G16" s="763"/>
    </row>
    <row r="17" spans="1:11" s="1" customFormat="1" ht="35.25" customHeight="1" x14ac:dyDescent="0.2">
      <c r="A17" s="208">
        <v>4</v>
      </c>
      <c r="B17" s="761" t="s">
        <v>136</v>
      </c>
      <c r="C17" s="761"/>
      <c r="D17" s="761"/>
      <c r="E17" s="192" t="s">
        <v>133</v>
      </c>
      <c r="F17" s="784"/>
      <c r="G17" s="785"/>
    </row>
    <row r="18" spans="1:11" s="1" customFormat="1" ht="35.25" customHeight="1" x14ac:dyDescent="0.2">
      <c r="A18" s="208">
        <v>5</v>
      </c>
      <c r="B18" s="761" t="s">
        <v>137</v>
      </c>
      <c r="C18" s="761"/>
      <c r="D18" s="761"/>
      <c r="E18" s="192" t="s">
        <v>133</v>
      </c>
      <c r="F18" s="762"/>
      <c r="G18" s="763"/>
    </row>
    <row r="19" spans="1:11" s="1" customFormat="1" ht="35.25" customHeight="1" x14ac:dyDescent="0.2">
      <c r="A19" s="208">
        <v>6</v>
      </c>
      <c r="B19" s="761" t="s">
        <v>138</v>
      </c>
      <c r="C19" s="761"/>
      <c r="D19" s="761"/>
      <c r="E19" s="192" t="s">
        <v>133</v>
      </c>
      <c r="F19" s="762"/>
      <c r="G19" s="763"/>
    </row>
    <row r="20" spans="1:11" s="1" customFormat="1" ht="35.25" customHeight="1" x14ac:dyDescent="0.2">
      <c r="A20" s="208">
        <v>7</v>
      </c>
      <c r="B20" s="761" t="s">
        <v>139</v>
      </c>
      <c r="C20" s="761"/>
      <c r="D20" s="761"/>
      <c r="E20" s="192" t="s">
        <v>133</v>
      </c>
      <c r="F20" s="762"/>
      <c r="G20" s="763"/>
    </row>
    <row r="21" spans="1:11" s="1" customFormat="1" ht="35.25" customHeight="1" x14ac:dyDescent="0.2">
      <c r="A21" s="208">
        <v>8</v>
      </c>
      <c r="B21" s="761" t="s">
        <v>140</v>
      </c>
      <c r="C21" s="761"/>
      <c r="D21" s="761"/>
      <c r="E21" s="192" t="s">
        <v>133</v>
      </c>
      <c r="F21" s="762"/>
      <c r="G21" s="763"/>
    </row>
    <row r="22" spans="1:11" s="1" customFormat="1" ht="35.25" customHeight="1" x14ac:dyDescent="0.2">
      <c r="A22" s="208">
        <v>9</v>
      </c>
      <c r="B22" s="761" t="s">
        <v>141</v>
      </c>
      <c r="C22" s="761"/>
      <c r="D22" s="761"/>
      <c r="E22" s="192" t="s">
        <v>133</v>
      </c>
      <c r="F22" s="762"/>
      <c r="G22" s="763"/>
    </row>
    <row r="23" spans="1:11" s="1" customFormat="1" ht="35.25" customHeight="1" x14ac:dyDescent="0.2">
      <c r="A23" s="208">
        <v>10</v>
      </c>
      <c r="B23" s="761" t="s">
        <v>142</v>
      </c>
      <c r="C23" s="761"/>
      <c r="D23" s="761"/>
      <c r="E23" s="192" t="s">
        <v>133</v>
      </c>
      <c r="F23" s="762"/>
      <c r="G23" s="763"/>
    </row>
    <row r="24" spans="1:11" s="1" customFormat="1" ht="35.25" customHeight="1" x14ac:dyDescent="0.2">
      <c r="A24" s="208">
        <v>11</v>
      </c>
      <c r="B24" s="761" t="s">
        <v>143</v>
      </c>
      <c r="C24" s="761"/>
      <c r="D24" s="761"/>
      <c r="E24" s="192" t="s">
        <v>133</v>
      </c>
      <c r="F24" s="762"/>
      <c r="G24" s="763"/>
    </row>
    <row r="25" spans="1:11" s="194" customFormat="1" ht="35.25" customHeight="1" x14ac:dyDescent="0.2">
      <c r="A25" s="209">
        <v>12</v>
      </c>
      <c r="B25" s="761" t="s">
        <v>144</v>
      </c>
      <c r="C25" s="761"/>
      <c r="D25" s="761"/>
      <c r="E25" s="193" t="s">
        <v>133</v>
      </c>
      <c r="F25" s="762"/>
      <c r="G25" s="763"/>
    </row>
    <row r="26" spans="1:11" s="1" customFormat="1" ht="35.25" customHeight="1" x14ac:dyDescent="0.2">
      <c r="A26" s="208">
        <v>13</v>
      </c>
      <c r="B26" s="761" t="s">
        <v>145</v>
      </c>
      <c r="C26" s="761"/>
      <c r="D26" s="761"/>
      <c r="E26" s="192" t="s">
        <v>133</v>
      </c>
      <c r="F26" s="762"/>
      <c r="G26" s="763"/>
    </row>
    <row r="27" spans="1:11" s="1" customFormat="1" ht="35.25" customHeight="1" x14ac:dyDescent="0.2">
      <c r="A27" s="208">
        <v>14</v>
      </c>
      <c r="B27" s="761" t="s">
        <v>146</v>
      </c>
      <c r="C27" s="761"/>
      <c r="D27" s="761"/>
      <c r="E27" s="192" t="s">
        <v>133</v>
      </c>
      <c r="F27" s="762"/>
      <c r="G27" s="763"/>
    </row>
    <row r="28" spans="1:11" s="1" customFormat="1" ht="54.75" customHeight="1" thickBot="1" x14ac:dyDescent="0.25">
      <c r="A28" s="210">
        <v>15</v>
      </c>
      <c r="B28" s="764" t="s">
        <v>147</v>
      </c>
      <c r="C28" s="764"/>
      <c r="D28" s="764"/>
      <c r="E28" s="212" t="s">
        <v>133</v>
      </c>
      <c r="F28" s="765"/>
      <c r="G28" s="766"/>
    </row>
    <row r="29" spans="1:11" s="198" customFormat="1" ht="21" customHeight="1" thickBot="1" x14ac:dyDescent="0.25">
      <c r="B29" s="195"/>
      <c r="C29" s="196"/>
      <c r="D29" s="196"/>
      <c r="E29" s="195"/>
      <c r="F29" s="196"/>
      <c r="G29" s="196"/>
      <c r="H29" s="197"/>
      <c r="I29" s="197"/>
    </row>
    <row r="30" spans="1:11" s="219" customFormat="1" ht="15" customHeight="1" x14ac:dyDescent="0.2">
      <c r="A30" s="767" t="s">
        <v>148</v>
      </c>
      <c r="B30" s="768"/>
      <c r="C30" s="768"/>
      <c r="D30" s="768"/>
      <c r="E30" s="768"/>
      <c r="F30" s="768"/>
      <c r="G30" s="769"/>
      <c r="H30" s="222"/>
      <c r="I30" s="223"/>
      <c r="J30" s="223"/>
      <c r="K30" s="223"/>
    </row>
    <row r="31" spans="1:11" s="219" customFormat="1" ht="15" customHeight="1" x14ac:dyDescent="0.2">
      <c r="A31" s="220" t="s">
        <v>128</v>
      </c>
      <c r="B31" s="759" t="s">
        <v>129</v>
      </c>
      <c r="C31" s="759"/>
      <c r="D31" s="759"/>
      <c r="E31" s="221" t="s">
        <v>130</v>
      </c>
      <c r="F31" s="759" t="s">
        <v>131</v>
      </c>
      <c r="G31" s="760"/>
      <c r="H31" s="224"/>
      <c r="I31" s="225"/>
      <c r="J31" s="225"/>
      <c r="K31" s="225"/>
    </row>
    <row r="32" spans="1:11" s="1" customFormat="1" ht="55.5" customHeight="1" x14ac:dyDescent="0.2">
      <c r="A32" s="216">
        <v>1</v>
      </c>
      <c r="B32" s="754" t="s">
        <v>149</v>
      </c>
      <c r="C32" s="754"/>
      <c r="D32" s="754"/>
      <c r="E32" s="199" t="s">
        <v>150</v>
      </c>
      <c r="F32" s="755"/>
      <c r="G32" s="756"/>
      <c r="H32" s="226"/>
      <c r="I32" s="206"/>
      <c r="J32" s="206"/>
      <c r="K32" s="206"/>
    </row>
    <row r="33" spans="1:8" s="1" customFormat="1" ht="25.5" customHeight="1" x14ac:dyDescent="0.2">
      <c r="A33" s="216">
        <v>2</v>
      </c>
      <c r="B33" s="754" t="s">
        <v>151</v>
      </c>
      <c r="C33" s="754"/>
      <c r="D33" s="754"/>
      <c r="E33" s="199" t="s">
        <v>150</v>
      </c>
      <c r="F33" s="755"/>
      <c r="G33" s="756"/>
    </row>
    <row r="34" spans="1:8" s="1" customFormat="1" ht="25.5" customHeight="1" x14ac:dyDescent="0.2">
      <c r="A34" s="216">
        <v>3</v>
      </c>
      <c r="B34" s="754" t="s">
        <v>152</v>
      </c>
      <c r="C34" s="754"/>
      <c r="D34" s="754"/>
      <c r="E34" s="199" t="s">
        <v>150</v>
      </c>
      <c r="F34" s="755"/>
      <c r="G34" s="756"/>
    </row>
    <row r="35" spans="1:8" s="1" customFormat="1" ht="25.5" customHeight="1" x14ac:dyDescent="0.2">
      <c r="A35" s="216">
        <v>4</v>
      </c>
      <c r="B35" s="754" t="s">
        <v>153</v>
      </c>
      <c r="C35" s="754"/>
      <c r="D35" s="754"/>
      <c r="E35" s="199" t="s">
        <v>154</v>
      </c>
      <c r="F35" s="755"/>
      <c r="G35" s="756"/>
    </row>
    <row r="36" spans="1:8" s="1" customFormat="1" ht="25.5" customHeight="1" x14ac:dyDescent="0.2">
      <c r="A36" s="216">
        <v>5</v>
      </c>
      <c r="B36" s="754" t="s">
        <v>155</v>
      </c>
      <c r="C36" s="754"/>
      <c r="D36" s="754"/>
      <c r="E36" s="199" t="s">
        <v>154</v>
      </c>
      <c r="F36" s="757"/>
      <c r="G36" s="758"/>
    </row>
    <row r="37" spans="1:8" s="1" customFormat="1" ht="25.5" customHeight="1" thickBot="1" x14ac:dyDescent="0.25">
      <c r="A37" s="217">
        <v>6</v>
      </c>
      <c r="B37" s="748" t="s">
        <v>156</v>
      </c>
      <c r="C37" s="748"/>
      <c r="D37" s="748"/>
      <c r="E37" s="218" t="s">
        <v>154</v>
      </c>
      <c r="F37" s="749"/>
      <c r="G37" s="750"/>
    </row>
    <row r="38" spans="1:8" ht="15.75" thickBot="1" x14ac:dyDescent="0.3"/>
    <row r="39" spans="1:8" ht="15.75" thickBot="1" x14ac:dyDescent="0.3">
      <c r="B39" s="751" t="s">
        <v>209</v>
      </c>
      <c r="C39" s="752"/>
      <c r="D39" s="752"/>
      <c r="E39" s="752"/>
      <c r="F39" s="752"/>
      <c r="G39" s="753"/>
    </row>
    <row r="40" spans="1:8" ht="72.75" thickBot="1" x14ac:dyDescent="0.3">
      <c r="B40" s="2" t="s">
        <v>39</v>
      </c>
      <c r="C40" s="11" t="s">
        <v>108</v>
      </c>
      <c r="D40" s="11" t="s">
        <v>109</v>
      </c>
      <c r="E40" s="22" t="s">
        <v>102</v>
      </c>
      <c r="F40" s="22" t="s">
        <v>103</v>
      </c>
      <c r="G40" s="22" t="s">
        <v>38</v>
      </c>
    </row>
    <row r="41" spans="1:8" ht="15.75" thickBot="1" x14ac:dyDescent="0.3">
      <c r="B41" s="54">
        <f>'CARTA DE CONTROL'!R124</f>
        <v>0</v>
      </c>
      <c r="C41" s="4">
        <f>'CARTA DE CONTROL'!AR124</f>
        <v>0.56999999999999995</v>
      </c>
      <c r="D41" s="4">
        <f>'CARTA DE CONTROL'!AS124</f>
        <v>-0.56999999999999995</v>
      </c>
      <c r="E41" s="6">
        <f>'CARTA DE CONTROL'!I124</f>
        <v>3</v>
      </c>
      <c r="F41" s="7">
        <f>-('CARTA DE CONTROL'!I124)</f>
        <v>-3</v>
      </c>
      <c r="G41" s="5" t="str">
        <f>IF(C41&lt;=2,IF(D41&gt;=-2,"PASS","NO PASS"))</f>
        <v>PASS</v>
      </c>
    </row>
    <row r="42" spans="1:8" ht="15.75" thickBot="1" x14ac:dyDescent="0.3">
      <c r="B42" s="54">
        <f>'CARTA DE CONTROL'!R125</f>
        <v>30</v>
      </c>
      <c r="C42" s="4">
        <f>'CARTA DE CONTROL'!AR125</f>
        <v>1.8999999999999997</v>
      </c>
      <c r="D42" s="4">
        <f>'CARTA DE CONTROL'!AS125</f>
        <v>-1.8999999999999997</v>
      </c>
      <c r="E42" s="6">
        <f>'CARTA DE CONTROL'!I125</f>
        <v>3</v>
      </c>
      <c r="F42" s="7">
        <f>-('CARTA DE CONTROL'!I125)</f>
        <v>-3</v>
      </c>
      <c r="G42" s="5" t="str">
        <f t="shared" ref="G42:G45" si="0">IF(C42&lt;=2,IF(D42&gt;=-2,"PASS","NO PASS"))</f>
        <v>PASS</v>
      </c>
    </row>
    <row r="43" spans="1:8" ht="15.75" thickBot="1" x14ac:dyDescent="0.3">
      <c r="B43" s="54">
        <f>'CARTA DE CONTROL'!R126</f>
        <v>40</v>
      </c>
      <c r="C43" s="4">
        <f>'CARTA DE CONTROL'!AR126</f>
        <v>1.4499999999999997</v>
      </c>
      <c r="D43" s="4">
        <f>'CARTA DE CONTROL'!AS126</f>
        <v>-1.4499999999999997</v>
      </c>
      <c r="E43" s="6">
        <f>'CARTA DE CONTROL'!I126</f>
        <v>3</v>
      </c>
      <c r="F43" s="7">
        <f>-('CARTA DE CONTROL'!I126)</f>
        <v>-3</v>
      </c>
      <c r="G43" s="5" t="str">
        <f t="shared" si="0"/>
        <v>PASS</v>
      </c>
    </row>
    <row r="44" spans="1:8" ht="15.75" thickBot="1" x14ac:dyDescent="0.3">
      <c r="B44" s="54">
        <f>'CARTA DE CONTROL'!R127</f>
        <v>60</v>
      </c>
      <c r="C44" s="4">
        <f>'CARTA DE CONTROL'!AR127</f>
        <v>0.98333333333333328</v>
      </c>
      <c r="D44" s="4">
        <f>'CARTA DE CONTROL'!AS127</f>
        <v>-0.98333333333333328</v>
      </c>
      <c r="E44" s="6">
        <f>'CARTA DE CONTROL'!I127</f>
        <v>3</v>
      </c>
      <c r="F44" s="7">
        <f>-('CARTA DE CONTROL'!I127)</f>
        <v>-3</v>
      </c>
      <c r="G44" s="5" t="str">
        <f t="shared" si="0"/>
        <v>PASS</v>
      </c>
    </row>
    <row r="45" spans="1:8" ht="15.75" thickBot="1" x14ac:dyDescent="0.3">
      <c r="B45" s="54">
        <f>'CARTA DE CONTROL'!R128</f>
        <v>100</v>
      </c>
      <c r="C45" s="4">
        <f>'CARTA DE CONTROL'!AR128</f>
        <v>0.63</v>
      </c>
      <c r="D45" s="4">
        <f>'CARTA DE CONTROL'!AS128</f>
        <v>-0.63</v>
      </c>
      <c r="E45" s="6">
        <f>'CARTA DE CONTROL'!I128</f>
        <v>3</v>
      </c>
      <c r="F45" s="7">
        <f>-('CARTA DE CONTROL'!I128)</f>
        <v>-3</v>
      </c>
      <c r="G45" s="5" t="str">
        <f t="shared" si="0"/>
        <v>PASS</v>
      </c>
    </row>
    <row r="46" spans="1:8" x14ac:dyDescent="0.25">
      <c r="A46" s="1"/>
      <c r="B46" s="1"/>
      <c r="C46" s="1"/>
      <c r="D46" s="1"/>
      <c r="E46" s="1"/>
      <c r="F46" s="1"/>
      <c r="G46" s="1"/>
      <c r="H46" s="1"/>
    </row>
    <row r="47" spans="1:8" x14ac:dyDescent="0.25">
      <c r="A47" s="1"/>
      <c r="B47" s="1"/>
      <c r="C47" s="1"/>
      <c r="D47" s="1"/>
      <c r="E47" s="1"/>
      <c r="F47" s="1"/>
      <c r="G47" s="1"/>
      <c r="H47" s="1"/>
    </row>
    <row r="48" spans="1:8" x14ac:dyDescent="0.25">
      <c r="A48" s="1"/>
      <c r="B48" s="1"/>
      <c r="C48" s="1"/>
      <c r="D48" s="1"/>
      <c r="E48" s="1"/>
      <c r="F48" s="1"/>
      <c r="G48" s="1"/>
      <c r="H48" s="1"/>
    </row>
    <row r="49" spans="1:8" x14ac:dyDescent="0.25">
      <c r="A49" s="1"/>
      <c r="B49" s="1"/>
      <c r="C49" s="1"/>
      <c r="D49" s="1"/>
      <c r="E49" s="1"/>
      <c r="F49" s="1"/>
      <c r="G49" s="1"/>
      <c r="H49" s="1"/>
    </row>
    <row r="50" spans="1:8" x14ac:dyDescent="0.25">
      <c r="A50" s="1"/>
      <c r="B50" s="1"/>
      <c r="C50" s="1"/>
      <c r="D50" s="1"/>
      <c r="E50" s="1"/>
      <c r="F50" s="1"/>
      <c r="G50" s="1"/>
      <c r="H50" s="1"/>
    </row>
    <row r="51" spans="1:8" x14ac:dyDescent="0.25">
      <c r="A51" s="1"/>
      <c r="B51" s="1"/>
      <c r="C51" s="1"/>
      <c r="D51" s="1"/>
      <c r="E51" s="1"/>
      <c r="F51" s="1"/>
      <c r="G51" s="1"/>
      <c r="H51" s="1"/>
    </row>
    <row r="64" spans="1:8" ht="15.75" thickBot="1" x14ac:dyDescent="0.3"/>
    <row r="65" spans="2:5" ht="15.75" thickBot="1" x14ac:dyDescent="0.3">
      <c r="B65" s="751" t="s">
        <v>210</v>
      </c>
      <c r="C65" s="752"/>
      <c r="D65" s="752"/>
      <c r="E65" s="753"/>
    </row>
    <row r="66" spans="2:5" ht="34.5" thickBot="1" x14ac:dyDescent="0.3">
      <c r="B66" s="2" t="s">
        <v>39</v>
      </c>
      <c r="C66" s="10" t="s">
        <v>110</v>
      </c>
      <c r="D66" s="2" t="s">
        <v>91</v>
      </c>
      <c r="E66" s="21" t="s">
        <v>90</v>
      </c>
    </row>
    <row r="67" spans="2:5" ht="15.75" thickBot="1" x14ac:dyDescent="0.3">
      <c r="B67" s="3">
        <f>'CARTA DE CONTROL'!R124</f>
        <v>0</v>
      </c>
      <c r="C67" s="4">
        <f>'CARTA DE CONTROL'!AM124</f>
        <v>0</v>
      </c>
      <c r="D67" s="6">
        <f>'CARTA DE CONTROL'!K124</f>
        <v>3</v>
      </c>
      <c r="E67" s="5" t="str">
        <f>IF(C67&lt;=3,IF(C67&gt;=-3,"PASS","NO PASS"))</f>
        <v>PASS</v>
      </c>
    </row>
    <row r="68" spans="2:5" ht="15.75" thickBot="1" x14ac:dyDescent="0.3">
      <c r="B68" s="3">
        <f>'CARTA DE CONTROL'!R125</f>
        <v>30</v>
      </c>
      <c r="C68" s="4">
        <f>'CARTA DE CONTROL'!AM125</f>
        <v>0</v>
      </c>
      <c r="D68" s="6">
        <f>'CARTA DE CONTROL'!K125</f>
        <v>3</v>
      </c>
      <c r="E68" s="5" t="str">
        <f t="shared" ref="E68:E71" si="1">IF(C68&lt;=3,IF(C68&gt;=-3,"PASS","NO PASS"))</f>
        <v>PASS</v>
      </c>
    </row>
    <row r="69" spans="2:5" ht="15.75" thickBot="1" x14ac:dyDescent="0.3">
      <c r="B69" s="3">
        <f>'CARTA DE CONTROL'!R126</f>
        <v>40</v>
      </c>
      <c r="C69" s="4">
        <f>'CARTA DE CONTROL'!AM126</f>
        <v>0</v>
      </c>
      <c r="D69" s="6">
        <f>'CARTA DE CONTROL'!K126</f>
        <v>3</v>
      </c>
      <c r="E69" s="5" t="str">
        <f t="shared" si="1"/>
        <v>PASS</v>
      </c>
    </row>
    <row r="70" spans="2:5" ht="15.75" thickBot="1" x14ac:dyDescent="0.3">
      <c r="B70" s="3">
        <f>'CARTA DE CONTROL'!R127</f>
        <v>60</v>
      </c>
      <c r="C70" s="4">
        <f>'CARTA DE CONTROL'!AM127</f>
        <v>0</v>
      </c>
      <c r="D70" s="6">
        <f>'CARTA DE CONTROL'!K127</f>
        <v>3</v>
      </c>
      <c r="E70" s="5" t="str">
        <f t="shared" si="1"/>
        <v>PASS</v>
      </c>
    </row>
    <row r="71" spans="2:5" ht="15.75" thickBot="1" x14ac:dyDescent="0.3">
      <c r="B71" s="3">
        <f>'CARTA DE CONTROL'!R128</f>
        <v>100</v>
      </c>
      <c r="C71" s="4">
        <f>'CARTA DE CONTROL'!AM128</f>
        <v>0</v>
      </c>
      <c r="D71" s="6">
        <f>'CARTA DE CONTROL'!K128</f>
        <v>3</v>
      </c>
      <c r="E71" s="5" t="str">
        <f t="shared" si="1"/>
        <v>PASS</v>
      </c>
    </row>
    <row r="85" spans="2:7" ht="15.75" thickBot="1" x14ac:dyDescent="0.3"/>
    <row r="86" spans="2:7" ht="15.75" thickBot="1" x14ac:dyDescent="0.3">
      <c r="B86" s="751" t="s">
        <v>217</v>
      </c>
      <c r="C86" s="752"/>
      <c r="D86" s="752"/>
      <c r="E86" s="752"/>
      <c r="F86" s="752"/>
      <c r="G86" s="753"/>
    </row>
    <row r="87" spans="2:7" ht="72.75" thickBot="1" x14ac:dyDescent="0.3">
      <c r="B87" s="2" t="s">
        <v>39</v>
      </c>
      <c r="C87" s="11" t="s">
        <v>108</v>
      </c>
      <c r="D87" s="11" t="s">
        <v>109</v>
      </c>
      <c r="E87" s="22" t="s">
        <v>102</v>
      </c>
      <c r="F87" s="22" t="s">
        <v>103</v>
      </c>
      <c r="G87" s="22" t="s">
        <v>38</v>
      </c>
    </row>
    <row r="88" spans="2:7" ht="15.75" thickBot="1" x14ac:dyDescent="0.3">
      <c r="B88" s="54">
        <f>'CARTA DE CONTROL'!R129</f>
        <v>100</v>
      </c>
      <c r="C88" s="4">
        <f>'CARTA DE CONTROL'!AR129</f>
        <v>1.6000000000000028</v>
      </c>
      <c r="D88" s="4">
        <f>'CARTA DE CONTROL'!AS129</f>
        <v>-2.1999999999999971</v>
      </c>
      <c r="E88" s="6">
        <f>'CARTA DE CONTROL'!I129</f>
        <v>3</v>
      </c>
      <c r="F88" s="7">
        <f>-('CARTA DE CONTROL'!I129)</f>
        <v>-3</v>
      </c>
      <c r="G88" s="5" t="str">
        <f t="shared" ref="G88:G90" si="2">IF(C88&lt;=3,IF(D88&gt;=-3,"PASS","NO PASS"))</f>
        <v>PASS</v>
      </c>
    </row>
    <row r="89" spans="2:7" ht="15.75" thickBot="1" x14ac:dyDescent="0.3">
      <c r="B89" s="54">
        <f>'CARTA DE CONTROL'!R130</f>
        <v>300</v>
      </c>
      <c r="C89" s="4">
        <f>'CARTA DE CONTROL'!AR130</f>
        <v>0.36666666666666647</v>
      </c>
      <c r="D89" s="4">
        <f>'CARTA DE CONTROL'!AS130</f>
        <v>-1.6999999999999997</v>
      </c>
      <c r="E89" s="6">
        <f>'CARTA DE CONTROL'!I130</f>
        <v>3</v>
      </c>
      <c r="F89" s="7">
        <f>-('CARTA DE CONTROL'!I130)</f>
        <v>-3</v>
      </c>
      <c r="G89" s="5" t="str">
        <f t="shared" si="2"/>
        <v>PASS</v>
      </c>
    </row>
    <row r="90" spans="2:7" ht="15.75" thickBot="1" x14ac:dyDescent="0.3">
      <c r="B90" s="54">
        <f>'CARTA DE CONTROL'!R131</f>
        <v>500</v>
      </c>
      <c r="C90" s="4">
        <f>'CARTA DE CONTROL'!AR131</f>
        <v>0.68000000000001126</v>
      </c>
      <c r="D90" s="4">
        <f>'CARTA DE CONTROL'!AS131</f>
        <v>-1.5199999999999976</v>
      </c>
      <c r="E90" s="6">
        <f>'CARTA DE CONTROL'!I131</f>
        <v>3</v>
      </c>
      <c r="F90" s="7">
        <f>-('CARTA DE CONTROL'!I131)</f>
        <v>-3</v>
      </c>
      <c r="G90" s="5" t="str">
        <f t="shared" si="2"/>
        <v>PASS</v>
      </c>
    </row>
    <row r="91" spans="2:7" ht="15.75" thickBot="1" x14ac:dyDescent="0.3">
      <c r="B91" s="54">
        <f>'CARTA DE CONTROL'!R132</f>
        <v>1000</v>
      </c>
      <c r="C91" s="4">
        <f>'CARTA DE CONTROL'!AR132</f>
        <v>2.2999999999999998</v>
      </c>
      <c r="D91" s="4">
        <f>'CARTA DE CONTROL'!AS132</f>
        <v>-1.2</v>
      </c>
      <c r="E91" s="6">
        <f>'CARTA DE CONTROL'!I132</f>
        <v>3</v>
      </c>
      <c r="F91" s="7">
        <f>-('CARTA DE CONTROL'!I132)</f>
        <v>-3</v>
      </c>
      <c r="G91" s="5" t="str">
        <f>IF(C91&lt;=3,IF(D91&gt;=-3,"PASS","NO PASS"))</f>
        <v>PASS</v>
      </c>
    </row>
    <row r="92" spans="2:7" ht="15.75" thickBot="1" x14ac:dyDescent="0.3">
      <c r="B92" s="54">
        <f>'CARTA DE CONTROL'!R133</f>
        <v>1200</v>
      </c>
      <c r="C92" s="4">
        <f>'CARTA DE CONTROL'!AR133</f>
        <v>1.25</v>
      </c>
      <c r="D92" s="4">
        <f>'CARTA DE CONTROL'!AS133</f>
        <v>-1.25</v>
      </c>
      <c r="E92" s="6">
        <f>'CARTA DE CONTROL'!I133</f>
        <v>3</v>
      </c>
      <c r="F92" s="7">
        <f>-('CARTA DE CONTROL'!I133)</f>
        <v>-3</v>
      </c>
      <c r="G92" s="5" t="str">
        <f>IF(C92&lt;=3,IF(D92&gt;=-3,"PASS","NO PASS"))</f>
        <v>PASS</v>
      </c>
    </row>
    <row r="93" spans="2:7" ht="15.75" thickBot="1" x14ac:dyDescent="0.3">
      <c r="B93" s="54">
        <f>'CARTA DE CONTROL'!R134</f>
        <v>2400</v>
      </c>
      <c r="C93" s="4">
        <f>'CARTA DE CONTROL'!AR134</f>
        <v>1.1666666666666665</v>
      </c>
      <c r="D93" s="4">
        <f>'CARTA DE CONTROL'!AS134</f>
        <v>-1.25</v>
      </c>
      <c r="E93" s="6">
        <f>'CARTA DE CONTROL'!I134</f>
        <v>3</v>
      </c>
      <c r="F93" s="7">
        <f>-('CARTA DE CONTROL'!I134)</f>
        <v>-3</v>
      </c>
      <c r="G93" s="5" t="str">
        <f t="shared" ref="G93:G96" si="3">IF(C93&lt;=3,IF(D93&gt;=-3,"PASS","NO PASS"))</f>
        <v>PASS</v>
      </c>
    </row>
    <row r="94" spans="2:7" ht="15.75" thickBot="1" x14ac:dyDescent="0.3">
      <c r="B94" s="54">
        <f>'CARTA DE CONTROL'!R135</f>
        <v>3600</v>
      </c>
      <c r="C94" s="4">
        <f>'CARTA DE CONTROL'!AR135</f>
        <v>1.2222222222222223</v>
      </c>
      <c r="D94" s="4">
        <f>'CARTA DE CONTROL'!AS135</f>
        <v>-1.2222222222222223</v>
      </c>
      <c r="E94" s="6">
        <f>'CARTA DE CONTROL'!I135</f>
        <v>3</v>
      </c>
      <c r="F94" s="7">
        <f>-('CARTA DE CONTROL'!I135)</f>
        <v>-3</v>
      </c>
      <c r="G94" s="5" t="str">
        <f t="shared" si="3"/>
        <v>PASS</v>
      </c>
    </row>
    <row r="95" spans="2:7" ht="15.75" thickBot="1" x14ac:dyDescent="0.3">
      <c r="B95" s="54">
        <f>'CARTA DE CONTROL'!R136</f>
        <v>4800</v>
      </c>
      <c r="C95" s="4">
        <f>'CARTA DE CONTROL'!AR136</f>
        <v>1.3541666666666667</v>
      </c>
      <c r="D95" s="4">
        <f>'CARTA DE CONTROL'!AS136</f>
        <v>-1.3958333333333333</v>
      </c>
      <c r="E95" s="6">
        <f>'CARTA DE CONTROL'!I136</f>
        <v>3</v>
      </c>
      <c r="F95" s="7">
        <f>-('CARTA DE CONTROL'!I136)</f>
        <v>-3</v>
      </c>
      <c r="G95" s="5" t="str">
        <f t="shared" si="3"/>
        <v>PASS</v>
      </c>
    </row>
    <row r="96" spans="2:7" ht="15.75" thickBot="1" x14ac:dyDescent="0.3">
      <c r="B96" s="54">
        <f>'CARTA DE CONTROL'!R137</f>
        <v>6000</v>
      </c>
      <c r="C96" s="4">
        <f>'CARTA DE CONTROL'!AR137</f>
        <v>1.4000000000000001</v>
      </c>
      <c r="D96" s="4">
        <f>'CARTA DE CONTROL'!AS137</f>
        <v>-1.3333333333333333</v>
      </c>
      <c r="E96" s="6">
        <f>'CARTA DE CONTROL'!I137</f>
        <v>3</v>
      </c>
      <c r="F96" s="7">
        <f>-('CARTA DE CONTROL'!I137)</f>
        <v>-3</v>
      </c>
      <c r="G96" s="5" t="str">
        <f t="shared" si="3"/>
        <v>PASS</v>
      </c>
    </row>
    <row r="97" spans="1:8" x14ac:dyDescent="0.25">
      <c r="A97" s="1"/>
      <c r="B97" s="1"/>
      <c r="C97" s="1"/>
      <c r="D97" s="1"/>
      <c r="E97" s="1"/>
      <c r="F97" s="1"/>
      <c r="G97" s="1"/>
      <c r="H97" s="1"/>
    </row>
    <row r="98" spans="1:8" x14ac:dyDescent="0.25">
      <c r="A98" s="1"/>
      <c r="B98" s="1"/>
      <c r="C98" s="1"/>
      <c r="D98" s="1"/>
      <c r="E98" s="1"/>
      <c r="F98" s="1"/>
      <c r="G98" s="1"/>
      <c r="H98" s="1"/>
    </row>
    <row r="99" spans="1:8" x14ac:dyDescent="0.25">
      <c r="A99" s="1"/>
      <c r="B99" s="1"/>
      <c r="C99" s="1"/>
      <c r="D99" s="1"/>
      <c r="E99" s="1"/>
      <c r="F99" s="1"/>
      <c r="G99" s="1"/>
      <c r="H99" s="1"/>
    </row>
    <row r="100" spans="1:8" x14ac:dyDescent="0.25">
      <c r="A100" s="1"/>
      <c r="B100" s="1"/>
      <c r="C100" s="1"/>
      <c r="D100" s="1"/>
      <c r="E100" s="1"/>
      <c r="F100" s="1"/>
      <c r="G100" s="1"/>
      <c r="H100" s="1"/>
    </row>
    <row r="101" spans="1:8" x14ac:dyDescent="0.25">
      <c r="A101" s="1"/>
      <c r="B101" s="1"/>
      <c r="C101" s="1"/>
      <c r="D101" s="1"/>
      <c r="E101" s="1"/>
      <c r="F101" s="1"/>
      <c r="G101" s="1"/>
      <c r="H101" s="1"/>
    </row>
    <row r="102" spans="1:8" x14ac:dyDescent="0.25">
      <c r="A102" s="1"/>
      <c r="B102" s="1"/>
      <c r="C102" s="1"/>
      <c r="D102" s="1"/>
      <c r="E102" s="1"/>
      <c r="F102" s="1"/>
      <c r="G102" s="1"/>
      <c r="H102" s="1"/>
    </row>
    <row r="115" spans="2:5" ht="15.75" thickBot="1" x14ac:dyDescent="0.3"/>
    <row r="116" spans="2:5" ht="15.75" thickBot="1" x14ac:dyDescent="0.3">
      <c r="B116" s="751" t="s">
        <v>210</v>
      </c>
      <c r="C116" s="752"/>
      <c r="D116" s="752"/>
      <c r="E116" s="753"/>
    </row>
    <row r="117" spans="2:5" ht="34.5" thickBot="1" x14ac:dyDescent="0.3">
      <c r="B117" s="2" t="s">
        <v>39</v>
      </c>
      <c r="C117" s="10" t="s">
        <v>110</v>
      </c>
      <c r="D117" s="2" t="s">
        <v>91</v>
      </c>
      <c r="E117" s="21" t="s">
        <v>90</v>
      </c>
    </row>
    <row r="118" spans="2:5" ht="15.75" thickBot="1" x14ac:dyDescent="0.3">
      <c r="B118" s="3">
        <f>'CARTA DE CONTROL'!R129</f>
        <v>100</v>
      </c>
      <c r="C118" s="4">
        <f>'CARTA DE CONTROL'!AM129</f>
        <v>0.57999999999999996</v>
      </c>
      <c r="D118" s="6">
        <f>'CARTA DE CONTROL'!K129</f>
        <v>3</v>
      </c>
      <c r="E118" s="5" t="str">
        <f t="shared" ref="E118:E121" si="4">IF(C118&lt;=3,IF(C118&gt;=-3,"PASS","NO PASS"))</f>
        <v>PASS</v>
      </c>
    </row>
    <row r="119" spans="2:5" ht="15.75" thickBot="1" x14ac:dyDescent="0.3">
      <c r="B119" s="3">
        <f>'CARTA DE CONTROL'!R130</f>
        <v>300</v>
      </c>
      <c r="C119" s="4">
        <f>'CARTA DE CONTROL'!AM130</f>
        <v>0.33333333333333331</v>
      </c>
      <c r="D119" s="6">
        <f>'CARTA DE CONTROL'!K130</f>
        <v>3</v>
      </c>
      <c r="E119" s="5" t="str">
        <f t="shared" si="4"/>
        <v>PASS</v>
      </c>
    </row>
    <row r="120" spans="2:5" ht="15.75" thickBot="1" x14ac:dyDescent="0.3">
      <c r="B120" s="3">
        <f>'CARTA DE CONTROL'!R131</f>
        <v>500</v>
      </c>
      <c r="C120" s="4">
        <f>'CARTA DE CONTROL'!AM131</f>
        <v>0.11599999999999999</v>
      </c>
      <c r="D120" s="6">
        <f>'CARTA DE CONTROL'!K131</f>
        <v>3</v>
      </c>
      <c r="E120" s="5" t="str">
        <f t="shared" si="4"/>
        <v>PASS</v>
      </c>
    </row>
    <row r="121" spans="2:5" ht="15.75" thickBot="1" x14ac:dyDescent="0.3">
      <c r="B121" s="3">
        <f>'CARTA DE CONTROL'!R132</f>
        <v>1000</v>
      </c>
      <c r="C121" s="4">
        <f>'CARTA DE CONTROL'!AM132</f>
        <v>0.1</v>
      </c>
      <c r="D121" s="6">
        <f>'CARTA DE CONTROL'!K132</f>
        <v>3</v>
      </c>
      <c r="E121" s="5" t="str">
        <f t="shared" si="4"/>
        <v>PASS</v>
      </c>
    </row>
    <row r="122" spans="2:5" ht="15.75" thickBot="1" x14ac:dyDescent="0.3">
      <c r="B122" s="3">
        <f>'CARTA DE CONTROL'!R133</f>
        <v>1200</v>
      </c>
      <c r="C122" s="4">
        <f>'CARTA DE CONTROL'!AM133</f>
        <v>8.3333333333333329E-2</v>
      </c>
      <c r="D122" s="6">
        <f>'CARTA DE CONTROL'!K133</f>
        <v>3</v>
      </c>
      <c r="E122" s="5" t="str">
        <f>IF(C122&lt;=3,IF(C122&gt;=-3,"PASS","NO PASS"))</f>
        <v>PASS</v>
      </c>
    </row>
    <row r="123" spans="2:5" ht="15.75" thickBot="1" x14ac:dyDescent="0.3">
      <c r="B123" s="3">
        <f>'CARTA DE CONTROL'!R134</f>
        <v>2400</v>
      </c>
      <c r="C123" s="4">
        <f>'CARTA DE CONTROL'!AM134</f>
        <v>2.4166666666666663E-2</v>
      </c>
      <c r="D123" s="6">
        <f>'CARTA DE CONTROL'!K134</f>
        <v>3</v>
      </c>
      <c r="E123" s="5" t="str">
        <f t="shared" ref="E123:E126" si="5">IF(C123&lt;=3,IF(C123&gt;=-3,"PASS","NO PASS"))</f>
        <v>PASS</v>
      </c>
    </row>
    <row r="124" spans="2:5" ht="15.75" thickBot="1" x14ac:dyDescent="0.3">
      <c r="B124" s="3">
        <f>'CARTA DE CONTROL'!R135</f>
        <v>3600</v>
      </c>
      <c r="C124" s="4">
        <f>'CARTA DE CONTROL'!AM135</f>
        <v>3.1944444444444442E-2</v>
      </c>
      <c r="D124" s="6">
        <f>'CARTA DE CONTROL'!K135</f>
        <v>3</v>
      </c>
      <c r="E124" s="5" t="str">
        <f t="shared" si="5"/>
        <v>PASS</v>
      </c>
    </row>
    <row r="125" spans="2:5" ht="15.75" thickBot="1" x14ac:dyDescent="0.3">
      <c r="B125" s="3">
        <f>'CARTA DE CONTROL'!R136</f>
        <v>4800</v>
      </c>
      <c r="C125" s="4">
        <f>'CARTA DE CONTROL'!AM136</f>
        <v>1.2083333333333331E-2</v>
      </c>
      <c r="D125" s="6">
        <f>'CARTA DE CONTROL'!K136</f>
        <v>3</v>
      </c>
      <c r="E125" s="5" t="str">
        <f t="shared" si="5"/>
        <v>PASS</v>
      </c>
    </row>
    <row r="126" spans="2:5" ht="15.75" thickBot="1" x14ac:dyDescent="0.3">
      <c r="B126" s="3">
        <f>'CARTA DE CONTROL'!R137</f>
        <v>6000</v>
      </c>
      <c r="C126" s="4">
        <f>'CARTA DE CONTROL'!AM137</f>
        <v>9.6666666666666654E-3</v>
      </c>
      <c r="D126" s="6">
        <f>'CARTA DE CONTROL'!K137</f>
        <v>3</v>
      </c>
      <c r="E126" s="5" t="str">
        <f t="shared" si="5"/>
        <v>PASS</v>
      </c>
    </row>
    <row r="141" spans="2:7" ht="15.75" thickBot="1" x14ac:dyDescent="0.3"/>
    <row r="142" spans="2:7" ht="15.75" thickBot="1" x14ac:dyDescent="0.3">
      <c r="B142" s="751" t="s">
        <v>211</v>
      </c>
      <c r="C142" s="752"/>
      <c r="D142" s="752"/>
      <c r="E142" s="752"/>
      <c r="F142" s="752"/>
      <c r="G142" s="753"/>
    </row>
    <row r="143" spans="2:7" ht="72.75" thickBot="1" x14ac:dyDescent="0.3">
      <c r="B143" s="2" t="s">
        <v>39</v>
      </c>
      <c r="C143" s="11" t="s">
        <v>108</v>
      </c>
      <c r="D143" s="11" t="s">
        <v>109</v>
      </c>
      <c r="E143" s="22" t="s">
        <v>102</v>
      </c>
      <c r="F143" s="22" t="s">
        <v>103</v>
      </c>
      <c r="G143" s="22" t="s">
        <v>38</v>
      </c>
    </row>
    <row r="144" spans="2:7" ht="15.75" thickBot="1" x14ac:dyDescent="0.3">
      <c r="B144" s="54">
        <f>'CARTA DE CONTROL'!R138</f>
        <v>0</v>
      </c>
      <c r="C144" s="4">
        <f>'CARTA DE CONTROL'!AR138</f>
        <v>0.56999999999999995</v>
      </c>
      <c r="D144" s="4">
        <f>'CARTA DE CONTROL'!AS138</f>
        <v>-0.56999999999999995</v>
      </c>
      <c r="E144" s="6">
        <f>'CARTA DE CONTROL'!I138</f>
        <v>3</v>
      </c>
      <c r="F144" s="7">
        <f>-('CARTA DE CONTROL'!I138)</f>
        <v>-3</v>
      </c>
      <c r="G144" s="5" t="str">
        <f>IF(C144&lt;=2,IF(D144&gt;=-2,"PASS","NO PASS"))</f>
        <v>PASS</v>
      </c>
    </row>
    <row r="145" spans="1:8" ht="15.75" thickBot="1" x14ac:dyDescent="0.3">
      <c r="B145" s="54">
        <f>'CARTA DE CONTROL'!R139</f>
        <v>30</v>
      </c>
      <c r="C145" s="4">
        <f>'CARTA DE CONTROL'!AR139</f>
        <v>1.8999999999999997</v>
      </c>
      <c r="D145" s="4">
        <f>'CARTA DE CONTROL'!AS139</f>
        <v>-1.8999999999999997</v>
      </c>
      <c r="E145" s="6">
        <f>'CARTA DE CONTROL'!I139</f>
        <v>3</v>
      </c>
      <c r="F145" s="7">
        <f>-('CARTA DE CONTROL'!I139)</f>
        <v>-3</v>
      </c>
      <c r="G145" s="5" t="str">
        <f t="shared" ref="G145:G148" si="6">IF(C145&lt;=2,IF(D145&gt;=-2,"PASS","NO PASS"))</f>
        <v>PASS</v>
      </c>
    </row>
    <row r="146" spans="1:8" ht="15.75" thickBot="1" x14ac:dyDescent="0.3">
      <c r="B146" s="54">
        <f>'CARTA DE CONTROL'!R140</f>
        <v>40</v>
      </c>
      <c r="C146" s="4">
        <f>'CARTA DE CONTROL'!AR140</f>
        <v>1.4499999999999997</v>
      </c>
      <c r="D146" s="4">
        <f>'CARTA DE CONTROL'!AS140</f>
        <v>-1.4499999999999997</v>
      </c>
      <c r="E146" s="6">
        <f>'CARTA DE CONTROL'!I140</f>
        <v>3</v>
      </c>
      <c r="F146" s="7">
        <f>-('CARTA DE CONTROL'!I140)</f>
        <v>-3</v>
      </c>
      <c r="G146" s="5" t="str">
        <f t="shared" si="6"/>
        <v>PASS</v>
      </c>
    </row>
    <row r="147" spans="1:8" ht="15.75" thickBot="1" x14ac:dyDescent="0.3">
      <c r="B147" s="54">
        <f>'CARTA DE CONTROL'!R141</f>
        <v>60</v>
      </c>
      <c r="C147" s="4">
        <f>'CARTA DE CONTROL'!AR141</f>
        <v>0.98333333333333328</v>
      </c>
      <c r="D147" s="4">
        <f>'CARTA DE CONTROL'!AS141</f>
        <v>-0.98333333333333328</v>
      </c>
      <c r="E147" s="6">
        <f>'CARTA DE CONTROL'!I141</f>
        <v>3</v>
      </c>
      <c r="F147" s="7">
        <f>-('CARTA DE CONTROL'!I141)</f>
        <v>-3</v>
      </c>
      <c r="G147" s="5" t="str">
        <f t="shared" si="6"/>
        <v>PASS</v>
      </c>
    </row>
    <row r="148" spans="1:8" ht="15.75" thickBot="1" x14ac:dyDescent="0.3">
      <c r="B148" s="54">
        <f>'CARTA DE CONTROL'!R142</f>
        <v>100</v>
      </c>
      <c r="C148" s="4">
        <f>'CARTA DE CONTROL'!AR142</f>
        <v>0.63</v>
      </c>
      <c r="D148" s="4">
        <f>'CARTA DE CONTROL'!AS142</f>
        <v>-0.63</v>
      </c>
      <c r="E148" s="6">
        <f>'CARTA DE CONTROL'!I142</f>
        <v>3</v>
      </c>
      <c r="F148" s="7">
        <f>-('CARTA DE CONTROL'!I142)</f>
        <v>-3</v>
      </c>
      <c r="G148" s="5" t="str">
        <f t="shared" si="6"/>
        <v>PASS</v>
      </c>
    </row>
    <row r="149" spans="1:8" x14ac:dyDescent="0.25">
      <c r="A149" s="1"/>
      <c r="B149" s="1"/>
      <c r="C149" s="1"/>
      <c r="D149" s="1"/>
      <c r="E149" s="1"/>
      <c r="F149" s="1"/>
      <c r="G149" s="1"/>
      <c r="H149" s="1"/>
    </row>
    <row r="150" spans="1:8" x14ac:dyDescent="0.25">
      <c r="A150" s="1"/>
      <c r="B150" s="1"/>
      <c r="C150" s="1"/>
      <c r="D150" s="1"/>
      <c r="E150" s="1"/>
      <c r="F150" s="1"/>
      <c r="G150" s="1"/>
      <c r="H150" s="1"/>
    </row>
    <row r="151" spans="1:8" x14ac:dyDescent="0.25">
      <c r="A151" s="1"/>
      <c r="B151" s="1"/>
      <c r="C151" s="1"/>
      <c r="D151" s="1"/>
      <c r="E151" s="1"/>
      <c r="F151" s="1"/>
      <c r="G151" s="1"/>
      <c r="H151" s="1"/>
    </row>
    <row r="152" spans="1:8" x14ac:dyDescent="0.25">
      <c r="A152" s="1"/>
      <c r="B152" s="1"/>
      <c r="C152" s="1"/>
      <c r="D152" s="1"/>
      <c r="E152" s="1"/>
      <c r="F152" s="1"/>
      <c r="G152" s="1"/>
      <c r="H152" s="1"/>
    </row>
    <row r="153" spans="1:8" x14ac:dyDescent="0.25">
      <c r="A153" s="1"/>
      <c r="B153" s="1"/>
      <c r="C153" s="1"/>
      <c r="D153" s="1"/>
      <c r="E153" s="1"/>
      <c r="F153" s="1"/>
      <c r="G153" s="1"/>
      <c r="H153" s="1"/>
    </row>
    <row r="154" spans="1:8" x14ac:dyDescent="0.25">
      <c r="A154" s="1"/>
      <c r="B154" s="1"/>
      <c r="C154" s="1"/>
      <c r="D154" s="1"/>
      <c r="E154" s="1"/>
      <c r="F154" s="1"/>
      <c r="G154" s="1"/>
      <c r="H154" s="1"/>
    </row>
    <row r="167" spans="2:5" ht="15.75" thickBot="1" x14ac:dyDescent="0.3"/>
    <row r="168" spans="2:5" ht="15.75" thickBot="1" x14ac:dyDescent="0.3">
      <c r="B168" s="751" t="s">
        <v>212</v>
      </c>
      <c r="C168" s="752"/>
      <c r="D168" s="752"/>
      <c r="E168" s="753"/>
    </row>
    <row r="169" spans="2:5" ht="34.5" thickBot="1" x14ac:dyDescent="0.3">
      <c r="B169" s="2" t="s">
        <v>39</v>
      </c>
      <c r="C169" s="10" t="s">
        <v>110</v>
      </c>
      <c r="D169" s="2" t="s">
        <v>91</v>
      </c>
      <c r="E169" s="21" t="s">
        <v>90</v>
      </c>
    </row>
    <row r="170" spans="2:5" ht="15.75" thickBot="1" x14ac:dyDescent="0.3">
      <c r="B170" s="3">
        <f>'CARTA DE CONTROL'!R138</f>
        <v>0</v>
      </c>
      <c r="C170" s="4">
        <f>'CARTA DE CONTROL'!AM138</f>
        <v>0</v>
      </c>
      <c r="D170" s="6">
        <f>'CARTA DE CONTROL'!K138</f>
        <v>3</v>
      </c>
      <c r="E170" s="5" t="str">
        <f>IF(C170&lt;=3,IF(C170&gt;=-3,"PASS","NO PASS"))</f>
        <v>PASS</v>
      </c>
    </row>
    <row r="171" spans="2:5" ht="15.75" thickBot="1" x14ac:dyDescent="0.3">
      <c r="B171" s="3">
        <f>'CARTA DE CONTROL'!R139</f>
        <v>30</v>
      </c>
      <c r="C171" s="4">
        <f>'CARTA DE CONTROL'!AM139</f>
        <v>0</v>
      </c>
      <c r="D171" s="6">
        <f>'CARTA DE CONTROL'!K139</f>
        <v>3</v>
      </c>
      <c r="E171" s="5" t="str">
        <f t="shared" ref="E171:E174" si="7">IF(C171&lt;=3,IF(C171&gt;=-3,"PASS","NO PASS"))</f>
        <v>PASS</v>
      </c>
    </row>
    <row r="172" spans="2:5" ht="15.75" thickBot="1" x14ac:dyDescent="0.3">
      <c r="B172" s="3">
        <f>'CARTA DE CONTROL'!R140</f>
        <v>40</v>
      </c>
      <c r="C172" s="4">
        <f>'CARTA DE CONTROL'!AM140</f>
        <v>0</v>
      </c>
      <c r="D172" s="6">
        <f>'CARTA DE CONTROL'!K140</f>
        <v>3</v>
      </c>
      <c r="E172" s="5" t="str">
        <f t="shared" si="7"/>
        <v>PASS</v>
      </c>
    </row>
    <row r="173" spans="2:5" ht="15.75" thickBot="1" x14ac:dyDescent="0.3">
      <c r="B173" s="3">
        <f>'CARTA DE CONTROL'!R141</f>
        <v>60</v>
      </c>
      <c r="C173" s="4">
        <f>'CARTA DE CONTROL'!AM141</f>
        <v>0</v>
      </c>
      <c r="D173" s="6">
        <f>'CARTA DE CONTROL'!K141</f>
        <v>3</v>
      </c>
      <c r="E173" s="5" t="str">
        <f t="shared" si="7"/>
        <v>PASS</v>
      </c>
    </row>
    <row r="174" spans="2:5" ht="15.75" thickBot="1" x14ac:dyDescent="0.3">
      <c r="B174" s="3">
        <f>'CARTA DE CONTROL'!R142</f>
        <v>100</v>
      </c>
      <c r="C174" s="4">
        <f>'CARTA DE CONTROL'!AM142</f>
        <v>0</v>
      </c>
      <c r="D174" s="6">
        <f>'CARTA DE CONTROL'!K142</f>
        <v>3</v>
      </c>
      <c r="E174" s="5" t="str">
        <f t="shared" si="7"/>
        <v>PASS</v>
      </c>
    </row>
    <row r="188" spans="2:7" ht="15.75" thickBot="1" x14ac:dyDescent="0.3"/>
    <row r="189" spans="2:7" ht="15.75" thickBot="1" x14ac:dyDescent="0.3">
      <c r="B189" s="751" t="s">
        <v>211</v>
      </c>
      <c r="C189" s="752"/>
      <c r="D189" s="752"/>
      <c r="E189" s="752"/>
      <c r="F189" s="752"/>
      <c r="G189" s="753"/>
    </row>
    <row r="190" spans="2:7" ht="72.75" thickBot="1" x14ac:dyDescent="0.3">
      <c r="B190" s="2" t="s">
        <v>39</v>
      </c>
      <c r="C190" s="11" t="s">
        <v>108</v>
      </c>
      <c r="D190" s="11" t="s">
        <v>109</v>
      </c>
      <c r="E190" s="22" t="s">
        <v>102</v>
      </c>
      <c r="F190" s="22" t="s">
        <v>103</v>
      </c>
      <c r="G190" s="22" t="s">
        <v>38</v>
      </c>
    </row>
    <row r="191" spans="2:7" ht="15.75" thickBot="1" x14ac:dyDescent="0.3">
      <c r="B191" s="54">
        <f>'CARTA DE CONTROL'!R143</f>
        <v>100</v>
      </c>
      <c r="C191" s="4">
        <f>'CARTA DE CONTROL'!AR143</f>
        <v>2.1999999999999971</v>
      </c>
      <c r="D191" s="4">
        <f>'CARTA DE CONTROL'!AS143</f>
        <v>-1.6000000000000028</v>
      </c>
      <c r="E191" s="6">
        <f>'CARTA DE CONTROL'!I143</f>
        <v>3</v>
      </c>
      <c r="F191" s="7">
        <f>-('CARTA DE CONTROL'!I143)</f>
        <v>-3</v>
      </c>
      <c r="G191" s="5" t="str">
        <f t="shared" ref="G191:G193" si="8">IF(C191&lt;=3,IF(D191&gt;=-3,"PASS","NO PASS"))</f>
        <v>PASS</v>
      </c>
    </row>
    <row r="192" spans="2:7" ht="15.75" thickBot="1" x14ac:dyDescent="0.3">
      <c r="B192" s="54">
        <f>'CARTA DE CONTROL'!R144</f>
        <v>300</v>
      </c>
      <c r="C192" s="4">
        <f>'CARTA DE CONTROL'!AR144</f>
        <v>1.3666666666666665</v>
      </c>
      <c r="D192" s="4">
        <f>'CARTA DE CONTROL'!AS144</f>
        <v>-1.3666666666666665</v>
      </c>
      <c r="E192" s="6">
        <f>'CARTA DE CONTROL'!I144</f>
        <v>3</v>
      </c>
      <c r="F192" s="7">
        <f>-('CARTA DE CONTROL'!I144)</f>
        <v>-3</v>
      </c>
      <c r="G192" s="5" t="str">
        <f t="shared" si="8"/>
        <v>PASS</v>
      </c>
    </row>
    <row r="193" spans="1:8" ht="15.75" thickBot="1" x14ac:dyDescent="0.3">
      <c r="B193" s="54">
        <f>'CARTA DE CONTROL'!R145</f>
        <v>500</v>
      </c>
      <c r="C193" s="4">
        <f>'CARTA DE CONTROL'!AR145</f>
        <v>0.68000000000001126</v>
      </c>
      <c r="D193" s="4">
        <f>'CARTA DE CONTROL'!AS145</f>
        <v>-1.5199999999999976</v>
      </c>
      <c r="E193" s="6">
        <f>'CARTA DE CONTROL'!I145</f>
        <v>3</v>
      </c>
      <c r="F193" s="7">
        <f>-('CARTA DE CONTROL'!I145)</f>
        <v>-3</v>
      </c>
      <c r="G193" s="5" t="str">
        <f t="shared" si="8"/>
        <v>PASS</v>
      </c>
    </row>
    <row r="194" spans="1:8" ht="15.75" thickBot="1" x14ac:dyDescent="0.3">
      <c r="B194" s="54">
        <f>'CARTA DE CONTROL'!R146</f>
        <v>1000</v>
      </c>
      <c r="C194" s="4">
        <f>'CARTA DE CONTROL'!AR146</f>
        <v>1.3</v>
      </c>
      <c r="D194" s="4">
        <f>'CARTA DE CONTROL'!AS146</f>
        <v>-1.3</v>
      </c>
      <c r="E194" s="6">
        <f>'CARTA DE CONTROL'!I146</f>
        <v>3</v>
      </c>
      <c r="F194" s="7">
        <f>-('CARTA DE CONTROL'!I146)</f>
        <v>-3</v>
      </c>
      <c r="G194" s="5" t="str">
        <f>IF(C194&lt;=3,IF(D194&gt;=-3,"PASS","NO PASS"))</f>
        <v>PASS</v>
      </c>
    </row>
    <row r="195" spans="1:8" ht="15.75" thickBot="1" x14ac:dyDescent="0.3">
      <c r="B195" s="54">
        <f>'CARTA DE CONTROL'!R147</f>
        <v>1200</v>
      </c>
      <c r="C195" s="4">
        <f>'CARTA DE CONTROL'!AR147</f>
        <v>1.4166666666666667</v>
      </c>
      <c r="D195" s="4">
        <f>'CARTA DE CONTROL'!AS147</f>
        <v>-1.0833333333333333</v>
      </c>
      <c r="E195" s="6">
        <f>'CARTA DE CONTROL'!I147</f>
        <v>3</v>
      </c>
      <c r="F195" s="7">
        <f>-('CARTA DE CONTROL'!I147)</f>
        <v>-3</v>
      </c>
      <c r="G195" s="5" t="str">
        <f>IF(C195&lt;=3,IF(D195&gt;=-3,"PASS","NO PASS"))</f>
        <v>PASS</v>
      </c>
    </row>
    <row r="196" spans="1:8" ht="15.75" thickBot="1" x14ac:dyDescent="0.3">
      <c r="B196" s="54">
        <f>'CARTA DE CONTROL'!R148</f>
        <v>2400</v>
      </c>
      <c r="C196" s="4">
        <f>'CARTA DE CONTROL'!AR148</f>
        <v>1.2083333333333333</v>
      </c>
      <c r="D196" s="4">
        <f>'CARTA DE CONTROL'!AS148</f>
        <v>-1.2083333333333333</v>
      </c>
      <c r="E196" s="6">
        <f>'CARTA DE CONTROL'!I148</f>
        <v>3</v>
      </c>
      <c r="F196" s="7">
        <f>-('CARTA DE CONTROL'!I148)</f>
        <v>-3</v>
      </c>
      <c r="G196" s="5" t="str">
        <f t="shared" ref="G196:G199" si="9">IF(C196&lt;=3,IF(D196&gt;=-3,"PASS","NO PASS"))</f>
        <v>PASS</v>
      </c>
    </row>
    <row r="197" spans="1:8" ht="15.75" thickBot="1" x14ac:dyDescent="0.3">
      <c r="B197" s="54">
        <f>'CARTA DE CONTROL'!R149</f>
        <v>3600</v>
      </c>
      <c r="C197" s="4">
        <f>'CARTA DE CONTROL'!AR149</f>
        <v>1.25</v>
      </c>
      <c r="D197" s="4">
        <f>'CARTA DE CONTROL'!AS149</f>
        <v>-1.1944444444444446</v>
      </c>
      <c r="E197" s="6">
        <f>'CARTA DE CONTROL'!I149</f>
        <v>3</v>
      </c>
      <c r="F197" s="7">
        <f>-('CARTA DE CONTROL'!I149)</f>
        <v>-3</v>
      </c>
      <c r="G197" s="5" t="str">
        <f t="shared" si="9"/>
        <v>PASS</v>
      </c>
    </row>
    <row r="198" spans="1:8" ht="15.75" thickBot="1" x14ac:dyDescent="0.3">
      <c r="B198" s="54">
        <f>'CARTA DE CONTROL'!R150</f>
        <v>4800</v>
      </c>
      <c r="C198" s="4">
        <f>'CARTA DE CONTROL'!AR150</f>
        <v>1.4166666666666667</v>
      </c>
      <c r="D198" s="4">
        <f>'CARTA DE CONTROL'!AS150</f>
        <v>-1.3333333333333333</v>
      </c>
      <c r="E198" s="6">
        <f>'CARTA DE CONTROL'!I150</f>
        <v>3</v>
      </c>
      <c r="F198" s="7">
        <f>-('CARTA DE CONTROL'!I150)</f>
        <v>-3</v>
      </c>
      <c r="G198" s="5" t="str">
        <f t="shared" si="9"/>
        <v>PASS</v>
      </c>
    </row>
    <row r="199" spans="1:8" ht="15.75" thickBot="1" x14ac:dyDescent="0.3">
      <c r="B199" s="54">
        <f>'CARTA DE CONTROL'!R151</f>
        <v>6000</v>
      </c>
      <c r="C199" s="4">
        <f>'CARTA DE CONTROL'!AR151</f>
        <v>1.3666666666666667</v>
      </c>
      <c r="D199" s="4">
        <f>'CARTA DE CONTROL'!AS151</f>
        <v>-1.3666666666666667</v>
      </c>
      <c r="E199" s="6">
        <f>'CARTA DE CONTROL'!I151</f>
        <v>3</v>
      </c>
      <c r="F199" s="7">
        <f>-('CARTA DE CONTROL'!I151)</f>
        <v>-3</v>
      </c>
      <c r="G199" s="5" t="str">
        <f t="shared" si="9"/>
        <v>PASS</v>
      </c>
    </row>
    <row r="200" spans="1:8" x14ac:dyDescent="0.25">
      <c r="A200" s="1"/>
      <c r="B200" s="1"/>
      <c r="C200" s="1"/>
      <c r="D200" s="1"/>
      <c r="E200" s="1"/>
      <c r="F200" s="1"/>
      <c r="G200" s="1"/>
      <c r="H200" s="1"/>
    </row>
    <row r="201" spans="1:8" x14ac:dyDescent="0.25">
      <c r="A201" s="1"/>
      <c r="B201" s="1"/>
      <c r="C201" s="1"/>
      <c r="D201" s="1"/>
      <c r="E201" s="1"/>
      <c r="F201" s="1"/>
      <c r="G201" s="1"/>
      <c r="H201" s="1"/>
    </row>
    <row r="202" spans="1:8" x14ac:dyDescent="0.25">
      <c r="A202" s="1"/>
      <c r="B202" s="1"/>
      <c r="C202" s="1"/>
      <c r="D202" s="1"/>
      <c r="E202" s="1"/>
      <c r="F202" s="1"/>
      <c r="G202" s="1"/>
      <c r="H202" s="1"/>
    </row>
    <row r="203" spans="1:8" x14ac:dyDescent="0.25">
      <c r="A203" s="1"/>
      <c r="B203" s="1"/>
      <c r="C203" s="1"/>
      <c r="D203" s="1"/>
      <c r="E203" s="1"/>
      <c r="F203" s="1"/>
      <c r="G203" s="1"/>
      <c r="H203" s="1"/>
    </row>
    <row r="204" spans="1:8" x14ac:dyDescent="0.25">
      <c r="A204" s="1"/>
      <c r="B204" s="1"/>
      <c r="C204" s="1"/>
      <c r="D204" s="1"/>
      <c r="E204" s="1"/>
      <c r="F204" s="1"/>
      <c r="G204" s="1"/>
      <c r="H204" s="1"/>
    </row>
    <row r="205" spans="1:8" x14ac:dyDescent="0.25">
      <c r="A205" s="1"/>
      <c r="B205" s="1"/>
      <c r="C205" s="1"/>
      <c r="D205" s="1"/>
      <c r="E205" s="1"/>
      <c r="F205" s="1"/>
      <c r="G205" s="1"/>
      <c r="H205" s="1"/>
    </row>
    <row r="218" spans="2:5" ht="15.75" thickBot="1" x14ac:dyDescent="0.3"/>
    <row r="219" spans="2:5" ht="15.75" thickBot="1" x14ac:dyDescent="0.3">
      <c r="B219" s="751" t="s">
        <v>210</v>
      </c>
      <c r="C219" s="752"/>
      <c r="D219" s="752"/>
      <c r="E219" s="753"/>
    </row>
    <row r="220" spans="2:5" ht="34.5" thickBot="1" x14ac:dyDescent="0.3">
      <c r="B220" s="2" t="s">
        <v>39</v>
      </c>
      <c r="C220" s="10" t="s">
        <v>110</v>
      </c>
      <c r="D220" s="2" t="s">
        <v>91</v>
      </c>
      <c r="E220" s="21" t="s">
        <v>90</v>
      </c>
    </row>
    <row r="221" spans="2:5" ht="15.75" thickBot="1" x14ac:dyDescent="0.3">
      <c r="B221" s="3">
        <f>'CARTA DE CONTROL'!R143</f>
        <v>100</v>
      </c>
      <c r="C221" s="4">
        <f>'CARTA DE CONTROL'!AM143</f>
        <v>0.57999999999999996</v>
      </c>
      <c r="D221" s="6">
        <f>'CARTA DE CONTROL'!K143</f>
        <v>3</v>
      </c>
      <c r="E221" s="5" t="str">
        <f t="shared" ref="E221:E224" si="10">IF(C221&lt;=3,IF(C221&gt;=-3,"PASS","NO PASS"))</f>
        <v>PASS</v>
      </c>
    </row>
    <row r="222" spans="2:5" ht="15.75" thickBot="1" x14ac:dyDescent="0.3">
      <c r="B222" s="3">
        <f>'CARTA DE CONTROL'!R144</f>
        <v>300</v>
      </c>
      <c r="C222" s="4">
        <f>'CARTA DE CONTROL'!AM144</f>
        <v>0.33333333333333331</v>
      </c>
      <c r="D222" s="6">
        <f>'CARTA DE CONTROL'!K144</f>
        <v>3</v>
      </c>
      <c r="E222" s="5" t="str">
        <f t="shared" si="10"/>
        <v>PASS</v>
      </c>
    </row>
    <row r="223" spans="2:5" ht="15.75" thickBot="1" x14ac:dyDescent="0.3">
      <c r="B223" s="3">
        <f>'CARTA DE CONTROL'!R145</f>
        <v>500</v>
      </c>
      <c r="C223" s="4">
        <f>'CARTA DE CONTROL'!AM145</f>
        <v>0.11599999999999999</v>
      </c>
      <c r="D223" s="6">
        <f>'CARTA DE CONTROL'!K145</f>
        <v>3</v>
      </c>
      <c r="E223" s="5" t="str">
        <f t="shared" si="10"/>
        <v>PASS</v>
      </c>
    </row>
    <row r="224" spans="2:5" ht="15.75" thickBot="1" x14ac:dyDescent="0.3">
      <c r="B224" s="3">
        <f>'CARTA DE CONTROL'!R146</f>
        <v>1000</v>
      </c>
      <c r="C224" s="4">
        <f>'CARTA DE CONTROL'!AM146</f>
        <v>0.11499999999999999</v>
      </c>
      <c r="D224" s="6">
        <f>'CARTA DE CONTROL'!K146</f>
        <v>3</v>
      </c>
      <c r="E224" s="5" t="str">
        <f t="shared" si="10"/>
        <v>PASS</v>
      </c>
    </row>
    <row r="225" spans="2:5" ht="15.75" thickBot="1" x14ac:dyDescent="0.3">
      <c r="B225" s="3">
        <f>'CARTA DE CONTROL'!R147</f>
        <v>1200</v>
      </c>
      <c r="C225" s="4">
        <f>'CARTA DE CONTROL'!AM147</f>
        <v>4.8333333333333325E-2</v>
      </c>
      <c r="D225" s="6">
        <f>'CARTA DE CONTROL'!K147</f>
        <v>3</v>
      </c>
      <c r="E225" s="5" t="str">
        <f>IF(C225&lt;=3,IF(C225&gt;=-3,"PASS","NO PASS"))</f>
        <v>PASS</v>
      </c>
    </row>
    <row r="226" spans="2:5" ht="15.75" thickBot="1" x14ac:dyDescent="0.3">
      <c r="B226" s="3">
        <f>'CARTA DE CONTROL'!R148</f>
        <v>2400</v>
      </c>
      <c r="C226" s="4">
        <f>'CARTA DE CONTROL'!AM148</f>
        <v>4.7916666666666663E-2</v>
      </c>
      <c r="D226" s="6">
        <f>'CARTA DE CONTROL'!K148</f>
        <v>3</v>
      </c>
      <c r="E226" s="5" t="str">
        <f t="shared" ref="E226:E229" si="11">IF(C226&lt;=3,IF(C226&gt;=-3,"PASS","NO PASS"))</f>
        <v>PASS</v>
      </c>
    </row>
    <row r="227" spans="2:5" ht="15.75" thickBot="1" x14ac:dyDescent="0.3">
      <c r="B227" s="3">
        <f>'CARTA DE CONTROL'!R149</f>
        <v>3600</v>
      </c>
      <c r="C227" s="4">
        <f>'CARTA DE CONTROL'!AM149</f>
        <v>1.6111111111111111E-2</v>
      </c>
      <c r="D227" s="6">
        <f>'CARTA DE CONTROL'!K149</f>
        <v>3</v>
      </c>
      <c r="E227" s="5" t="str">
        <f t="shared" si="11"/>
        <v>PASS</v>
      </c>
    </row>
    <row r="228" spans="2:5" ht="15.75" thickBot="1" x14ac:dyDescent="0.3">
      <c r="B228" s="3">
        <f>'CARTA DE CONTROL'!R150</f>
        <v>4800</v>
      </c>
      <c r="C228" s="4">
        <f>'CARTA DE CONTROL'!AM150</f>
        <v>1.2083333333333331E-2</v>
      </c>
      <c r="D228" s="6">
        <f>'CARTA DE CONTROL'!K150</f>
        <v>3</v>
      </c>
      <c r="E228" s="5" t="str">
        <f t="shared" si="11"/>
        <v>PASS</v>
      </c>
    </row>
    <row r="229" spans="2:5" ht="15.75" thickBot="1" x14ac:dyDescent="0.3">
      <c r="B229" s="3">
        <f>'CARTA DE CONTROL'!R151</f>
        <v>6000</v>
      </c>
      <c r="C229" s="4">
        <f>'CARTA DE CONTROL'!AM151</f>
        <v>9.6666666666666654E-3</v>
      </c>
      <c r="D229" s="6">
        <f>'CARTA DE CONTROL'!K151</f>
        <v>3</v>
      </c>
      <c r="E229" s="5" t="str">
        <f t="shared" si="11"/>
        <v>PASS</v>
      </c>
    </row>
  </sheetData>
  <mergeCells count="60">
    <mergeCell ref="B142:G142"/>
    <mergeCell ref="B168:E168"/>
    <mergeCell ref="B189:G189"/>
    <mergeCell ref="B219:E219"/>
    <mergeCell ref="B32:D32"/>
    <mergeCell ref="F32:G32"/>
    <mergeCell ref="B36:D36"/>
    <mergeCell ref="F36:G36"/>
    <mergeCell ref="B37:D37"/>
    <mergeCell ref="F37:G37"/>
    <mergeCell ref="B33:D33"/>
    <mergeCell ref="F33:G33"/>
    <mergeCell ref="B34:D34"/>
    <mergeCell ref="F34:G34"/>
    <mergeCell ref="B35:D35"/>
    <mergeCell ref="F35:G35"/>
    <mergeCell ref="B28:D28"/>
    <mergeCell ref="F28:G28"/>
    <mergeCell ref="A30:G30"/>
    <mergeCell ref="B31:D31"/>
    <mergeCell ref="F31:G31"/>
    <mergeCell ref="B25:D25"/>
    <mergeCell ref="F25:G25"/>
    <mergeCell ref="B26:D26"/>
    <mergeCell ref="F26:G26"/>
    <mergeCell ref="B27:D27"/>
    <mergeCell ref="F27:G27"/>
    <mergeCell ref="B22:D22"/>
    <mergeCell ref="F22:G22"/>
    <mergeCell ref="B23:D23"/>
    <mergeCell ref="F23:G23"/>
    <mergeCell ref="B24:D24"/>
    <mergeCell ref="F24:G24"/>
    <mergeCell ref="B19:D19"/>
    <mergeCell ref="F19:G19"/>
    <mergeCell ref="B20:D20"/>
    <mergeCell ref="F20:G20"/>
    <mergeCell ref="B21:D21"/>
    <mergeCell ref="F21:G21"/>
    <mergeCell ref="F16:G16"/>
    <mergeCell ref="B17:D17"/>
    <mergeCell ref="F17:G17"/>
    <mergeCell ref="B18:D18"/>
    <mergeCell ref="F18:G18"/>
    <mergeCell ref="B39:G39"/>
    <mergeCell ref="B86:G86"/>
    <mergeCell ref="B116:E116"/>
    <mergeCell ref="B65:E65"/>
    <mergeCell ref="C7:E7"/>
    <mergeCell ref="C8:E8"/>
    <mergeCell ref="C9:E9"/>
    <mergeCell ref="C10:E10"/>
    <mergeCell ref="A12:G12"/>
    <mergeCell ref="B13:D13"/>
    <mergeCell ref="F13:G13"/>
    <mergeCell ref="B14:D14"/>
    <mergeCell ref="F14:G14"/>
    <mergeCell ref="B15:D15"/>
    <mergeCell ref="F15:G15"/>
    <mergeCell ref="B16:D16"/>
  </mergeCells>
  <conditionalFormatting sqref="G41:G45">
    <cfRule type="cellIs" dxfId="103" priority="32" operator="lessThan">
      <formula>$F$73</formula>
    </cfRule>
    <cfRule type="cellIs" dxfId="102" priority="33" operator="lessThan">
      <formula>0.05</formula>
    </cfRule>
  </conditionalFormatting>
  <conditionalFormatting sqref="G41:G45">
    <cfRule type="cellIs" dxfId="101" priority="31" operator="between">
      <formula>$F$73</formula>
      <formula>$G$73</formula>
    </cfRule>
  </conditionalFormatting>
  <conditionalFormatting sqref="E67:E71">
    <cfRule type="cellIs" dxfId="100" priority="20" operator="lessThan">
      <formula>$H$73</formula>
    </cfRule>
    <cfRule type="cellIs" dxfId="99" priority="21" operator="lessThan">
      <formula>0.05</formula>
    </cfRule>
  </conditionalFormatting>
  <conditionalFormatting sqref="G88:G96">
    <cfRule type="cellIs" dxfId="98" priority="14" operator="lessThan">
      <formula>$F$73</formula>
    </cfRule>
    <cfRule type="cellIs" dxfId="97" priority="15" operator="lessThan">
      <formula>0.05</formula>
    </cfRule>
  </conditionalFormatting>
  <conditionalFormatting sqref="G88:G96">
    <cfRule type="cellIs" dxfId="96" priority="13" operator="between">
      <formula>$F$73</formula>
      <formula>$G$73</formula>
    </cfRule>
  </conditionalFormatting>
  <conditionalFormatting sqref="E118:E126">
    <cfRule type="cellIs" dxfId="95" priority="11" operator="lessThan">
      <formula>$H$73</formula>
    </cfRule>
    <cfRule type="cellIs" dxfId="94" priority="12" operator="lessThan">
      <formula>0.05</formula>
    </cfRule>
  </conditionalFormatting>
  <conditionalFormatting sqref="G144:G148">
    <cfRule type="cellIs" dxfId="93" priority="9" operator="lessThan">
      <formula>$F$73</formula>
    </cfRule>
    <cfRule type="cellIs" dxfId="92" priority="10" operator="lessThan">
      <formula>0.05</formula>
    </cfRule>
  </conditionalFormatting>
  <conditionalFormatting sqref="G144:G148">
    <cfRule type="cellIs" dxfId="91" priority="8" operator="between">
      <formula>$F$73</formula>
      <formula>$G$73</formula>
    </cfRule>
  </conditionalFormatting>
  <conditionalFormatting sqref="E170:E174">
    <cfRule type="cellIs" dxfId="90" priority="6" operator="lessThan">
      <formula>$H$73</formula>
    </cfRule>
    <cfRule type="cellIs" dxfId="89" priority="7" operator="lessThan">
      <formula>0.05</formula>
    </cfRule>
  </conditionalFormatting>
  <conditionalFormatting sqref="G191:G199">
    <cfRule type="cellIs" dxfId="88" priority="4" operator="lessThan">
      <formula>$F$73</formula>
    </cfRule>
    <cfRule type="cellIs" dxfId="87" priority="5" operator="lessThan">
      <formula>0.05</formula>
    </cfRule>
  </conditionalFormatting>
  <conditionalFormatting sqref="G191:G199">
    <cfRule type="cellIs" dxfId="86" priority="3" operator="between">
      <formula>$F$73</formula>
      <formula>$G$73</formula>
    </cfRule>
  </conditionalFormatting>
  <conditionalFormatting sqref="E221:E229">
    <cfRule type="cellIs" dxfId="85" priority="1" operator="lessThan">
      <formula>$H$73</formula>
    </cfRule>
    <cfRule type="cellIs" dxfId="84" priority="2" operator="lessThan">
      <formula>0.05</formula>
    </cfRule>
  </conditionalFormatting>
  <pageMargins left="0.7" right="0.7" top="0.75" bottom="0.75" header="0.3" footer="0.3"/>
  <pageSetup orientation="portrait" verticalDpi="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6"/>
  <sheetViews>
    <sheetView topLeftCell="A28" workbookViewId="0">
      <selection activeCell="H34" sqref="H34"/>
    </sheetView>
  </sheetViews>
  <sheetFormatPr baseColWidth="10" defaultRowHeight="15" x14ac:dyDescent="0.25"/>
  <cols>
    <col min="1" max="1" width="3.85546875" customWidth="1"/>
    <col min="2" max="2" width="22.85546875" customWidth="1"/>
    <col min="3" max="3" width="21.7109375" customWidth="1"/>
    <col min="4" max="4" width="21" customWidth="1"/>
    <col min="5" max="5" width="22.7109375" customWidth="1"/>
    <col min="8" max="8" width="13" customWidth="1"/>
  </cols>
  <sheetData>
    <row r="1" spans="1:11" ht="15" customHeight="1" x14ac:dyDescent="0.25">
      <c r="E1" s="214"/>
    </row>
    <row r="2" spans="1:11" ht="15" customHeight="1" x14ac:dyDescent="0.25">
      <c r="B2" s="421"/>
      <c r="C2" s="421"/>
      <c r="D2" s="421"/>
      <c r="E2" s="215"/>
      <c r="F2" s="421"/>
      <c r="G2" s="421"/>
      <c r="H2" s="421"/>
    </row>
    <row r="3" spans="1:11" ht="15" customHeight="1" x14ac:dyDescent="0.25">
      <c r="B3" s="421"/>
      <c r="C3" s="421"/>
      <c r="D3" s="421"/>
      <c r="E3" s="215"/>
      <c r="F3" s="421"/>
      <c r="G3" s="421"/>
      <c r="H3" s="421"/>
    </row>
    <row r="4" spans="1:11" ht="15" customHeight="1" x14ac:dyDescent="0.25">
      <c r="B4" s="421"/>
      <c r="C4" s="421"/>
      <c r="D4" s="421"/>
      <c r="E4" s="215"/>
      <c r="F4" s="421"/>
      <c r="G4" s="421"/>
      <c r="H4" s="421"/>
    </row>
    <row r="5" spans="1:11" ht="15" customHeight="1" x14ac:dyDescent="0.25">
      <c r="B5" s="421"/>
      <c r="C5" s="421"/>
      <c r="D5" s="421"/>
      <c r="E5" s="215"/>
      <c r="F5" s="421"/>
      <c r="G5" s="421"/>
      <c r="H5" s="421"/>
    </row>
    <row r="6" spans="1:11" ht="15" customHeight="1" x14ac:dyDescent="0.25">
      <c r="B6" s="421"/>
      <c r="C6" s="421"/>
      <c r="D6" s="421"/>
      <c r="E6" s="215"/>
      <c r="F6" s="421"/>
      <c r="G6" s="421"/>
      <c r="H6" s="421"/>
    </row>
    <row r="7" spans="1:11" x14ac:dyDescent="0.25">
      <c r="B7" s="231" t="s">
        <v>157</v>
      </c>
      <c r="C7" s="770" t="str">
        <f>'CARTA DE CONTROL'!B152</f>
        <v>OPACIDAD</v>
      </c>
      <c r="D7" s="771"/>
      <c r="E7" s="772"/>
    </row>
    <row r="8" spans="1:11" x14ac:dyDescent="0.25">
      <c r="B8" s="231" t="s">
        <v>158</v>
      </c>
      <c r="C8" s="770" t="str">
        <f>'CARTA DE CONTROL'!D152</f>
        <v>SENSORS</v>
      </c>
      <c r="D8" s="771"/>
      <c r="E8" s="772"/>
    </row>
    <row r="9" spans="1:11" x14ac:dyDescent="0.25">
      <c r="B9" s="231" t="s">
        <v>159</v>
      </c>
      <c r="C9" s="770" t="str">
        <f>'CARTA DE CONTROL'!E152</f>
        <v>LCS 2400</v>
      </c>
      <c r="D9" s="771"/>
      <c r="E9" s="772"/>
    </row>
    <row r="10" spans="1:11" x14ac:dyDescent="0.25">
      <c r="B10" s="231" t="s">
        <v>160</v>
      </c>
      <c r="C10" s="786" t="str">
        <f>'CARTA DE CONTROL'!F152</f>
        <v xml:space="preserve">C17137636 </v>
      </c>
      <c r="D10" s="787"/>
      <c r="E10" s="788"/>
    </row>
    <row r="11" spans="1:11" ht="15" customHeight="1" thickBot="1" x14ac:dyDescent="0.3">
      <c r="B11" s="421"/>
      <c r="C11" s="421"/>
      <c r="D11" s="421"/>
      <c r="E11" s="215"/>
      <c r="F11" s="421"/>
      <c r="G11" s="421"/>
      <c r="H11" s="202"/>
      <c r="I11" s="203"/>
      <c r="J11" s="203"/>
      <c r="K11" s="203"/>
    </row>
    <row r="12" spans="1:11" s="190" customFormat="1" ht="34.5" customHeight="1" x14ac:dyDescent="0.2">
      <c r="A12" s="776" t="s">
        <v>127</v>
      </c>
      <c r="B12" s="777"/>
      <c r="C12" s="777"/>
      <c r="D12" s="777"/>
      <c r="E12" s="777"/>
      <c r="F12" s="777"/>
      <c r="G12" s="778"/>
      <c r="H12" s="204"/>
      <c r="I12" s="204"/>
      <c r="J12" s="204"/>
      <c r="K12" s="204"/>
    </row>
    <row r="13" spans="1:11" s="190" customFormat="1" ht="15" customHeight="1" x14ac:dyDescent="0.2">
      <c r="A13" s="207" t="s">
        <v>128</v>
      </c>
      <c r="B13" s="779" t="s">
        <v>129</v>
      </c>
      <c r="C13" s="780"/>
      <c r="D13" s="781"/>
      <c r="E13" s="423" t="s">
        <v>130</v>
      </c>
      <c r="F13" s="782" t="s">
        <v>131</v>
      </c>
      <c r="G13" s="783"/>
      <c r="H13" s="205"/>
      <c r="I13" s="205"/>
      <c r="J13" s="205"/>
      <c r="K13" s="205"/>
    </row>
    <row r="14" spans="1:11" s="1" customFormat="1" ht="35.25" customHeight="1" x14ac:dyDescent="0.2">
      <c r="A14" s="208">
        <v>1</v>
      </c>
      <c r="B14" s="761" t="s">
        <v>132</v>
      </c>
      <c r="C14" s="761"/>
      <c r="D14" s="761"/>
      <c r="E14" s="422" t="s">
        <v>133</v>
      </c>
      <c r="F14" s="762"/>
      <c r="G14" s="763"/>
      <c r="H14" s="206"/>
      <c r="I14" s="206"/>
      <c r="J14" s="206"/>
      <c r="K14" s="206"/>
    </row>
    <row r="15" spans="1:11" s="1" customFormat="1" ht="35.25" customHeight="1" x14ac:dyDescent="0.2">
      <c r="A15" s="208">
        <v>2</v>
      </c>
      <c r="B15" s="761" t="s">
        <v>134</v>
      </c>
      <c r="C15" s="761"/>
      <c r="D15" s="761"/>
      <c r="E15" s="422" t="s">
        <v>133</v>
      </c>
      <c r="F15" s="762"/>
      <c r="G15" s="763"/>
    </row>
    <row r="16" spans="1:11" s="1" customFormat="1" ht="35.25" customHeight="1" x14ac:dyDescent="0.2">
      <c r="A16" s="208">
        <v>3</v>
      </c>
      <c r="B16" s="761" t="s">
        <v>135</v>
      </c>
      <c r="C16" s="761"/>
      <c r="D16" s="761"/>
      <c r="E16" s="422" t="s">
        <v>133</v>
      </c>
      <c r="F16" s="762"/>
      <c r="G16" s="763"/>
    </row>
    <row r="17" spans="1:11" s="1" customFormat="1" ht="35.25" customHeight="1" x14ac:dyDescent="0.2">
      <c r="A17" s="208">
        <v>4</v>
      </c>
      <c r="B17" s="761" t="s">
        <v>136</v>
      </c>
      <c r="C17" s="761"/>
      <c r="D17" s="761"/>
      <c r="E17" s="422" t="s">
        <v>133</v>
      </c>
      <c r="F17" s="784"/>
      <c r="G17" s="785"/>
    </row>
    <row r="18" spans="1:11" s="1" customFormat="1" ht="35.25" customHeight="1" x14ac:dyDescent="0.2">
      <c r="A18" s="208">
        <v>5</v>
      </c>
      <c r="B18" s="761" t="s">
        <v>137</v>
      </c>
      <c r="C18" s="761"/>
      <c r="D18" s="761"/>
      <c r="E18" s="422" t="s">
        <v>133</v>
      </c>
      <c r="F18" s="762"/>
      <c r="G18" s="763"/>
    </row>
    <row r="19" spans="1:11" s="1" customFormat="1" ht="35.25" customHeight="1" x14ac:dyDescent="0.2">
      <c r="A19" s="208">
        <v>6</v>
      </c>
      <c r="B19" s="761" t="s">
        <v>138</v>
      </c>
      <c r="C19" s="761"/>
      <c r="D19" s="761"/>
      <c r="E19" s="422" t="s">
        <v>133</v>
      </c>
      <c r="F19" s="762"/>
      <c r="G19" s="763"/>
    </row>
    <row r="20" spans="1:11" s="1" customFormat="1" ht="35.25" customHeight="1" x14ac:dyDescent="0.2">
      <c r="A20" s="208">
        <v>7</v>
      </c>
      <c r="B20" s="761" t="s">
        <v>139</v>
      </c>
      <c r="C20" s="761"/>
      <c r="D20" s="761"/>
      <c r="E20" s="422" t="s">
        <v>133</v>
      </c>
      <c r="F20" s="762"/>
      <c r="G20" s="763"/>
    </row>
    <row r="21" spans="1:11" s="1" customFormat="1" ht="35.25" customHeight="1" x14ac:dyDescent="0.2">
      <c r="A21" s="208">
        <v>8</v>
      </c>
      <c r="B21" s="761" t="s">
        <v>140</v>
      </c>
      <c r="C21" s="761"/>
      <c r="D21" s="761"/>
      <c r="E21" s="422" t="s">
        <v>133</v>
      </c>
      <c r="F21" s="762"/>
      <c r="G21" s="763"/>
    </row>
    <row r="22" spans="1:11" s="1" customFormat="1" ht="35.25" customHeight="1" x14ac:dyDescent="0.2">
      <c r="A22" s="208">
        <v>9</v>
      </c>
      <c r="B22" s="761" t="s">
        <v>141</v>
      </c>
      <c r="C22" s="761"/>
      <c r="D22" s="761"/>
      <c r="E22" s="422" t="s">
        <v>133</v>
      </c>
      <c r="F22" s="762"/>
      <c r="G22" s="763"/>
    </row>
    <row r="23" spans="1:11" s="1" customFormat="1" ht="35.25" customHeight="1" x14ac:dyDescent="0.2">
      <c r="A23" s="208">
        <v>10</v>
      </c>
      <c r="B23" s="761" t="s">
        <v>142</v>
      </c>
      <c r="C23" s="761"/>
      <c r="D23" s="761"/>
      <c r="E23" s="422" t="s">
        <v>133</v>
      </c>
      <c r="F23" s="762"/>
      <c r="G23" s="763"/>
    </row>
    <row r="24" spans="1:11" s="1" customFormat="1" ht="35.25" customHeight="1" x14ac:dyDescent="0.2">
      <c r="A24" s="208">
        <v>11</v>
      </c>
      <c r="B24" s="761" t="s">
        <v>143</v>
      </c>
      <c r="C24" s="761"/>
      <c r="D24" s="761"/>
      <c r="E24" s="422" t="s">
        <v>133</v>
      </c>
      <c r="F24" s="762"/>
      <c r="G24" s="763"/>
    </row>
    <row r="25" spans="1:11" s="194" customFormat="1" ht="35.25" customHeight="1" x14ac:dyDescent="0.2">
      <c r="A25" s="209">
        <v>12</v>
      </c>
      <c r="B25" s="761" t="s">
        <v>144</v>
      </c>
      <c r="C25" s="761"/>
      <c r="D25" s="761"/>
      <c r="E25" s="193" t="s">
        <v>133</v>
      </c>
      <c r="F25" s="762"/>
      <c r="G25" s="763"/>
    </row>
    <row r="26" spans="1:11" s="1" customFormat="1" ht="35.25" customHeight="1" x14ac:dyDescent="0.2">
      <c r="A26" s="208">
        <v>13</v>
      </c>
      <c r="B26" s="761" t="s">
        <v>145</v>
      </c>
      <c r="C26" s="761"/>
      <c r="D26" s="761"/>
      <c r="E26" s="422" t="s">
        <v>133</v>
      </c>
      <c r="F26" s="762"/>
      <c r="G26" s="763"/>
    </row>
    <row r="27" spans="1:11" s="1" customFormat="1" ht="35.25" customHeight="1" x14ac:dyDescent="0.2">
      <c r="A27" s="208">
        <v>14</v>
      </c>
      <c r="B27" s="761" t="s">
        <v>146</v>
      </c>
      <c r="C27" s="761"/>
      <c r="D27" s="761"/>
      <c r="E27" s="422" t="s">
        <v>133</v>
      </c>
      <c r="F27" s="762"/>
      <c r="G27" s="763"/>
    </row>
    <row r="28" spans="1:11" s="1" customFormat="1" ht="54.75" customHeight="1" thickBot="1" x14ac:dyDescent="0.25">
      <c r="A28" s="210">
        <v>15</v>
      </c>
      <c r="B28" s="764" t="s">
        <v>147</v>
      </c>
      <c r="C28" s="764"/>
      <c r="D28" s="764"/>
      <c r="E28" s="424" t="s">
        <v>133</v>
      </c>
      <c r="F28" s="765"/>
      <c r="G28" s="766"/>
    </row>
    <row r="29" spans="1:11" s="198" customFormat="1" ht="21" customHeight="1" thickBot="1" x14ac:dyDescent="0.25">
      <c r="B29" s="195"/>
      <c r="C29" s="196"/>
      <c r="D29" s="196"/>
      <c r="E29" s="195"/>
      <c r="F29" s="196"/>
      <c r="G29" s="196"/>
      <c r="H29" s="197"/>
      <c r="I29" s="197"/>
    </row>
    <row r="30" spans="1:11" s="219" customFormat="1" ht="15" customHeight="1" x14ac:dyDescent="0.2">
      <c r="A30" s="767" t="s">
        <v>148</v>
      </c>
      <c r="B30" s="768"/>
      <c r="C30" s="768"/>
      <c r="D30" s="768"/>
      <c r="E30" s="768"/>
      <c r="F30" s="768"/>
      <c r="G30" s="769"/>
      <c r="H30" s="222"/>
      <c r="I30" s="223"/>
      <c r="J30" s="223"/>
      <c r="K30" s="223"/>
    </row>
    <row r="31" spans="1:11" s="219" customFormat="1" ht="15" customHeight="1" x14ac:dyDescent="0.2">
      <c r="A31" s="220" t="s">
        <v>128</v>
      </c>
      <c r="B31" s="759" t="s">
        <v>129</v>
      </c>
      <c r="C31" s="759"/>
      <c r="D31" s="759"/>
      <c r="E31" s="425" t="s">
        <v>130</v>
      </c>
      <c r="F31" s="759" t="s">
        <v>131</v>
      </c>
      <c r="G31" s="760"/>
      <c r="H31" s="224"/>
      <c r="I31" s="225"/>
      <c r="J31" s="225"/>
      <c r="K31" s="225"/>
    </row>
    <row r="32" spans="1:11" s="1" customFormat="1" ht="55.5" customHeight="1" x14ac:dyDescent="0.2">
      <c r="A32" s="216">
        <v>1</v>
      </c>
      <c r="B32" s="754" t="s">
        <v>149</v>
      </c>
      <c r="C32" s="754"/>
      <c r="D32" s="754"/>
      <c r="E32" s="199" t="s">
        <v>150</v>
      </c>
      <c r="F32" s="755"/>
      <c r="G32" s="756"/>
      <c r="H32" s="226"/>
      <c r="I32" s="206"/>
      <c r="J32" s="206"/>
      <c r="K32" s="206"/>
    </row>
    <row r="33" spans="1:8" s="1" customFormat="1" ht="25.5" customHeight="1" x14ac:dyDescent="0.2">
      <c r="A33" s="216">
        <v>2</v>
      </c>
      <c r="B33" s="754" t="s">
        <v>151</v>
      </c>
      <c r="C33" s="754"/>
      <c r="D33" s="754"/>
      <c r="E33" s="199" t="s">
        <v>150</v>
      </c>
      <c r="F33" s="755"/>
      <c r="G33" s="756"/>
    </row>
    <row r="34" spans="1:8" s="1" customFormat="1" ht="25.5" customHeight="1" x14ac:dyDescent="0.2">
      <c r="A34" s="216">
        <v>3</v>
      </c>
      <c r="B34" s="754" t="s">
        <v>152</v>
      </c>
      <c r="C34" s="754"/>
      <c r="D34" s="754"/>
      <c r="E34" s="199" t="s">
        <v>150</v>
      </c>
      <c r="F34" s="755"/>
      <c r="G34" s="756"/>
    </row>
    <row r="35" spans="1:8" s="1" customFormat="1" ht="25.5" customHeight="1" x14ac:dyDescent="0.2">
      <c r="A35" s="216">
        <v>4</v>
      </c>
      <c r="B35" s="754" t="s">
        <v>153</v>
      </c>
      <c r="C35" s="754"/>
      <c r="D35" s="754"/>
      <c r="E35" s="199" t="s">
        <v>154</v>
      </c>
      <c r="F35" s="755"/>
      <c r="G35" s="756"/>
    </row>
    <row r="36" spans="1:8" s="1" customFormat="1" ht="25.5" customHeight="1" x14ac:dyDescent="0.2">
      <c r="A36" s="216">
        <v>5</v>
      </c>
      <c r="B36" s="754" t="s">
        <v>155</v>
      </c>
      <c r="C36" s="754"/>
      <c r="D36" s="754"/>
      <c r="E36" s="199" t="s">
        <v>154</v>
      </c>
      <c r="F36" s="757"/>
      <c r="G36" s="758"/>
    </row>
    <row r="37" spans="1:8" s="1" customFormat="1" ht="25.5" customHeight="1" thickBot="1" x14ac:dyDescent="0.25">
      <c r="A37" s="217">
        <v>6</v>
      </c>
      <c r="B37" s="748" t="s">
        <v>156</v>
      </c>
      <c r="C37" s="748"/>
      <c r="D37" s="748"/>
      <c r="E37" s="218" t="s">
        <v>154</v>
      </c>
      <c r="F37" s="749"/>
      <c r="G37" s="750"/>
    </row>
    <row r="38" spans="1:8" ht="15.75" thickBot="1" x14ac:dyDescent="0.3"/>
    <row r="39" spans="1:8" ht="79.5" thickBot="1" x14ac:dyDescent="0.3">
      <c r="B39" s="2" t="s">
        <v>39</v>
      </c>
      <c r="C39" s="11" t="s">
        <v>92</v>
      </c>
      <c r="D39" s="11" t="s">
        <v>93</v>
      </c>
      <c r="E39" s="2" t="s">
        <v>94</v>
      </c>
      <c r="F39" s="2" t="s">
        <v>95</v>
      </c>
      <c r="G39" s="21" t="s">
        <v>96</v>
      </c>
    </row>
    <row r="40" spans="1:8" ht="15.75" thickBot="1" x14ac:dyDescent="0.3">
      <c r="B40" s="3">
        <f>'CARTA DE CONTROL'!R152</f>
        <v>0</v>
      </c>
      <c r="C40" s="4">
        <f>'CARTA DE CONTROL'!AR152</f>
        <v>0.69</v>
      </c>
      <c r="D40" s="4">
        <f>'CARTA DE CONTROL'!AS152</f>
        <v>-0.69</v>
      </c>
      <c r="E40" s="6">
        <f>'CARTA DE CONTROL'!I152</f>
        <v>1</v>
      </c>
      <c r="F40" s="7">
        <f>-('CARTA DE CONTROL'!I152)</f>
        <v>-1</v>
      </c>
      <c r="G40" s="5" t="str">
        <f>IF(C40&lt;=5,IF(D40&gt;=-5,"PASS","NO PASS"))</f>
        <v>PASS</v>
      </c>
    </row>
    <row r="41" spans="1:8" ht="15.75" thickBot="1" x14ac:dyDescent="0.3">
      <c r="B41" s="3">
        <f>'CARTA DE CONTROL'!R153</f>
        <v>36.29</v>
      </c>
      <c r="C41" s="4">
        <f>'CARTA DE CONTROL'!AR153</f>
        <v>1.8799999999999994</v>
      </c>
      <c r="D41" s="4">
        <f>'CARTA DE CONTROL'!AS153</f>
        <v>0.33999999999999941</v>
      </c>
      <c r="E41" s="6">
        <f>'CARTA DE CONTROL'!I153</f>
        <v>2</v>
      </c>
      <c r="F41" s="7">
        <f>-('CARTA DE CONTROL'!I153)</f>
        <v>-2</v>
      </c>
      <c r="G41" s="5" t="str">
        <f t="shared" ref="G41:G43" si="0">IF(C41&lt;=5,IF(D41&gt;=-5,"PASS","NO PASS"))</f>
        <v>PASS</v>
      </c>
    </row>
    <row r="42" spans="1:8" ht="15.75" thickBot="1" x14ac:dyDescent="0.3">
      <c r="B42" s="3">
        <f>'CARTA DE CONTROL'!R154</f>
        <v>74.069999999999993</v>
      </c>
      <c r="C42" s="4">
        <f>'CARTA DE CONTROL'!AR154</f>
        <v>0.80000000000000115</v>
      </c>
      <c r="D42" s="4">
        <f>'CARTA DE CONTROL'!AS154</f>
        <v>-0.73999999999999888</v>
      </c>
      <c r="E42" s="6">
        <f>'CARTA DE CONTROL'!I154</f>
        <v>2</v>
      </c>
      <c r="F42" s="7">
        <f>-('CARTA DE CONTROL'!I154)</f>
        <v>-2</v>
      </c>
      <c r="G42" s="5" t="str">
        <f t="shared" si="0"/>
        <v>PASS</v>
      </c>
    </row>
    <row r="43" spans="1:8" ht="15.75" thickBot="1" x14ac:dyDescent="0.3">
      <c r="A43" s="1"/>
      <c r="B43" s="3">
        <f>'CARTA DE CONTROL'!R155</f>
        <v>99.67</v>
      </c>
      <c r="C43" s="4">
        <f>'CARTA DE CONTROL'!AR155</f>
        <v>0.93999999999999828</v>
      </c>
      <c r="D43" s="4">
        <f>'CARTA DE CONTROL'!AS155</f>
        <v>-0.28000000000000169</v>
      </c>
      <c r="E43" s="6">
        <f>'CARTA DE CONTROL'!I155</f>
        <v>1</v>
      </c>
      <c r="F43" s="7">
        <f>-('CARTA DE CONTROL'!I155)</f>
        <v>-1</v>
      </c>
      <c r="G43" s="5" t="str">
        <f t="shared" si="0"/>
        <v>PASS</v>
      </c>
      <c r="H43" s="1"/>
    </row>
    <row r="44" spans="1:8" x14ac:dyDescent="0.25">
      <c r="A44" s="1"/>
      <c r="B44" s="1"/>
      <c r="C44" s="1"/>
      <c r="D44" s="1"/>
    </row>
    <row r="45" spans="1:8" x14ac:dyDescent="0.25">
      <c r="A45" s="1"/>
      <c r="B45" s="1"/>
      <c r="C45" s="1"/>
      <c r="D45" s="1"/>
    </row>
    <row r="46" spans="1:8" x14ac:dyDescent="0.25">
      <c r="A46" s="1"/>
      <c r="B46" s="1"/>
      <c r="C46" s="1"/>
      <c r="D46" s="1"/>
    </row>
    <row r="47" spans="1:8" x14ac:dyDescent="0.25">
      <c r="A47" s="1"/>
      <c r="B47" s="1"/>
      <c r="C47" s="1"/>
      <c r="D47" s="1"/>
      <c r="E47" s="1"/>
      <c r="F47" s="1"/>
      <c r="G47" s="1"/>
      <c r="H47" s="1"/>
    </row>
    <row r="48" spans="1:8" x14ac:dyDescent="0.25">
      <c r="A48" s="1"/>
      <c r="B48" s="1"/>
      <c r="C48" s="1"/>
      <c r="D48" s="1"/>
      <c r="E48" s="1"/>
      <c r="F48" s="1"/>
      <c r="G48" s="1"/>
      <c r="H48" s="1"/>
    </row>
    <row r="49" spans="1:8" x14ac:dyDescent="0.25">
      <c r="A49" s="1"/>
      <c r="B49" s="1"/>
      <c r="C49" s="1"/>
      <c r="D49" s="1"/>
      <c r="E49" s="1"/>
      <c r="F49" s="1"/>
      <c r="G49" s="1"/>
      <c r="H49" s="1"/>
    </row>
    <row r="50" spans="1:8" x14ac:dyDescent="0.25">
      <c r="A50" s="1"/>
      <c r="B50" s="1"/>
      <c r="C50" s="1"/>
      <c r="D50" s="1"/>
      <c r="E50" s="1"/>
      <c r="F50" s="1"/>
      <c r="G50" s="1"/>
      <c r="H50" s="1"/>
    </row>
    <row r="51" spans="1:8" x14ac:dyDescent="0.25">
      <c r="A51" s="1"/>
      <c r="B51" s="1"/>
      <c r="C51" s="1"/>
      <c r="D51" s="1"/>
      <c r="E51" s="1"/>
      <c r="F51" s="1"/>
      <c r="G51" s="1"/>
      <c r="H51" s="1"/>
    </row>
    <row r="52" spans="1:8" x14ac:dyDescent="0.25">
      <c r="A52" s="1"/>
      <c r="B52" s="1"/>
      <c r="C52" s="1"/>
      <c r="D52" s="1"/>
      <c r="E52" s="1"/>
      <c r="F52" s="1"/>
      <c r="G52" s="1"/>
      <c r="H52" s="1"/>
    </row>
    <row r="53" spans="1:8" x14ac:dyDescent="0.25">
      <c r="A53" s="1"/>
      <c r="B53" s="1"/>
      <c r="C53" s="1"/>
      <c r="D53" s="1"/>
      <c r="E53" s="1"/>
      <c r="F53" s="1"/>
      <c r="G53" s="1"/>
      <c r="H53" s="1"/>
    </row>
    <row r="54" spans="1:8" x14ac:dyDescent="0.25">
      <c r="A54" s="1"/>
      <c r="B54" s="1"/>
      <c r="C54" s="1"/>
      <c r="D54" s="1"/>
      <c r="E54" s="1"/>
      <c r="F54" s="1"/>
      <c r="G54" s="1"/>
      <c r="H54" s="1"/>
    </row>
    <row r="55" spans="1:8" x14ac:dyDescent="0.25">
      <c r="A55" s="1"/>
      <c r="B55" s="1"/>
      <c r="C55" s="1"/>
      <c r="D55" s="1"/>
      <c r="E55" s="1"/>
      <c r="F55" s="1"/>
      <c r="G55" s="1"/>
      <c r="H55" s="1"/>
    </row>
    <row r="56" spans="1:8" x14ac:dyDescent="0.25">
      <c r="A56" s="1"/>
      <c r="B56" s="1"/>
      <c r="C56" s="1"/>
      <c r="D56" s="1"/>
      <c r="E56" s="1"/>
      <c r="F56" s="1"/>
      <c r="G56" s="1"/>
      <c r="H56" s="1"/>
    </row>
  </sheetData>
  <mergeCells count="52">
    <mergeCell ref="B37:D37"/>
    <mergeCell ref="F37:G37"/>
    <mergeCell ref="B34:D34"/>
    <mergeCell ref="F34:G34"/>
    <mergeCell ref="B35:D35"/>
    <mergeCell ref="F35:G35"/>
    <mergeCell ref="B36:D36"/>
    <mergeCell ref="F36:G36"/>
    <mergeCell ref="B33:D33"/>
    <mergeCell ref="F33:G33"/>
    <mergeCell ref="B26:D26"/>
    <mergeCell ref="F26:G26"/>
    <mergeCell ref="B27:D27"/>
    <mergeCell ref="F27:G27"/>
    <mergeCell ref="B28:D28"/>
    <mergeCell ref="F28:G28"/>
    <mergeCell ref="A30:G30"/>
    <mergeCell ref="B31:D31"/>
    <mergeCell ref="F31:G31"/>
    <mergeCell ref="B32:D32"/>
    <mergeCell ref="F32:G32"/>
    <mergeCell ref="B23:D23"/>
    <mergeCell ref="F23:G23"/>
    <mergeCell ref="B24:D24"/>
    <mergeCell ref="F24:G24"/>
    <mergeCell ref="B25:D25"/>
    <mergeCell ref="F25:G25"/>
    <mergeCell ref="B20:D20"/>
    <mergeCell ref="F20:G20"/>
    <mergeCell ref="B21:D21"/>
    <mergeCell ref="F21:G21"/>
    <mergeCell ref="B22:D22"/>
    <mergeCell ref="F22:G22"/>
    <mergeCell ref="B17:D17"/>
    <mergeCell ref="F17:G17"/>
    <mergeCell ref="B18:D18"/>
    <mergeCell ref="F18:G18"/>
    <mergeCell ref="B19:D19"/>
    <mergeCell ref="F19:G19"/>
    <mergeCell ref="B14:D14"/>
    <mergeCell ref="F14:G14"/>
    <mergeCell ref="B15:D15"/>
    <mergeCell ref="F15:G15"/>
    <mergeCell ref="B16:D16"/>
    <mergeCell ref="F16:G16"/>
    <mergeCell ref="B13:D13"/>
    <mergeCell ref="F13:G13"/>
    <mergeCell ref="C7:E7"/>
    <mergeCell ref="C8:E8"/>
    <mergeCell ref="C9:E9"/>
    <mergeCell ref="C10:E10"/>
    <mergeCell ref="A12:G12"/>
  </mergeCells>
  <conditionalFormatting sqref="G40">
    <cfRule type="cellIs" dxfId="83" priority="5" operator="lessThan">
      <formula>$F$70</formula>
    </cfRule>
    <cfRule type="cellIs" dxfId="82" priority="6" operator="lessThan">
      <formula>0.05</formula>
    </cfRule>
  </conditionalFormatting>
  <conditionalFormatting sqref="G40">
    <cfRule type="cellIs" dxfId="81" priority="4" operator="between">
      <formula>$F$70</formula>
      <formula>$G$70</formula>
    </cfRule>
  </conditionalFormatting>
  <conditionalFormatting sqref="G41:G43">
    <cfRule type="cellIs" dxfId="80" priority="2" operator="lessThan">
      <formula>$F$70</formula>
    </cfRule>
    <cfRule type="cellIs" dxfId="79" priority="3" operator="lessThan">
      <formula>0.05</formula>
    </cfRule>
  </conditionalFormatting>
  <conditionalFormatting sqref="G41:G43">
    <cfRule type="cellIs" dxfId="78" priority="1" operator="between">
      <formula>$F$70</formula>
      <formula>$G$70</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1"/>
  <sheetViews>
    <sheetView topLeftCell="A52" zoomScale="85" zoomScaleNormal="85" workbookViewId="0">
      <selection activeCell="B42" sqref="B42"/>
    </sheetView>
  </sheetViews>
  <sheetFormatPr baseColWidth="10" defaultRowHeight="15" x14ac:dyDescent="0.25"/>
  <cols>
    <col min="1" max="1" width="6.140625" customWidth="1"/>
    <col min="2" max="2" width="22.85546875" customWidth="1"/>
    <col min="3" max="3" width="21.7109375" customWidth="1"/>
    <col min="4" max="4" width="21" customWidth="1"/>
    <col min="5" max="5" width="22.7109375" customWidth="1"/>
    <col min="6" max="7" width="13" customWidth="1"/>
    <col min="8" max="8" width="13.85546875" customWidth="1"/>
  </cols>
  <sheetData>
    <row r="1" spans="1:11" ht="15" customHeight="1" x14ac:dyDescent="0.25">
      <c r="E1" s="214"/>
    </row>
    <row r="2" spans="1:11" ht="15" customHeight="1" x14ac:dyDescent="0.25">
      <c r="B2" s="189"/>
      <c r="C2" s="189"/>
      <c r="D2" s="189"/>
      <c r="E2" s="215"/>
      <c r="F2" s="189"/>
      <c r="G2" s="189"/>
      <c r="H2" s="189"/>
    </row>
    <row r="3" spans="1:11" ht="15" customHeight="1" x14ac:dyDescent="0.25">
      <c r="B3" s="189"/>
      <c r="C3" s="189"/>
      <c r="D3" s="189"/>
      <c r="E3" s="215"/>
      <c r="F3" s="189"/>
      <c r="G3" s="189"/>
      <c r="H3" s="189"/>
    </row>
    <row r="4" spans="1:11" ht="15" customHeight="1" x14ac:dyDescent="0.25">
      <c r="B4" s="189"/>
      <c r="C4" s="189"/>
      <c r="D4" s="189"/>
      <c r="E4" s="215"/>
      <c r="F4" s="189"/>
      <c r="G4" s="189"/>
      <c r="H4" s="189"/>
    </row>
    <row r="5" spans="1:11" ht="15" customHeight="1" x14ac:dyDescent="0.25">
      <c r="B5" s="189"/>
      <c r="C5" s="189"/>
      <c r="D5" s="189"/>
      <c r="E5" s="215"/>
      <c r="F5" s="189"/>
      <c r="G5" s="189"/>
      <c r="H5" s="189"/>
    </row>
    <row r="6" spans="1:11" ht="15" customHeight="1" x14ac:dyDescent="0.25">
      <c r="B6" s="189"/>
      <c r="C6" s="189"/>
      <c r="D6" s="189"/>
      <c r="E6" s="215"/>
      <c r="F6" s="189"/>
      <c r="G6" s="189"/>
      <c r="H6" s="189"/>
    </row>
    <row r="7" spans="1:11" x14ac:dyDescent="0.25">
      <c r="B7" s="231" t="s">
        <v>157</v>
      </c>
      <c r="C7" s="770" t="str">
        <f>'CARTA DE CONTROL'!B156</f>
        <v>LUXOMETRO</v>
      </c>
      <c r="D7" s="771"/>
      <c r="E7" s="772"/>
    </row>
    <row r="8" spans="1:11" x14ac:dyDescent="0.25">
      <c r="B8" s="231" t="s">
        <v>158</v>
      </c>
      <c r="C8" s="770" t="str">
        <f>'CARTA DE CONTROL'!D156</f>
        <v>TECNIMAQ</v>
      </c>
      <c r="D8" s="771"/>
      <c r="E8" s="772"/>
    </row>
    <row r="9" spans="1:11" x14ac:dyDescent="0.25">
      <c r="B9" s="231" t="s">
        <v>159</v>
      </c>
      <c r="C9" s="770" t="str">
        <f>'CARTA DE CONTROL'!E156</f>
        <v>TMI-LUX</v>
      </c>
      <c r="D9" s="771"/>
      <c r="E9" s="772"/>
    </row>
    <row r="10" spans="1:11" x14ac:dyDescent="0.25">
      <c r="B10" s="231" t="s">
        <v>160</v>
      </c>
      <c r="C10" s="786" t="str">
        <f>'CARTA DE CONTROL'!F156</f>
        <v>TMI-LUX-0048</v>
      </c>
      <c r="D10" s="787"/>
      <c r="E10" s="788"/>
    </row>
    <row r="11" spans="1:11" ht="15" customHeight="1" thickBot="1" x14ac:dyDescent="0.3">
      <c r="B11" s="189"/>
      <c r="C11" s="189"/>
      <c r="D11" s="189"/>
      <c r="E11" s="215"/>
      <c r="F11" s="189"/>
      <c r="G11" s="189"/>
      <c r="H11" s="202"/>
      <c r="I11" s="203"/>
      <c r="J11" s="203"/>
      <c r="K11" s="203"/>
    </row>
    <row r="12" spans="1:11" s="190" customFormat="1" ht="34.5" customHeight="1" x14ac:dyDescent="0.2">
      <c r="A12" s="776" t="s">
        <v>127</v>
      </c>
      <c r="B12" s="777"/>
      <c r="C12" s="777"/>
      <c r="D12" s="777"/>
      <c r="E12" s="777"/>
      <c r="F12" s="777"/>
      <c r="G12" s="778"/>
      <c r="H12" s="204"/>
      <c r="I12" s="204"/>
      <c r="J12" s="204"/>
      <c r="K12" s="204"/>
    </row>
    <row r="13" spans="1:11" s="190" customFormat="1" ht="15" customHeight="1" x14ac:dyDescent="0.2">
      <c r="A13" s="207" t="s">
        <v>128</v>
      </c>
      <c r="B13" s="779" t="s">
        <v>129</v>
      </c>
      <c r="C13" s="780"/>
      <c r="D13" s="781"/>
      <c r="E13" s="201" t="s">
        <v>130</v>
      </c>
      <c r="F13" s="782" t="s">
        <v>131</v>
      </c>
      <c r="G13" s="783"/>
      <c r="H13" s="205"/>
      <c r="I13" s="205"/>
      <c r="J13" s="205"/>
      <c r="K13" s="205"/>
    </row>
    <row r="14" spans="1:11" s="1" customFormat="1" ht="35.25" customHeight="1" x14ac:dyDescent="0.2">
      <c r="A14" s="208">
        <v>1</v>
      </c>
      <c r="B14" s="761" t="s">
        <v>132</v>
      </c>
      <c r="C14" s="761"/>
      <c r="D14" s="761"/>
      <c r="E14" s="192" t="s">
        <v>133</v>
      </c>
      <c r="F14" s="762"/>
      <c r="G14" s="763"/>
      <c r="H14" s="206"/>
      <c r="I14" s="206"/>
      <c r="J14" s="206"/>
      <c r="K14" s="206"/>
    </row>
    <row r="15" spans="1:11" s="1" customFormat="1" ht="35.25" customHeight="1" x14ac:dyDescent="0.2">
      <c r="A15" s="208">
        <v>2</v>
      </c>
      <c r="B15" s="761" t="s">
        <v>134</v>
      </c>
      <c r="C15" s="761"/>
      <c r="D15" s="761"/>
      <c r="E15" s="192" t="s">
        <v>133</v>
      </c>
      <c r="F15" s="762"/>
      <c r="G15" s="763"/>
    </row>
    <row r="16" spans="1:11" s="1" customFormat="1" ht="35.25" customHeight="1" x14ac:dyDescent="0.2">
      <c r="A16" s="208">
        <v>3</v>
      </c>
      <c r="B16" s="761" t="s">
        <v>135</v>
      </c>
      <c r="C16" s="761"/>
      <c r="D16" s="761"/>
      <c r="E16" s="192" t="s">
        <v>133</v>
      </c>
      <c r="F16" s="762"/>
      <c r="G16" s="763"/>
    </row>
    <row r="17" spans="1:11" s="1" customFormat="1" ht="35.25" customHeight="1" x14ac:dyDescent="0.2">
      <c r="A17" s="208">
        <v>4</v>
      </c>
      <c r="B17" s="761" t="s">
        <v>136</v>
      </c>
      <c r="C17" s="761"/>
      <c r="D17" s="761"/>
      <c r="E17" s="192" t="s">
        <v>133</v>
      </c>
      <c r="F17" s="784"/>
      <c r="G17" s="785"/>
    </row>
    <row r="18" spans="1:11" s="1" customFormat="1" ht="35.25" customHeight="1" x14ac:dyDescent="0.2">
      <c r="A18" s="208">
        <v>5</v>
      </c>
      <c r="B18" s="761" t="s">
        <v>137</v>
      </c>
      <c r="C18" s="761"/>
      <c r="D18" s="761"/>
      <c r="E18" s="192" t="s">
        <v>133</v>
      </c>
      <c r="F18" s="762"/>
      <c r="G18" s="763"/>
    </row>
    <row r="19" spans="1:11" s="1" customFormat="1" ht="35.25" customHeight="1" x14ac:dyDescent="0.2">
      <c r="A19" s="208">
        <v>6</v>
      </c>
      <c r="B19" s="761" t="s">
        <v>138</v>
      </c>
      <c r="C19" s="761"/>
      <c r="D19" s="761"/>
      <c r="E19" s="192" t="s">
        <v>133</v>
      </c>
      <c r="F19" s="762"/>
      <c r="G19" s="763"/>
    </row>
    <row r="20" spans="1:11" s="1" customFormat="1" ht="35.25" customHeight="1" x14ac:dyDescent="0.2">
      <c r="A20" s="208">
        <v>7</v>
      </c>
      <c r="B20" s="761" t="s">
        <v>139</v>
      </c>
      <c r="C20" s="761"/>
      <c r="D20" s="761"/>
      <c r="E20" s="192" t="s">
        <v>133</v>
      </c>
      <c r="F20" s="762"/>
      <c r="G20" s="763"/>
    </row>
    <row r="21" spans="1:11" s="1" customFormat="1" ht="35.25" customHeight="1" x14ac:dyDescent="0.2">
      <c r="A21" s="208">
        <v>8</v>
      </c>
      <c r="B21" s="761" t="s">
        <v>140</v>
      </c>
      <c r="C21" s="761"/>
      <c r="D21" s="761"/>
      <c r="E21" s="192" t="s">
        <v>133</v>
      </c>
      <c r="F21" s="762"/>
      <c r="G21" s="763"/>
    </row>
    <row r="22" spans="1:11" s="1" customFormat="1" ht="35.25" customHeight="1" x14ac:dyDescent="0.2">
      <c r="A22" s="208">
        <v>9</v>
      </c>
      <c r="B22" s="761" t="s">
        <v>141</v>
      </c>
      <c r="C22" s="761"/>
      <c r="D22" s="761"/>
      <c r="E22" s="192" t="s">
        <v>133</v>
      </c>
      <c r="F22" s="762"/>
      <c r="G22" s="763"/>
    </row>
    <row r="23" spans="1:11" s="1" customFormat="1" ht="35.25" customHeight="1" x14ac:dyDescent="0.2">
      <c r="A23" s="208">
        <v>10</v>
      </c>
      <c r="B23" s="761" t="s">
        <v>142</v>
      </c>
      <c r="C23" s="761"/>
      <c r="D23" s="761"/>
      <c r="E23" s="192" t="s">
        <v>133</v>
      </c>
      <c r="F23" s="762"/>
      <c r="G23" s="763"/>
    </row>
    <row r="24" spans="1:11" s="1" customFormat="1" ht="35.25" customHeight="1" x14ac:dyDescent="0.2">
      <c r="A24" s="208">
        <v>11</v>
      </c>
      <c r="B24" s="761" t="s">
        <v>143</v>
      </c>
      <c r="C24" s="761"/>
      <c r="D24" s="761"/>
      <c r="E24" s="192" t="s">
        <v>133</v>
      </c>
      <c r="F24" s="762"/>
      <c r="G24" s="763"/>
    </row>
    <row r="25" spans="1:11" s="194" customFormat="1" ht="35.25" customHeight="1" x14ac:dyDescent="0.2">
      <c r="A25" s="209">
        <v>12</v>
      </c>
      <c r="B25" s="761" t="s">
        <v>144</v>
      </c>
      <c r="C25" s="761"/>
      <c r="D25" s="761"/>
      <c r="E25" s="193" t="s">
        <v>133</v>
      </c>
      <c r="F25" s="762"/>
      <c r="G25" s="763"/>
    </row>
    <row r="26" spans="1:11" s="1" customFormat="1" ht="35.25" customHeight="1" x14ac:dyDescent="0.2">
      <c r="A26" s="208">
        <v>13</v>
      </c>
      <c r="B26" s="761" t="s">
        <v>145</v>
      </c>
      <c r="C26" s="761"/>
      <c r="D26" s="761"/>
      <c r="E26" s="192" t="s">
        <v>133</v>
      </c>
      <c r="F26" s="762"/>
      <c r="G26" s="763"/>
    </row>
    <row r="27" spans="1:11" s="1" customFormat="1" ht="35.25" customHeight="1" x14ac:dyDescent="0.2">
      <c r="A27" s="208">
        <v>14</v>
      </c>
      <c r="B27" s="761" t="s">
        <v>146</v>
      </c>
      <c r="C27" s="761"/>
      <c r="D27" s="761"/>
      <c r="E27" s="192" t="s">
        <v>133</v>
      </c>
      <c r="F27" s="762"/>
      <c r="G27" s="763"/>
    </row>
    <row r="28" spans="1:11" s="1" customFormat="1" ht="54.75" customHeight="1" thickBot="1" x14ac:dyDescent="0.25">
      <c r="A28" s="210">
        <v>15</v>
      </c>
      <c r="B28" s="764" t="s">
        <v>147</v>
      </c>
      <c r="C28" s="764"/>
      <c r="D28" s="764"/>
      <c r="E28" s="212" t="s">
        <v>133</v>
      </c>
      <c r="F28" s="765"/>
      <c r="G28" s="766"/>
    </row>
    <row r="29" spans="1:11" s="198" customFormat="1" ht="21" customHeight="1" thickBot="1" x14ac:dyDescent="0.25">
      <c r="B29" s="195"/>
      <c r="C29" s="196"/>
      <c r="D29" s="196"/>
      <c r="E29" s="195"/>
      <c r="F29" s="196"/>
      <c r="G29" s="196"/>
      <c r="H29" s="197"/>
      <c r="I29" s="197"/>
    </row>
    <row r="30" spans="1:11" s="219" customFormat="1" ht="15" customHeight="1" x14ac:dyDescent="0.2">
      <c r="A30" s="767" t="s">
        <v>148</v>
      </c>
      <c r="B30" s="768"/>
      <c r="C30" s="768"/>
      <c r="D30" s="768"/>
      <c r="E30" s="768"/>
      <c r="F30" s="768"/>
      <c r="G30" s="769"/>
      <c r="H30" s="222"/>
      <c r="I30" s="223"/>
      <c r="J30" s="223"/>
      <c r="K30" s="223"/>
    </row>
    <row r="31" spans="1:11" s="219" customFormat="1" ht="15" customHeight="1" x14ac:dyDescent="0.2">
      <c r="A31" s="220" t="s">
        <v>128</v>
      </c>
      <c r="B31" s="759" t="s">
        <v>129</v>
      </c>
      <c r="C31" s="759"/>
      <c r="D31" s="759"/>
      <c r="E31" s="221" t="s">
        <v>130</v>
      </c>
      <c r="F31" s="759" t="s">
        <v>131</v>
      </c>
      <c r="G31" s="760"/>
      <c r="H31" s="224"/>
      <c r="I31" s="225"/>
      <c r="J31" s="225"/>
      <c r="K31" s="225"/>
    </row>
    <row r="32" spans="1:11" s="1" customFormat="1" ht="55.5" customHeight="1" x14ac:dyDescent="0.2">
      <c r="A32" s="216">
        <v>1</v>
      </c>
      <c r="B32" s="754" t="s">
        <v>149</v>
      </c>
      <c r="C32" s="754"/>
      <c r="D32" s="754"/>
      <c r="E32" s="199" t="s">
        <v>150</v>
      </c>
      <c r="F32" s="755"/>
      <c r="G32" s="756"/>
      <c r="H32" s="226"/>
      <c r="I32" s="206"/>
      <c r="J32" s="206"/>
      <c r="K32" s="206"/>
    </row>
    <row r="33" spans="1:8" s="1" customFormat="1" ht="25.5" customHeight="1" x14ac:dyDescent="0.2">
      <c r="A33" s="216">
        <v>2</v>
      </c>
      <c r="B33" s="754" t="s">
        <v>151</v>
      </c>
      <c r="C33" s="754"/>
      <c r="D33" s="754"/>
      <c r="E33" s="199" t="s">
        <v>150</v>
      </c>
      <c r="F33" s="755"/>
      <c r="G33" s="756"/>
    </row>
    <row r="34" spans="1:8" s="1" customFormat="1" ht="25.5" customHeight="1" x14ac:dyDescent="0.2">
      <c r="A34" s="216">
        <v>3</v>
      </c>
      <c r="B34" s="754" t="s">
        <v>152</v>
      </c>
      <c r="C34" s="754"/>
      <c r="D34" s="754"/>
      <c r="E34" s="199" t="s">
        <v>150</v>
      </c>
      <c r="F34" s="755"/>
      <c r="G34" s="756"/>
    </row>
    <row r="35" spans="1:8" s="1" customFormat="1" ht="25.5" customHeight="1" x14ac:dyDescent="0.2">
      <c r="A35" s="216">
        <v>4</v>
      </c>
      <c r="B35" s="754" t="s">
        <v>153</v>
      </c>
      <c r="C35" s="754"/>
      <c r="D35" s="754"/>
      <c r="E35" s="199" t="s">
        <v>154</v>
      </c>
      <c r="F35" s="755"/>
      <c r="G35" s="756"/>
    </row>
    <row r="36" spans="1:8" s="1" customFormat="1" ht="25.5" customHeight="1" x14ac:dyDescent="0.2">
      <c r="A36" s="216">
        <v>5</v>
      </c>
      <c r="B36" s="754" t="s">
        <v>155</v>
      </c>
      <c r="C36" s="754"/>
      <c r="D36" s="754"/>
      <c r="E36" s="199" t="s">
        <v>154</v>
      </c>
      <c r="F36" s="757"/>
      <c r="G36" s="758"/>
    </row>
    <row r="37" spans="1:8" s="1" customFormat="1" ht="25.5" customHeight="1" thickBot="1" x14ac:dyDescent="0.25">
      <c r="A37" s="217">
        <v>6</v>
      </c>
      <c r="B37" s="748" t="s">
        <v>156</v>
      </c>
      <c r="C37" s="748"/>
      <c r="D37" s="748"/>
      <c r="E37" s="218" t="s">
        <v>154</v>
      </c>
      <c r="F37" s="749"/>
      <c r="G37" s="750"/>
    </row>
    <row r="39" spans="1:8" ht="15.75" thickBot="1" x14ac:dyDescent="0.3"/>
    <row r="40" spans="1:8" ht="72.75" thickBot="1" x14ac:dyDescent="0.3">
      <c r="B40" s="2" t="s">
        <v>97</v>
      </c>
      <c r="C40" s="11" t="s">
        <v>98</v>
      </c>
      <c r="D40" s="11" t="s">
        <v>99</v>
      </c>
      <c r="E40" s="22" t="s">
        <v>100</v>
      </c>
      <c r="F40" s="22" t="s">
        <v>101</v>
      </c>
      <c r="G40" s="22" t="s">
        <v>38</v>
      </c>
    </row>
    <row r="41" spans="1:8" ht="15.75" thickBot="1" x14ac:dyDescent="0.3">
      <c r="B41" s="338">
        <f>'CARTA DE CONTROL'!R156</f>
        <v>0</v>
      </c>
      <c r="C41" s="4">
        <f>'CARTA DE CONTROL'!AR156</f>
        <v>5.7000000000000002E-2</v>
      </c>
      <c r="D41" s="4">
        <f>'CARTA DE CONTROL'!AS156</f>
        <v>-5.7000000000000002E-2</v>
      </c>
      <c r="E41" s="6">
        <f>'CARTA DE CONTROL'!I156</f>
        <v>10</v>
      </c>
      <c r="F41" s="7">
        <f>-('CARTA DE CONTROL'!I156)</f>
        <v>-10</v>
      </c>
      <c r="G41" s="5" t="str">
        <f>IF(C41&lt;=10,IF(D41&gt;=-10,"PASS","NO PASS"))</f>
        <v>PASS</v>
      </c>
    </row>
    <row r="42" spans="1:8" ht="15.75" thickBot="1" x14ac:dyDescent="0.3">
      <c r="B42" s="20">
        <f>'CARTA DE CONTROL'!R157</f>
        <v>2.5</v>
      </c>
      <c r="C42" s="4">
        <f>'CARTA DE CONTROL'!AR157</f>
        <v>5.6000000000000005</v>
      </c>
      <c r="D42" s="4">
        <f>'CARTA DE CONTROL'!AS157</f>
        <v>-5.6000000000000005</v>
      </c>
      <c r="E42" s="6">
        <f>'CARTA DE CONTROL'!I157</f>
        <v>10</v>
      </c>
      <c r="F42" s="7">
        <f>-('CARTA DE CONTROL'!I157)</f>
        <v>-10</v>
      </c>
      <c r="G42" s="5" t="str">
        <f t="shared" ref="G42:G45" si="0">IF(C42&lt;=10,IF(D42&gt;=-10,"PASS","NO PASS"))</f>
        <v>PASS</v>
      </c>
    </row>
    <row r="43" spans="1:8" ht="15.75" thickBot="1" x14ac:dyDescent="0.3">
      <c r="B43" s="338">
        <f>'CARTA DE CONTROL'!R158</f>
        <v>10</v>
      </c>
      <c r="C43" s="4">
        <f>'CARTA DE CONTROL'!AR158</f>
        <v>4.6999999999999993</v>
      </c>
      <c r="D43" s="4">
        <f>'CARTA DE CONTROL'!AS158</f>
        <v>-2.5000000000000071</v>
      </c>
      <c r="E43" s="6">
        <f>'CARTA DE CONTROL'!I158</f>
        <v>10</v>
      </c>
      <c r="F43" s="7">
        <f>-('CARTA DE CONTROL'!I158)</f>
        <v>-10</v>
      </c>
      <c r="G43" s="5" t="str">
        <f t="shared" si="0"/>
        <v>PASS</v>
      </c>
    </row>
    <row r="44" spans="1:8" ht="15.75" thickBot="1" x14ac:dyDescent="0.3">
      <c r="B44" s="338">
        <f>'CARTA DE CONTROL'!R159</f>
        <v>26</v>
      </c>
      <c r="C44" s="4">
        <f>'CARTA DE CONTROL'!AR159</f>
        <v>0.36153846153846014</v>
      </c>
      <c r="D44" s="4">
        <f>'CARTA DE CONTROL'!AS159</f>
        <v>-0.84615384615385159</v>
      </c>
      <c r="E44" s="6">
        <f>'CARTA DE CONTROL'!I159</f>
        <v>10</v>
      </c>
      <c r="F44" s="7">
        <f>-('CARTA DE CONTROL'!I159)</f>
        <v>-10</v>
      </c>
      <c r="G44" s="5" t="str">
        <f t="shared" si="0"/>
        <v>PASS</v>
      </c>
    </row>
    <row r="45" spans="1:8" ht="15.75" thickBot="1" x14ac:dyDescent="0.3">
      <c r="B45" s="338">
        <f>'CARTA DE CONTROL'!R160</f>
        <v>0</v>
      </c>
      <c r="C45" s="4">
        <f>'CARTA DE CONTROL'!AR160</f>
        <v>5.7000000000000002E-2</v>
      </c>
      <c r="D45" s="4">
        <f>'CARTA DE CONTROL'!AS160</f>
        <v>-5.7000000000000002E-2</v>
      </c>
      <c r="E45" s="6">
        <f>'CARTA DE CONTROL'!I160</f>
        <v>10</v>
      </c>
      <c r="F45" s="7">
        <f>-('CARTA DE CONTROL'!I160)</f>
        <v>-10</v>
      </c>
      <c r="G45" s="5" t="str">
        <f t="shared" si="0"/>
        <v>PASS</v>
      </c>
    </row>
    <row r="46" spans="1:8" ht="15.75" thickBot="1" x14ac:dyDescent="0.3">
      <c r="B46" s="338">
        <f>'CARTA DE CONTROL'!R161</f>
        <v>56</v>
      </c>
      <c r="C46" s="4">
        <f>'CARTA DE CONTROL'!AR161</f>
        <v>3.6857142857142842</v>
      </c>
      <c r="D46" s="4">
        <f>'CARTA DE CONTROL'!AS161</f>
        <v>-5.3571428571428594</v>
      </c>
      <c r="E46" s="6">
        <f>'CARTA DE CONTROL'!I161</f>
        <v>10</v>
      </c>
      <c r="F46" s="7">
        <f>-('CARTA DE CONTROL'!I161)</f>
        <v>-10</v>
      </c>
      <c r="G46" s="5" t="str">
        <f t="shared" ref="G46:G47" si="1">IF(C46&lt;=10,IF(D46&gt;=-10,"PASS","NO PASS"))</f>
        <v>PASS</v>
      </c>
    </row>
    <row r="47" spans="1:8" ht="15.75" thickBot="1" x14ac:dyDescent="0.3">
      <c r="B47" s="338">
        <f>'CARTA DE CONTROL'!R162</f>
        <v>90</v>
      </c>
      <c r="C47" s="4">
        <f>'CARTA DE CONTROL'!AR162</f>
        <v>2.5222222222222195</v>
      </c>
      <c r="D47" s="4">
        <f>'CARTA DE CONTROL'!AS162</f>
        <v>-6.1111111111111143</v>
      </c>
      <c r="E47" s="6">
        <f>'CARTA DE CONTROL'!I162</f>
        <v>10</v>
      </c>
      <c r="F47" s="7">
        <f>-('CARTA DE CONTROL'!I162)</f>
        <v>-10</v>
      </c>
      <c r="G47" s="5" t="str">
        <f t="shared" si="1"/>
        <v>PASS</v>
      </c>
    </row>
    <row r="48" spans="1:8" x14ac:dyDescent="0.25">
      <c r="A48" s="1"/>
      <c r="B48" s="1"/>
      <c r="C48" s="1"/>
      <c r="D48" s="1"/>
      <c r="E48" s="1"/>
      <c r="F48" s="1"/>
      <c r="G48" s="1"/>
      <c r="H48" s="1"/>
    </row>
    <row r="49" spans="1:8" x14ac:dyDescent="0.25">
      <c r="A49" s="1"/>
      <c r="B49" s="1"/>
      <c r="C49" s="1"/>
      <c r="D49" s="1"/>
    </row>
    <row r="50" spans="1:8" x14ac:dyDescent="0.25">
      <c r="A50" s="1"/>
      <c r="B50" s="1"/>
      <c r="C50" s="1"/>
      <c r="D50" s="1"/>
    </row>
    <row r="51" spans="1:8" x14ac:dyDescent="0.25">
      <c r="A51" s="1"/>
      <c r="B51" s="1"/>
      <c r="C51" s="1"/>
      <c r="D51" s="1"/>
    </row>
    <row r="52" spans="1:8" x14ac:dyDescent="0.25">
      <c r="A52" s="1"/>
      <c r="B52" s="1"/>
      <c r="C52" s="1"/>
      <c r="D52" s="1"/>
      <c r="E52" s="1"/>
      <c r="F52" s="1"/>
      <c r="G52" s="1"/>
      <c r="H52" s="1"/>
    </row>
    <row r="53" spans="1:8" x14ac:dyDescent="0.25">
      <c r="A53" s="1"/>
      <c r="B53" s="1"/>
      <c r="C53" s="1"/>
      <c r="D53" s="1"/>
      <c r="E53" s="1"/>
      <c r="F53" s="1"/>
      <c r="G53" s="1"/>
      <c r="H53" s="1"/>
    </row>
    <row r="54" spans="1:8" x14ac:dyDescent="0.25">
      <c r="A54" s="1"/>
      <c r="B54" s="1"/>
      <c r="C54" s="1"/>
      <c r="D54" s="1"/>
      <c r="E54" s="1"/>
      <c r="F54" s="1"/>
      <c r="G54" s="1"/>
      <c r="H54" s="1"/>
    </row>
    <row r="55" spans="1:8" x14ac:dyDescent="0.25">
      <c r="A55" s="1"/>
      <c r="B55" s="1"/>
      <c r="C55" s="1"/>
      <c r="D55" s="1"/>
      <c r="E55" s="1"/>
      <c r="F55" s="1"/>
      <c r="G55" s="1"/>
      <c r="H55" s="1"/>
    </row>
    <row r="56" spans="1:8" x14ac:dyDescent="0.25">
      <c r="A56" s="1"/>
      <c r="B56" s="1"/>
      <c r="C56" s="1"/>
      <c r="D56" s="1"/>
      <c r="E56" s="1"/>
      <c r="F56" s="1"/>
      <c r="G56" s="1"/>
      <c r="H56" s="1"/>
    </row>
    <row r="57" spans="1:8" x14ac:dyDescent="0.25">
      <c r="A57" s="1"/>
      <c r="B57" s="1"/>
      <c r="C57" s="1"/>
      <c r="D57" s="1"/>
      <c r="E57" s="1"/>
      <c r="F57" s="1"/>
      <c r="G57" s="1"/>
      <c r="H57" s="1"/>
    </row>
    <row r="58" spans="1:8" x14ac:dyDescent="0.25">
      <c r="A58" s="1"/>
      <c r="B58" s="1"/>
      <c r="C58" s="1"/>
      <c r="D58" s="1"/>
      <c r="E58" s="1"/>
      <c r="F58" s="1"/>
      <c r="G58" s="1"/>
      <c r="H58" s="1"/>
    </row>
    <row r="59" spans="1:8" x14ac:dyDescent="0.25">
      <c r="A59" s="1"/>
      <c r="B59" s="1"/>
      <c r="C59" s="1"/>
      <c r="D59" s="1"/>
      <c r="E59" s="1"/>
      <c r="F59" s="1"/>
      <c r="G59" s="1"/>
      <c r="H59" s="1"/>
    </row>
    <row r="60" spans="1:8" x14ac:dyDescent="0.25">
      <c r="A60" s="1"/>
      <c r="B60" s="1"/>
      <c r="C60" s="1"/>
      <c r="D60" s="1"/>
      <c r="E60" s="1"/>
      <c r="F60" s="1"/>
      <c r="G60" s="1"/>
      <c r="H60" s="1"/>
    </row>
    <row r="61" spans="1:8" x14ac:dyDescent="0.25">
      <c r="A61" s="1"/>
      <c r="B61" s="1"/>
      <c r="C61" s="1"/>
      <c r="D61" s="1"/>
      <c r="E61" s="1"/>
      <c r="F61" s="1"/>
      <c r="G61" s="1"/>
      <c r="H61" s="1"/>
    </row>
  </sheetData>
  <mergeCells count="52">
    <mergeCell ref="B37:D37"/>
    <mergeCell ref="F37:G37"/>
    <mergeCell ref="B34:D34"/>
    <mergeCell ref="F34:G34"/>
    <mergeCell ref="B35:D35"/>
    <mergeCell ref="F35:G35"/>
    <mergeCell ref="B36:D36"/>
    <mergeCell ref="F36:G36"/>
    <mergeCell ref="B33:D33"/>
    <mergeCell ref="F33:G33"/>
    <mergeCell ref="B26:D26"/>
    <mergeCell ref="F26:G26"/>
    <mergeCell ref="B27:D27"/>
    <mergeCell ref="F27:G27"/>
    <mergeCell ref="B28:D28"/>
    <mergeCell ref="F28:G28"/>
    <mergeCell ref="A30:G30"/>
    <mergeCell ref="B31:D31"/>
    <mergeCell ref="F31:G31"/>
    <mergeCell ref="B32:D32"/>
    <mergeCell ref="F32:G32"/>
    <mergeCell ref="B23:D23"/>
    <mergeCell ref="F23:G23"/>
    <mergeCell ref="B24:D24"/>
    <mergeCell ref="F24:G24"/>
    <mergeCell ref="B25:D25"/>
    <mergeCell ref="F25:G25"/>
    <mergeCell ref="B20:D20"/>
    <mergeCell ref="F20:G20"/>
    <mergeCell ref="B21:D21"/>
    <mergeCell ref="F21:G21"/>
    <mergeCell ref="B22:D22"/>
    <mergeCell ref="F22:G22"/>
    <mergeCell ref="B17:D17"/>
    <mergeCell ref="F17:G17"/>
    <mergeCell ref="B18:D18"/>
    <mergeCell ref="F18:G18"/>
    <mergeCell ref="B19:D19"/>
    <mergeCell ref="F19:G19"/>
    <mergeCell ref="B14:D14"/>
    <mergeCell ref="F14:G14"/>
    <mergeCell ref="B15:D15"/>
    <mergeCell ref="F15:G15"/>
    <mergeCell ref="B16:D16"/>
    <mergeCell ref="F16:G16"/>
    <mergeCell ref="B13:D13"/>
    <mergeCell ref="F13:G13"/>
    <mergeCell ref="C7:E7"/>
    <mergeCell ref="C8:E8"/>
    <mergeCell ref="C9:E9"/>
    <mergeCell ref="C10:E10"/>
    <mergeCell ref="A12:G12"/>
  </mergeCells>
  <conditionalFormatting sqref="G41:G47">
    <cfRule type="cellIs" dxfId="77" priority="11" operator="lessThan">
      <formula>$F$75</formula>
    </cfRule>
    <cfRule type="cellIs" dxfId="76" priority="12" operator="lessThan">
      <formula>0.05</formula>
    </cfRule>
  </conditionalFormatting>
  <conditionalFormatting sqref="G41:G47">
    <cfRule type="cellIs" dxfId="75" priority="10" operator="between">
      <formula>$F$75</formula>
      <formula>$G$75</formula>
    </cfRule>
  </conditionalFormatting>
  <pageMargins left="0.7" right="0.7" top="0.75" bottom="0.75" header="0.3" footer="0.3"/>
  <pageSetup orientation="portrait" verticalDpi="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5"/>
  <sheetViews>
    <sheetView topLeftCell="A55" workbookViewId="0">
      <selection activeCell="B52" sqref="B52"/>
    </sheetView>
  </sheetViews>
  <sheetFormatPr baseColWidth="10" defaultRowHeight="15" x14ac:dyDescent="0.25"/>
  <cols>
    <col min="1" max="1" width="4.28515625" customWidth="1"/>
    <col min="2" max="2" width="22.85546875" customWidth="1"/>
    <col min="3" max="3" width="21.7109375" customWidth="1"/>
    <col min="4" max="4" width="21" customWidth="1"/>
    <col min="5" max="5" width="22.7109375" customWidth="1"/>
    <col min="7" max="7" width="12.5703125" customWidth="1"/>
    <col min="8" max="8" width="12.7109375" customWidth="1"/>
  </cols>
  <sheetData>
    <row r="1" spans="1:11" ht="15" customHeight="1" x14ac:dyDescent="0.25">
      <c r="E1" s="214"/>
    </row>
    <row r="2" spans="1:11" ht="15" customHeight="1" x14ac:dyDescent="0.25">
      <c r="B2" s="189"/>
      <c r="C2" s="189"/>
      <c r="D2" s="189"/>
      <c r="E2" s="215"/>
      <c r="F2" s="189"/>
      <c r="G2" s="189"/>
      <c r="H2" s="189"/>
    </row>
    <row r="3" spans="1:11" ht="15" customHeight="1" x14ac:dyDescent="0.25">
      <c r="B3" s="189"/>
      <c r="C3" s="189"/>
      <c r="D3" s="189"/>
      <c r="E3" s="215"/>
      <c r="F3" s="189"/>
      <c r="G3" s="189"/>
      <c r="H3" s="189"/>
    </row>
    <row r="4" spans="1:11" ht="15" customHeight="1" x14ac:dyDescent="0.25">
      <c r="B4" s="189"/>
      <c r="C4" s="189"/>
      <c r="D4" s="189"/>
      <c r="E4" s="215"/>
      <c r="F4" s="189"/>
      <c r="G4" s="189"/>
      <c r="H4" s="189"/>
    </row>
    <row r="5" spans="1:11" ht="15" customHeight="1" x14ac:dyDescent="0.25">
      <c r="B5" s="189"/>
      <c r="C5" s="189"/>
      <c r="D5" s="189"/>
      <c r="E5" s="215"/>
      <c r="F5" s="189"/>
      <c r="G5" s="189"/>
      <c r="H5" s="189"/>
    </row>
    <row r="6" spans="1:11" ht="15" customHeight="1" x14ac:dyDescent="0.25">
      <c r="B6" s="189"/>
      <c r="C6" s="189"/>
      <c r="D6" s="189"/>
      <c r="E6" s="215"/>
      <c r="F6" s="189"/>
      <c r="G6" s="189"/>
      <c r="H6" s="189"/>
    </row>
    <row r="7" spans="1:11" x14ac:dyDescent="0.25">
      <c r="B7" s="231" t="s">
        <v>157</v>
      </c>
      <c r="C7" s="770" t="str">
        <f>'CARTA DE CONTROL'!B156</f>
        <v>LUXOMETRO</v>
      </c>
      <c r="D7" s="771"/>
      <c r="E7" s="772"/>
    </row>
    <row r="8" spans="1:11" x14ac:dyDescent="0.25">
      <c r="B8" s="231" t="s">
        <v>158</v>
      </c>
      <c r="C8" s="770" t="str">
        <f>'CARTA DE CONTROL'!D156</f>
        <v>TECNIMAQ</v>
      </c>
      <c r="D8" s="771"/>
      <c r="E8" s="772"/>
    </row>
    <row r="9" spans="1:11" x14ac:dyDescent="0.25">
      <c r="B9" s="231" t="s">
        <v>159</v>
      </c>
      <c r="C9" s="770" t="str">
        <f>'CARTA DE CONTROL'!E156</f>
        <v>TMI-LUX</v>
      </c>
      <c r="D9" s="771"/>
      <c r="E9" s="772"/>
    </row>
    <row r="10" spans="1:11" x14ac:dyDescent="0.25">
      <c r="B10" s="231" t="s">
        <v>160</v>
      </c>
      <c r="C10" s="786" t="str">
        <f>'CARTA DE CONTROL'!F156</f>
        <v>TMI-LUX-0048</v>
      </c>
      <c r="D10" s="787"/>
      <c r="E10" s="788"/>
    </row>
    <row r="11" spans="1:11" ht="15" customHeight="1" thickBot="1" x14ac:dyDescent="0.3">
      <c r="B11" s="189"/>
      <c r="C11" s="189"/>
      <c r="D11" s="189"/>
      <c r="E11" s="215"/>
      <c r="F11" s="189"/>
      <c r="G11" s="189"/>
      <c r="H11" s="202"/>
      <c r="I11" s="203"/>
      <c r="J11" s="203"/>
      <c r="K11" s="203"/>
    </row>
    <row r="12" spans="1:11" s="190" customFormat="1" ht="34.5" customHeight="1" x14ac:dyDescent="0.2">
      <c r="A12" s="776" t="s">
        <v>127</v>
      </c>
      <c r="B12" s="777"/>
      <c r="C12" s="777"/>
      <c r="D12" s="777"/>
      <c r="E12" s="777"/>
      <c r="F12" s="777"/>
      <c r="G12" s="778"/>
      <c r="H12" s="204"/>
      <c r="I12" s="204"/>
      <c r="J12" s="204"/>
      <c r="K12" s="204"/>
    </row>
    <row r="13" spans="1:11" s="190" customFormat="1" ht="15" customHeight="1" x14ac:dyDescent="0.2">
      <c r="A13" s="207" t="s">
        <v>128</v>
      </c>
      <c r="B13" s="779" t="s">
        <v>129</v>
      </c>
      <c r="C13" s="780"/>
      <c r="D13" s="781"/>
      <c r="E13" s="201" t="s">
        <v>130</v>
      </c>
      <c r="F13" s="782" t="s">
        <v>131</v>
      </c>
      <c r="G13" s="783"/>
      <c r="H13" s="205"/>
      <c r="I13" s="205"/>
      <c r="J13" s="205"/>
      <c r="K13" s="205"/>
    </row>
    <row r="14" spans="1:11" s="1" customFormat="1" ht="35.25" customHeight="1" x14ac:dyDescent="0.2">
      <c r="A14" s="208">
        <v>1</v>
      </c>
      <c r="B14" s="761" t="s">
        <v>132</v>
      </c>
      <c r="C14" s="761"/>
      <c r="D14" s="761"/>
      <c r="E14" s="192" t="s">
        <v>133</v>
      </c>
      <c r="F14" s="762"/>
      <c r="G14" s="763"/>
      <c r="H14" s="206"/>
      <c r="I14" s="206"/>
      <c r="J14" s="206"/>
      <c r="K14" s="206"/>
    </row>
    <row r="15" spans="1:11" s="1" customFormat="1" ht="35.25" customHeight="1" x14ac:dyDescent="0.2">
      <c r="A15" s="208">
        <v>2</v>
      </c>
      <c r="B15" s="761" t="s">
        <v>134</v>
      </c>
      <c r="C15" s="761"/>
      <c r="D15" s="761"/>
      <c r="E15" s="192" t="s">
        <v>133</v>
      </c>
      <c r="F15" s="762"/>
      <c r="G15" s="763"/>
    </row>
    <row r="16" spans="1:11" s="1" customFormat="1" ht="35.25" customHeight="1" x14ac:dyDescent="0.2">
      <c r="A16" s="208">
        <v>3</v>
      </c>
      <c r="B16" s="761" t="s">
        <v>135</v>
      </c>
      <c r="C16" s="761"/>
      <c r="D16" s="761"/>
      <c r="E16" s="192" t="s">
        <v>133</v>
      </c>
      <c r="F16" s="762"/>
      <c r="G16" s="763"/>
    </row>
    <row r="17" spans="1:11" s="1" customFormat="1" ht="35.25" customHeight="1" x14ac:dyDescent="0.2">
      <c r="A17" s="208">
        <v>4</v>
      </c>
      <c r="B17" s="761" t="s">
        <v>136</v>
      </c>
      <c r="C17" s="761"/>
      <c r="D17" s="761"/>
      <c r="E17" s="192" t="s">
        <v>133</v>
      </c>
      <c r="F17" s="784"/>
      <c r="G17" s="785"/>
    </row>
    <row r="18" spans="1:11" s="1" customFormat="1" ht="35.25" customHeight="1" x14ac:dyDescent="0.2">
      <c r="A18" s="208">
        <v>5</v>
      </c>
      <c r="B18" s="761" t="s">
        <v>137</v>
      </c>
      <c r="C18" s="761"/>
      <c r="D18" s="761"/>
      <c r="E18" s="192" t="s">
        <v>133</v>
      </c>
      <c r="F18" s="762"/>
      <c r="G18" s="763"/>
    </row>
    <row r="19" spans="1:11" s="1" customFormat="1" ht="35.25" customHeight="1" x14ac:dyDescent="0.2">
      <c r="A19" s="208">
        <v>6</v>
      </c>
      <c r="B19" s="761" t="s">
        <v>138</v>
      </c>
      <c r="C19" s="761"/>
      <c r="D19" s="761"/>
      <c r="E19" s="192" t="s">
        <v>133</v>
      </c>
      <c r="F19" s="762"/>
      <c r="G19" s="763"/>
    </row>
    <row r="20" spans="1:11" s="1" customFormat="1" ht="35.25" customHeight="1" x14ac:dyDescent="0.2">
      <c r="A20" s="208">
        <v>7</v>
      </c>
      <c r="B20" s="761" t="s">
        <v>139</v>
      </c>
      <c r="C20" s="761"/>
      <c r="D20" s="761"/>
      <c r="E20" s="192" t="s">
        <v>133</v>
      </c>
      <c r="F20" s="762"/>
      <c r="G20" s="763"/>
    </row>
    <row r="21" spans="1:11" s="1" customFormat="1" ht="35.25" customHeight="1" x14ac:dyDescent="0.2">
      <c r="A21" s="208">
        <v>8</v>
      </c>
      <c r="B21" s="761" t="s">
        <v>140</v>
      </c>
      <c r="C21" s="761"/>
      <c r="D21" s="761"/>
      <c r="E21" s="192" t="s">
        <v>133</v>
      </c>
      <c r="F21" s="762"/>
      <c r="G21" s="763"/>
    </row>
    <row r="22" spans="1:11" s="1" customFormat="1" ht="35.25" customHeight="1" x14ac:dyDescent="0.2">
      <c r="A22" s="208">
        <v>9</v>
      </c>
      <c r="B22" s="761" t="s">
        <v>141</v>
      </c>
      <c r="C22" s="761"/>
      <c r="D22" s="761"/>
      <c r="E22" s="192" t="s">
        <v>133</v>
      </c>
      <c r="F22" s="762"/>
      <c r="G22" s="763"/>
    </row>
    <row r="23" spans="1:11" s="1" customFormat="1" ht="35.25" customHeight="1" x14ac:dyDescent="0.2">
      <c r="A23" s="208">
        <v>10</v>
      </c>
      <c r="B23" s="761" t="s">
        <v>142</v>
      </c>
      <c r="C23" s="761"/>
      <c r="D23" s="761"/>
      <c r="E23" s="192" t="s">
        <v>133</v>
      </c>
      <c r="F23" s="762"/>
      <c r="G23" s="763"/>
    </row>
    <row r="24" spans="1:11" s="1" customFormat="1" ht="35.25" customHeight="1" x14ac:dyDescent="0.2">
      <c r="A24" s="208">
        <v>11</v>
      </c>
      <c r="B24" s="761" t="s">
        <v>143</v>
      </c>
      <c r="C24" s="761"/>
      <c r="D24" s="761"/>
      <c r="E24" s="192" t="s">
        <v>133</v>
      </c>
      <c r="F24" s="762"/>
      <c r="G24" s="763"/>
    </row>
    <row r="25" spans="1:11" s="194" customFormat="1" ht="35.25" customHeight="1" x14ac:dyDescent="0.2">
      <c r="A25" s="209">
        <v>12</v>
      </c>
      <c r="B25" s="761" t="s">
        <v>144</v>
      </c>
      <c r="C25" s="761"/>
      <c r="D25" s="761"/>
      <c r="E25" s="193" t="s">
        <v>133</v>
      </c>
      <c r="F25" s="762"/>
      <c r="G25" s="763"/>
    </row>
    <row r="26" spans="1:11" s="1" customFormat="1" ht="35.25" customHeight="1" x14ac:dyDescent="0.2">
      <c r="A26" s="208">
        <v>13</v>
      </c>
      <c r="B26" s="761" t="s">
        <v>145</v>
      </c>
      <c r="C26" s="761"/>
      <c r="D26" s="761"/>
      <c r="E26" s="192" t="s">
        <v>133</v>
      </c>
      <c r="F26" s="762"/>
      <c r="G26" s="763"/>
    </row>
    <row r="27" spans="1:11" s="1" customFormat="1" ht="35.25" customHeight="1" x14ac:dyDescent="0.2">
      <c r="A27" s="208">
        <v>14</v>
      </c>
      <c r="B27" s="761" t="s">
        <v>146</v>
      </c>
      <c r="C27" s="761"/>
      <c r="D27" s="761"/>
      <c r="E27" s="192" t="s">
        <v>133</v>
      </c>
      <c r="F27" s="762"/>
      <c r="G27" s="763"/>
    </row>
    <row r="28" spans="1:11" s="1" customFormat="1" ht="54.75" customHeight="1" thickBot="1" x14ac:dyDescent="0.25">
      <c r="A28" s="210">
        <v>15</v>
      </c>
      <c r="B28" s="764" t="s">
        <v>147</v>
      </c>
      <c r="C28" s="764"/>
      <c r="D28" s="764"/>
      <c r="E28" s="212" t="s">
        <v>133</v>
      </c>
      <c r="F28" s="765"/>
      <c r="G28" s="766"/>
    </row>
    <row r="29" spans="1:11" s="198" customFormat="1" ht="21" customHeight="1" thickBot="1" x14ac:dyDescent="0.25">
      <c r="B29" s="195"/>
      <c r="C29" s="196"/>
      <c r="D29" s="196"/>
      <c r="E29" s="195"/>
      <c r="F29" s="196"/>
      <c r="G29" s="196"/>
      <c r="H29" s="197"/>
      <c r="I29" s="197"/>
    </row>
    <row r="30" spans="1:11" s="219" customFormat="1" ht="15" customHeight="1" x14ac:dyDescent="0.2">
      <c r="A30" s="767" t="s">
        <v>148</v>
      </c>
      <c r="B30" s="768"/>
      <c r="C30" s="768"/>
      <c r="D30" s="768"/>
      <c r="E30" s="768"/>
      <c r="F30" s="768"/>
      <c r="G30" s="769"/>
      <c r="H30" s="222"/>
      <c r="I30" s="223"/>
      <c r="J30" s="223"/>
      <c r="K30" s="223"/>
    </row>
    <row r="31" spans="1:11" s="219" customFormat="1" ht="15" customHeight="1" x14ac:dyDescent="0.2">
      <c r="A31" s="220" t="s">
        <v>128</v>
      </c>
      <c r="B31" s="759" t="s">
        <v>129</v>
      </c>
      <c r="C31" s="759"/>
      <c r="D31" s="759"/>
      <c r="E31" s="221" t="s">
        <v>130</v>
      </c>
      <c r="F31" s="759" t="s">
        <v>131</v>
      </c>
      <c r="G31" s="760"/>
      <c r="H31" s="224"/>
      <c r="I31" s="225"/>
      <c r="J31" s="225"/>
      <c r="K31" s="225"/>
    </row>
    <row r="32" spans="1:11" s="1" customFormat="1" ht="55.5" customHeight="1" x14ac:dyDescent="0.2">
      <c r="A32" s="216">
        <v>1</v>
      </c>
      <c r="B32" s="754" t="s">
        <v>149</v>
      </c>
      <c r="C32" s="754"/>
      <c r="D32" s="754"/>
      <c r="E32" s="199" t="s">
        <v>150</v>
      </c>
      <c r="F32" s="755"/>
      <c r="G32" s="756"/>
      <c r="H32" s="226"/>
      <c r="I32" s="206"/>
      <c r="J32" s="206"/>
      <c r="K32" s="206"/>
    </row>
    <row r="33" spans="1:7" s="1" customFormat="1" ht="25.5" customHeight="1" x14ac:dyDescent="0.2">
      <c r="A33" s="216">
        <v>2</v>
      </c>
      <c r="B33" s="754" t="s">
        <v>151</v>
      </c>
      <c r="C33" s="754"/>
      <c r="D33" s="754"/>
      <c r="E33" s="199" t="s">
        <v>150</v>
      </c>
      <c r="F33" s="755"/>
      <c r="G33" s="756"/>
    </row>
    <row r="34" spans="1:7" s="1" customFormat="1" ht="25.5" customHeight="1" x14ac:dyDescent="0.2">
      <c r="A34" s="216">
        <v>3</v>
      </c>
      <c r="B34" s="754" t="s">
        <v>152</v>
      </c>
      <c r="C34" s="754"/>
      <c r="D34" s="754"/>
      <c r="E34" s="199" t="s">
        <v>150</v>
      </c>
      <c r="F34" s="755"/>
      <c r="G34" s="756"/>
    </row>
    <row r="35" spans="1:7" s="1" customFormat="1" ht="25.5" customHeight="1" x14ac:dyDescent="0.2">
      <c r="A35" s="216">
        <v>4</v>
      </c>
      <c r="B35" s="754" t="s">
        <v>153</v>
      </c>
      <c r="C35" s="754"/>
      <c r="D35" s="754"/>
      <c r="E35" s="199" t="s">
        <v>154</v>
      </c>
      <c r="F35" s="755"/>
      <c r="G35" s="756"/>
    </row>
    <row r="36" spans="1:7" s="1" customFormat="1" ht="25.5" customHeight="1" x14ac:dyDescent="0.2">
      <c r="A36" s="216">
        <v>5</v>
      </c>
      <c r="B36" s="754" t="s">
        <v>155</v>
      </c>
      <c r="C36" s="754"/>
      <c r="D36" s="754"/>
      <c r="E36" s="199" t="s">
        <v>154</v>
      </c>
      <c r="F36" s="757"/>
      <c r="G36" s="758"/>
    </row>
    <row r="37" spans="1:7" s="1" customFormat="1" ht="25.5" customHeight="1" thickBot="1" x14ac:dyDescent="0.25">
      <c r="A37" s="217">
        <v>6</v>
      </c>
      <c r="B37" s="748" t="s">
        <v>156</v>
      </c>
      <c r="C37" s="748"/>
      <c r="D37" s="748"/>
      <c r="E37" s="218" t="s">
        <v>154</v>
      </c>
      <c r="F37" s="749"/>
      <c r="G37" s="750"/>
    </row>
    <row r="39" spans="1:7" ht="15.75" thickBot="1" x14ac:dyDescent="0.3"/>
    <row r="40" spans="1:7" ht="72.75" thickBot="1" x14ac:dyDescent="0.3">
      <c r="B40" s="2" t="s">
        <v>97</v>
      </c>
      <c r="C40" s="11" t="s">
        <v>98</v>
      </c>
      <c r="D40" s="11" t="s">
        <v>99</v>
      </c>
      <c r="E40" s="22" t="s">
        <v>100</v>
      </c>
      <c r="F40" s="22" t="s">
        <v>101</v>
      </c>
      <c r="G40" s="22" t="s">
        <v>38</v>
      </c>
    </row>
    <row r="41" spans="1:7" ht="15.75" thickBot="1" x14ac:dyDescent="0.3">
      <c r="B41" s="20">
        <f>'CARTA DE CONTROL'!R163</f>
        <v>0</v>
      </c>
      <c r="C41" s="4">
        <f>'CARTA DE CONTROL'!AR163</f>
        <v>5.8000000000000003E-2</v>
      </c>
      <c r="D41" s="4">
        <f>'CARTA DE CONTROL'!AS163</f>
        <v>-5.8000000000000003E-2</v>
      </c>
      <c r="E41" s="6">
        <f>'CARTA DE CONTROL'!I163</f>
        <v>10</v>
      </c>
      <c r="F41" s="7">
        <f>-('CARTA DE CONTROL'!I163)</f>
        <v>-10</v>
      </c>
      <c r="G41" s="5" t="str">
        <f>IF(C41&lt;=10,IF(D41&gt;=-10,"PASS","NO PASS"))</f>
        <v>PASS</v>
      </c>
    </row>
    <row r="42" spans="1:7" ht="15.75" thickBot="1" x14ac:dyDescent="0.3">
      <c r="B42" s="20">
        <f>'CARTA DE CONTROL'!R164</f>
        <v>1.002</v>
      </c>
      <c r="C42" s="4">
        <f>'CARTA DE CONTROL'!AR164</f>
        <v>-0.14160079840319378</v>
      </c>
      <c r="D42" s="4">
        <f>'CARTA DE CONTROL'!AS164</f>
        <v>-0.25760079840319378</v>
      </c>
      <c r="E42" s="6">
        <f>'CARTA DE CONTROL'!I164</f>
        <v>10</v>
      </c>
      <c r="F42" s="7">
        <f>-('CARTA DE CONTROL'!I164)</f>
        <v>-10</v>
      </c>
      <c r="G42" s="5" t="str">
        <f t="shared" ref="G42:G44" si="0">IF(C42&lt;=10,IF(D42&gt;=-10,"PASS","NO PASS"))</f>
        <v>PASS</v>
      </c>
    </row>
    <row r="43" spans="1:7" ht="15.75" thickBot="1" x14ac:dyDescent="0.3">
      <c r="B43" s="20">
        <f>'CARTA DE CONTROL'!R165</f>
        <v>2.0070000000000001</v>
      </c>
      <c r="C43" s="4">
        <f>'CARTA DE CONTROL'!AR165</f>
        <v>-0.29077927254609454</v>
      </c>
      <c r="D43" s="4">
        <f>'CARTA DE CONTROL'!AS165</f>
        <v>-0.40677927254609453</v>
      </c>
      <c r="E43" s="6">
        <f>'CARTA DE CONTROL'!I165</f>
        <v>10</v>
      </c>
      <c r="F43" s="7">
        <f>-('CARTA DE CONTROL'!I165)</f>
        <v>-10</v>
      </c>
      <c r="G43" s="5" t="str">
        <f t="shared" si="0"/>
        <v>PASS</v>
      </c>
    </row>
    <row r="44" spans="1:7" ht="15.75" thickBot="1" x14ac:dyDescent="0.3">
      <c r="B44" s="20">
        <f>'CARTA DE CONTROL'!R166</f>
        <v>3.0089999999999999</v>
      </c>
      <c r="C44" s="4">
        <f>'CARTA DE CONTROL'!AR166</f>
        <v>-0.2411026919242239</v>
      </c>
      <c r="D44" s="4">
        <f>'CARTA DE CONTROL'!AS166</f>
        <v>-0.35710269192422389</v>
      </c>
      <c r="E44" s="6">
        <f>'CARTA DE CONTROL'!I166</f>
        <v>10</v>
      </c>
      <c r="F44" s="7">
        <f>-('CARTA DE CONTROL'!I166)</f>
        <v>-10</v>
      </c>
      <c r="G44" s="5" t="str">
        <f t="shared" si="0"/>
        <v>PASS</v>
      </c>
    </row>
    <row r="45" spans="1:7" ht="15.75" thickBot="1" x14ac:dyDescent="0.3">
      <c r="B45" s="20">
        <f>'CARTA DE CONTROL'!R167</f>
        <v>4.0129999999999999</v>
      </c>
      <c r="C45" s="4">
        <f>'CARTA DE CONTROL'!AR167</f>
        <v>-0.26494717169199855</v>
      </c>
      <c r="D45" s="4">
        <f>'CARTA DE CONTROL'!AS167</f>
        <v>-0.38294717169199854</v>
      </c>
      <c r="E45" s="6">
        <f>'CARTA DE CONTROL'!I167</f>
        <v>10</v>
      </c>
      <c r="F45" s="7">
        <f>-('CARTA DE CONTROL'!I167)</f>
        <v>-10</v>
      </c>
      <c r="G45" s="5" t="str">
        <f t="shared" ref="G45:G52" si="1">IF(C45&lt;=10,IF(D45&gt;=-10,"PASS","NO PASS"))</f>
        <v>PASS</v>
      </c>
    </row>
    <row r="46" spans="1:7" ht="15.75" thickBot="1" x14ac:dyDescent="0.3">
      <c r="B46" s="20">
        <f>'CARTA DE CONTROL'!R168</f>
        <v>6.0270000000000001</v>
      </c>
      <c r="C46" s="4">
        <f>'CARTA DE CONTROL'!AR168</f>
        <v>-0.38498407167745369</v>
      </c>
      <c r="D46" s="4">
        <f>'CARTA DE CONTROL'!AS168</f>
        <v>-0.51098407167745363</v>
      </c>
      <c r="E46" s="6">
        <f>'CARTA DE CONTROL'!I168</f>
        <v>10</v>
      </c>
      <c r="F46" s="7">
        <f>-('CARTA DE CONTROL'!I168)</f>
        <v>-10</v>
      </c>
      <c r="G46" s="5" t="str">
        <f t="shared" si="1"/>
        <v>PASS</v>
      </c>
    </row>
    <row r="47" spans="1:7" ht="15.75" thickBot="1" x14ac:dyDescent="0.3">
      <c r="B47" s="20">
        <f>'CARTA DE CONTROL'!R169</f>
        <v>0</v>
      </c>
      <c r="C47" s="4">
        <f>'CARTA DE CONTROL'!AR169</f>
        <v>5.8000000000000003E-2</v>
      </c>
      <c r="D47" s="4">
        <f>'CARTA DE CONTROL'!AS169</f>
        <v>-5.8000000000000003E-2</v>
      </c>
      <c r="E47" s="6">
        <f>'CARTA DE CONTROL'!I169</f>
        <v>10</v>
      </c>
      <c r="F47" s="7">
        <f>-('CARTA DE CONTROL'!I169)</f>
        <v>-10</v>
      </c>
      <c r="G47" s="5" t="str">
        <f t="shared" si="1"/>
        <v>PASS</v>
      </c>
    </row>
    <row r="48" spans="1:7" ht="15.75" thickBot="1" x14ac:dyDescent="0.3">
      <c r="B48" s="20">
        <f>'CARTA DE CONTROL'!R170</f>
        <v>-1.002</v>
      </c>
      <c r="C48" s="4">
        <f>'CARTA DE CONTROL'!AR170</f>
        <v>-0.14160079840319378</v>
      </c>
      <c r="D48" s="4">
        <f>'CARTA DE CONTROL'!AS170</f>
        <v>-0.25760079840319378</v>
      </c>
      <c r="E48" s="6">
        <f>'CARTA DE CONTROL'!I170</f>
        <v>10</v>
      </c>
      <c r="F48" s="7">
        <f>-('CARTA DE CONTROL'!I170)</f>
        <v>-10</v>
      </c>
      <c r="G48" s="5" t="str">
        <f t="shared" si="1"/>
        <v>PASS</v>
      </c>
    </row>
    <row r="49" spans="1:8" ht="15.75" thickBot="1" x14ac:dyDescent="0.3">
      <c r="B49" s="20">
        <f>'CARTA DE CONTROL'!R171</f>
        <v>-2.0070000000000001</v>
      </c>
      <c r="C49" s="4">
        <f>'CARTA DE CONTROL'!AR171</f>
        <v>-0.29077927254609454</v>
      </c>
      <c r="D49" s="4">
        <f>'CARTA DE CONTROL'!AS171</f>
        <v>-0.40677927254609453</v>
      </c>
      <c r="E49" s="6">
        <f>'CARTA DE CONTROL'!I171</f>
        <v>10</v>
      </c>
      <c r="F49" s="7">
        <f>-('CARTA DE CONTROL'!I171)</f>
        <v>-10</v>
      </c>
      <c r="G49" s="5" t="str">
        <f t="shared" si="1"/>
        <v>PASS</v>
      </c>
    </row>
    <row r="50" spans="1:8" ht="15.75" thickBot="1" x14ac:dyDescent="0.3">
      <c r="B50" s="20">
        <f>'CARTA DE CONTROL'!R172</f>
        <v>-3.0089999999999999</v>
      </c>
      <c r="C50" s="4">
        <f>'CARTA DE CONTROL'!AR172</f>
        <v>-0.2411026919242239</v>
      </c>
      <c r="D50" s="4">
        <f>'CARTA DE CONTROL'!AS172</f>
        <v>-0.35710269192422389</v>
      </c>
      <c r="E50" s="6">
        <f>'CARTA DE CONTROL'!I172</f>
        <v>10</v>
      </c>
      <c r="F50" s="7">
        <f>-('CARTA DE CONTROL'!I172)</f>
        <v>-10</v>
      </c>
      <c r="G50" s="5" t="str">
        <f t="shared" si="1"/>
        <v>PASS</v>
      </c>
    </row>
    <row r="51" spans="1:8" ht="15.75" thickBot="1" x14ac:dyDescent="0.3">
      <c r="B51" s="20">
        <f>'CARTA DE CONTROL'!R173</f>
        <v>-4.0129999999999999</v>
      </c>
      <c r="C51" s="4">
        <f>'CARTA DE CONTROL'!AR173</f>
        <v>-0.26494717169199855</v>
      </c>
      <c r="D51" s="4">
        <f>'CARTA DE CONTROL'!AS173</f>
        <v>-0.38294717169199854</v>
      </c>
      <c r="E51" s="6">
        <f>'CARTA DE CONTROL'!I173</f>
        <v>10</v>
      </c>
      <c r="F51" s="7">
        <f>-('CARTA DE CONTROL'!I173)</f>
        <v>-10</v>
      </c>
      <c r="G51" s="5" t="str">
        <f t="shared" si="1"/>
        <v>PASS</v>
      </c>
    </row>
    <row r="52" spans="1:8" ht="15.75" thickBot="1" x14ac:dyDescent="0.3">
      <c r="B52" s="20">
        <f>'CARTA DE CONTROL'!R174</f>
        <v>-6.0270000000000001</v>
      </c>
      <c r="C52" s="4">
        <f>'CARTA DE CONTROL'!AR174</f>
        <v>-0.38498407167745369</v>
      </c>
      <c r="D52" s="4">
        <f>'CARTA DE CONTROL'!AS174</f>
        <v>-0.51098407167745363</v>
      </c>
      <c r="E52" s="6">
        <f>'CARTA DE CONTROL'!I174</f>
        <v>10</v>
      </c>
      <c r="F52" s="7">
        <f>-('CARTA DE CONTROL'!I174)</f>
        <v>-10</v>
      </c>
      <c r="G52" s="5" t="str">
        <f t="shared" si="1"/>
        <v>PASS</v>
      </c>
    </row>
    <row r="53" spans="1:8" x14ac:dyDescent="0.25">
      <c r="A53" s="1"/>
      <c r="B53" s="1"/>
      <c r="C53" s="1"/>
      <c r="D53" s="1"/>
    </row>
    <row r="54" spans="1:8" x14ac:dyDescent="0.25">
      <c r="A54" s="1"/>
      <c r="B54" s="1"/>
      <c r="C54" s="1"/>
      <c r="D54" s="1"/>
    </row>
    <row r="55" spans="1:8" x14ac:dyDescent="0.25">
      <c r="A55" s="1"/>
      <c r="B55" s="1"/>
      <c r="C55" s="1"/>
      <c r="D55" s="1"/>
    </row>
    <row r="56" spans="1:8" x14ac:dyDescent="0.25">
      <c r="A56" s="1"/>
      <c r="B56" s="1"/>
      <c r="C56" s="1"/>
      <c r="D56" s="1"/>
      <c r="E56" s="1"/>
      <c r="F56" s="1"/>
      <c r="G56" s="1"/>
      <c r="H56" s="1"/>
    </row>
    <row r="57" spans="1:8" x14ac:dyDescent="0.25">
      <c r="A57" s="1"/>
      <c r="B57" s="1"/>
      <c r="C57" s="1"/>
      <c r="D57" s="1"/>
      <c r="E57" s="1"/>
      <c r="F57" s="1"/>
      <c r="G57" s="1"/>
      <c r="H57" s="1"/>
    </row>
    <row r="58" spans="1:8" x14ac:dyDescent="0.25">
      <c r="A58" s="1"/>
      <c r="B58" s="1"/>
      <c r="C58" s="1"/>
      <c r="D58" s="1"/>
      <c r="E58" s="1"/>
      <c r="F58" s="1"/>
      <c r="G58" s="1"/>
      <c r="H58" s="1"/>
    </row>
    <row r="59" spans="1:8" x14ac:dyDescent="0.25">
      <c r="A59" s="1"/>
      <c r="B59" s="1"/>
      <c r="C59" s="1"/>
      <c r="D59" s="1"/>
      <c r="E59" s="1"/>
      <c r="F59" s="1"/>
      <c r="G59" s="1"/>
      <c r="H59" s="1"/>
    </row>
    <row r="60" spans="1:8" x14ac:dyDescent="0.25">
      <c r="A60" s="1"/>
      <c r="B60" s="1"/>
      <c r="C60" s="1"/>
      <c r="D60" s="1"/>
      <c r="E60" s="1"/>
      <c r="F60" s="1"/>
      <c r="G60" s="1"/>
      <c r="H60" s="1"/>
    </row>
    <row r="61" spans="1:8" x14ac:dyDescent="0.25">
      <c r="A61" s="1"/>
      <c r="B61" s="1"/>
      <c r="C61" s="1"/>
      <c r="D61" s="1"/>
      <c r="E61" s="1"/>
      <c r="F61" s="1"/>
      <c r="G61" s="1"/>
      <c r="H61" s="1"/>
    </row>
    <row r="62" spans="1:8" x14ac:dyDescent="0.25">
      <c r="A62" s="1"/>
      <c r="B62" s="1"/>
      <c r="C62" s="1"/>
      <c r="D62" s="1"/>
      <c r="E62" s="1"/>
      <c r="F62" s="1"/>
      <c r="G62" s="1"/>
      <c r="H62" s="1"/>
    </row>
    <row r="63" spans="1:8" x14ac:dyDescent="0.25">
      <c r="A63" s="1"/>
      <c r="B63" s="1"/>
      <c r="C63" s="1"/>
      <c r="D63" s="1"/>
      <c r="E63" s="1"/>
      <c r="F63" s="1"/>
      <c r="G63" s="1"/>
      <c r="H63" s="1"/>
    </row>
    <row r="64" spans="1:8" x14ac:dyDescent="0.25">
      <c r="A64" s="1"/>
      <c r="B64" s="1"/>
      <c r="C64" s="1"/>
      <c r="D64" s="1"/>
      <c r="E64" s="1"/>
      <c r="F64" s="1"/>
      <c r="G64" s="1"/>
      <c r="H64" s="1"/>
    </row>
    <row r="65" spans="1:8" x14ac:dyDescent="0.25">
      <c r="A65" s="1"/>
      <c r="B65" s="1"/>
      <c r="C65" s="1"/>
      <c r="D65" s="1"/>
      <c r="E65" s="1"/>
      <c r="F65" s="1"/>
      <c r="G65" s="1"/>
      <c r="H65" s="1"/>
    </row>
  </sheetData>
  <mergeCells count="52">
    <mergeCell ref="B37:D37"/>
    <mergeCell ref="F37:G37"/>
    <mergeCell ref="B34:D34"/>
    <mergeCell ref="F34:G34"/>
    <mergeCell ref="B35:D35"/>
    <mergeCell ref="F35:G35"/>
    <mergeCell ref="B36:D36"/>
    <mergeCell ref="F36:G36"/>
    <mergeCell ref="B33:D33"/>
    <mergeCell ref="F33:G33"/>
    <mergeCell ref="B26:D26"/>
    <mergeCell ref="F26:G26"/>
    <mergeCell ref="B27:D27"/>
    <mergeCell ref="F27:G27"/>
    <mergeCell ref="B28:D28"/>
    <mergeCell ref="F28:G28"/>
    <mergeCell ref="A30:G30"/>
    <mergeCell ref="B31:D31"/>
    <mergeCell ref="F31:G31"/>
    <mergeCell ref="B32:D32"/>
    <mergeCell ref="F32:G32"/>
    <mergeCell ref="B23:D23"/>
    <mergeCell ref="F23:G23"/>
    <mergeCell ref="B24:D24"/>
    <mergeCell ref="F24:G24"/>
    <mergeCell ref="B25:D25"/>
    <mergeCell ref="F25:G25"/>
    <mergeCell ref="B20:D20"/>
    <mergeCell ref="F20:G20"/>
    <mergeCell ref="B21:D21"/>
    <mergeCell ref="F21:G21"/>
    <mergeCell ref="B22:D22"/>
    <mergeCell ref="F22:G22"/>
    <mergeCell ref="B17:D17"/>
    <mergeCell ref="F17:G17"/>
    <mergeCell ref="B18:D18"/>
    <mergeCell ref="F18:G18"/>
    <mergeCell ref="B19:D19"/>
    <mergeCell ref="F19:G19"/>
    <mergeCell ref="B14:D14"/>
    <mergeCell ref="F14:G14"/>
    <mergeCell ref="B15:D15"/>
    <mergeCell ref="F15:G15"/>
    <mergeCell ref="B16:D16"/>
    <mergeCell ref="F16:G16"/>
    <mergeCell ref="B13:D13"/>
    <mergeCell ref="F13:G13"/>
    <mergeCell ref="C7:E7"/>
    <mergeCell ref="C8:E8"/>
    <mergeCell ref="C9:E9"/>
    <mergeCell ref="C10:E10"/>
    <mergeCell ref="A12:G12"/>
  </mergeCells>
  <conditionalFormatting sqref="G41:G52">
    <cfRule type="cellIs" dxfId="74" priority="8" operator="lessThan">
      <formula>$F$79</formula>
    </cfRule>
    <cfRule type="cellIs" dxfId="73" priority="9" operator="lessThan">
      <formula>0.05</formula>
    </cfRule>
  </conditionalFormatting>
  <conditionalFormatting sqref="G41:G52">
    <cfRule type="cellIs" dxfId="72" priority="7" operator="between">
      <formula>$F$79</formula>
      <formula>$G$79</formula>
    </cfRule>
  </conditionalFormatting>
  <pageMargins left="0.7" right="0.7" top="0.75" bottom="0.75" header="0.3" footer="0.3"/>
  <pageSetup orientation="portrait" verticalDpi="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5"/>
  <sheetViews>
    <sheetView topLeftCell="A46" workbookViewId="0">
      <selection activeCell="D39" sqref="D39"/>
    </sheetView>
  </sheetViews>
  <sheetFormatPr baseColWidth="10" defaultRowHeight="15" x14ac:dyDescent="0.25"/>
  <cols>
    <col min="1" max="1" width="6" customWidth="1"/>
    <col min="2" max="2" width="22.85546875" customWidth="1"/>
    <col min="3" max="3" width="21.7109375" customWidth="1"/>
    <col min="4" max="4" width="21" customWidth="1"/>
    <col min="5" max="5" width="22.7109375" customWidth="1"/>
    <col min="8" max="8" width="13" customWidth="1"/>
  </cols>
  <sheetData>
    <row r="1" spans="1:11" ht="15" customHeight="1" x14ac:dyDescent="0.25">
      <c r="E1" s="214"/>
    </row>
    <row r="2" spans="1:11" ht="15" customHeight="1" x14ac:dyDescent="0.25">
      <c r="B2" s="236"/>
      <c r="C2" s="236"/>
      <c r="D2" s="236"/>
      <c r="E2" s="215"/>
      <c r="F2" s="236"/>
      <c r="G2" s="236"/>
      <c r="H2" s="236"/>
    </row>
    <row r="3" spans="1:11" ht="15" customHeight="1" x14ac:dyDescent="0.25">
      <c r="B3" s="236"/>
      <c r="C3" s="236"/>
      <c r="D3" s="236"/>
      <c r="E3" s="215"/>
      <c r="F3" s="236"/>
      <c r="G3" s="236"/>
      <c r="H3" s="236"/>
    </row>
    <row r="4" spans="1:11" ht="15" customHeight="1" x14ac:dyDescent="0.25">
      <c r="B4" s="236"/>
      <c r="C4" s="236"/>
      <c r="D4" s="236"/>
      <c r="E4" s="215"/>
      <c r="F4" s="236"/>
      <c r="G4" s="236"/>
      <c r="H4" s="236"/>
    </row>
    <row r="5" spans="1:11" ht="15" customHeight="1" x14ac:dyDescent="0.25">
      <c r="B5" s="236"/>
      <c r="C5" s="236"/>
      <c r="D5" s="236"/>
      <c r="E5" s="215"/>
      <c r="F5" s="236"/>
      <c r="G5" s="236"/>
      <c r="H5" s="236"/>
    </row>
    <row r="6" spans="1:11" ht="15" customHeight="1" x14ac:dyDescent="0.25">
      <c r="B6" s="236"/>
      <c r="C6" s="236"/>
      <c r="D6" s="236"/>
      <c r="E6" s="215"/>
      <c r="F6" s="236"/>
      <c r="G6" s="236"/>
      <c r="H6" s="236"/>
    </row>
    <row r="7" spans="1:11" x14ac:dyDescent="0.25">
      <c r="B7" s="231" t="s">
        <v>157</v>
      </c>
      <c r="C7" s="770" t="str">
        <f>'CARTA DE CONTROL'!B183</f>
        <v>PROFUNDIMENTRO</v>
      </c>
      <c r="D7" s="771"/>
      <c r="E7" s="772"/>
    </row>
    <row r="8" spans="1:11" x14ac:dyDescent="0.25">
      <c r="B8" s="231" t="s">
        <v>158</v>
      </c>
      <c r="C8" s="770" t="str">
        <f>'CARTA DE CONTROL'!D183</f>
        <v>DIGITAL THREAD   DEPTH GAUGE</v>
      </c>
      <c r="D8" s="771"/>
      <c r="E8" s="772"/>
    </row>
    <row r="9" spans="1:11" x14ac:dyDescent="0.25">
      <c r="B9" s="231" t="s">
        <v>159</v>
      </c>
      <c r="C9" s="770" t="str">
        <f>'CARTA DE CONTROL'!E183</f>
        <v>N/A</v>
      </c>
      <c r="D9" s="771"/>
      <c r="E9" s="772"/>
    </row>
    <row r="10" spans="1:11" x14ac:dyDescent="0.25">
      <c r="B10" s="231" t="s">
        <v>160</v>
      </c>
      <c r="C10" s="786" t="str">
        <f>'CARTA DE CONTROL'!F183</f>
        <v>TIC-055</v>
      </c>
      <c r="D10" s="787"/>
      <c r="E10" s="788"/>
    </row>
    <row r="11" spans="1:11" ht="15" customHeight="1" thickBot="1" x14ac:dyDescent="0.3">
      <c r="B11" s="236"/>
      <c r="C11" s="236"/>
      <c r="D11" s="236"/>
      <c r="E11" s="215"/>
      <c r="F11" s="236"/>
      <c r="G11" s="236"/>
      <c r="H11" s="202"/>
      <c r="I11" s="203"/>
      <c r="J11" s="203"/>
      <c r="K11" s="203"/>
    </row>
    <row r="12" spans="1:11" s="190" customFormat="1" ht="34.5" customHeight="1" x14ac:dyDescent="0.2">
      <c r="A12" s="776" t="s">
        <v>127</v>
      </c>
      <c r="B12" s="777"/>
      <c r="C12" s="777"/>
      <c r="D12" s="777"/>
      <c r="E12" s="777"/>
      <c r="F12" s="777"/>
      <c r="G12" s="778"/>
      <c r="H12" s="204"/>
      <c r="I12" s="204"/>
      <c r="J12" s="204"/>
      <c r="K12" s="204"/>
    </row>
    <row r="13" spans="1:11" s="190" customFormat="1" ht="15" customHeight="1" x14ac:dyDescent="0.2">
      <c r="A13" s="207" t="s">
        <v>128</v>
      </c>
      <c r="B13" s="779" t="s">
        <v>129</v>
      </c>
      <c r="C13" s="780"/>
      <c r="D13" s="781"/>
      <c r="E13" s="240" t="s">
        <v>130</v>
      </c>
      <c r="F13" s="782" t="s">
        <v>131</v>
      </c>
      <c r="G13" s="783"/>
      <c r="H13" s="205"/>
      <c r="I13" s="205"/>
      <c r="J13" s="205"/>
      <c r="K13" s="205"/>
    </row>
    <row r="14" spans="1:11" s="1" customFormat="1" ht="35.25" customHeight="1" x14ac:dyDescent="0.2">
      <c r="A14" s="208">
        <v>1</v>
      </c>
      <c r="B14" s="761" t="s">
        <v>132</v>
      </c>
      <c r="C14" s="761"/>
      <c r="D14" s="761"/>
      <c r="E14" s="239" t="s">
        <v>133</v>
      </c>
      <c r="F14" s="762"/>
      <c r="G14" s="763"/>
      <c r="H14" s="206"/>
      <c r="I14" s="206"/>
      <c r="J14" s="206"/>
      <c r="K14" s="206"/>
    </row>
    <row r="15" spans="1:11" s="1" customFormat="1" ht="35.25" customHeight="1" x14ac:dyDescent="0.2">
      <c r="A15" s="208">
        <v>2</v>
      </c>
      <c r="B15" s="761" t="s">
        <v>134</v>
      </c>
      <c r="C15" s="761"/>
      <c r="D15" s="761"/>
      <c r="E15" s="239" t="s">
        <v>133</v>
      </c>
      <c r="F15" s="762"/>
      <c r="G15" s="763"/>
    </row>
    <row r="16" spans="1:11" s="1" customFormat="1" ht="35.25" customHeight="1" x14ac:dyDescent="0.2">
      <c r="A16" s="208">
        <v>3</v>
      </c>
      <c r="B16" s="761" t="s">
        <v>135</v>
      </c>
      <c r="C16" s="761"/>
      <c r="D16" s="761"/>
      <c r="E16" s="239" t="s">
        <v>133</v>
      </c>
      <c r="F16" s="762"/>
      <c r="G16" s="763"/>
    </row>
    <row r="17" spans="1:7" s="1" customFormat="1" ht="35.25" customHeight="1" x14ac:dyDescent="0.2">
      <c r="A17" s="208">
        <v>4</v>
      </c>
      <c r="B17" s="761" t="s">
        <v>136</v>
      </c>
      <c r="C17" s="761"/>
      <c r="D17" s="761"/>
      <c r="E17" s="239" t="s">
        <v>133</v>
      </c>
      <c r="F17" s="784"/>
      <c r="G17" s="785"/>
    </row>
    <row r="18" spans="1:7" s="1" customFormat="1" ht="35.25" customHeight="1" x14ac:dyDescent="0.2">
      <c r="A18" s="208">
        <v>5</v>
      </c>
      <c r="B18" s="761" t="s">
        <v>137</v>
      </c>
      <c r="C18" s="761"/>
      <c r="D18" s="761"/>
      <c r="E18" s="239" t="s">
        <v>133</v>
      </c>
      <c r="F18" s="762"/>
      <c r="G18" s="763"/>
    </row>
    <row r="19" spans="1:7" s="1" customFormat="1" ht="35.25" customHeight="1" x14ac:dyDescent="0.2">
      <c r="A19" s="208">
        <v>6</v>
      </c>
      <c r="B19" s="761" t="s">
        <v>138</v>
      </c>
      <c r="C19" s="761"/>
      <c r="D19" s="761"/>
      <c r="E19" s="239" t="s">
        <v>133</v>
      </c>
      <c r="F19" s="762"/>
      <c r="G19" s="763"/>
    </row>
    <row r="20" spans="1:7" s="1" customFormat="1" ht="35.25" customHeight="1" x14ac:dyDescent="0.2">
      <c r="A20" s="208">
        <v>7</v>
      </c>
      <c r="B20" s="761" t="s">
        <v>139</v>
      </c>
      <c r="C20" s="761"/>
      <c r="D20" s="761"/>
      <c r="E20" s="239" t="s">
        <v>133</v>
      </c>
      <c r="F20" s="762"/>
      <c r="G20" s="763"/>
    </row>
    <row r="21" spans="1:7" s="1" customFormat="1" ht="35.25" customHeight="1" x14ac:dyDescent="0.2">
      <c r="A21" s="208">
        <v>8</v>
      </c>
      <c r="B21" s="761" t="s">
        <v>140</v>
      </c>
      <c r="C21" s="761"/>
      <c r="D21" s="761"/>
      <c r="E21" s="239" t="s">
        <v>133</v>
      </c>
      <c r="F21" s="762"/>
      <c r="G21" s="763"/>
    </row>
    <row r="22" spans="1:7" s="1" customFormat="1" ht="35.25" customHeight="1" x14ac:dyDescent="0.2">
      <c r="A22" s="208">
        <v>9</v>
      </c>
      <c r="B22" s="761" t="s">
        <v>141</v>
      </c>
      <c r="C22" s="761"/>
      <c r="D22" s="761"/>
      <c r="E22" s="239" t="s">
        <v>133</v>
      </c>
      <c r="F22" s="762"/>
      <c r="G22" s="763"/>
    </row>
    <row r="23" spans="1:7" s="1" customFormat="1" ht="35.25" customHeight="1" x14ac:dyDescent="0.2">
      <c r="A23" s="208">
        <v>10</v>
      </c>
      <c r="B23" s="761" t="s">
        <v>142</v>
      </c>
      <c r="C23" s="761"/>
      <c r="D23" s="761"/>
      <c r="E23" s="239" t="s">
        <v>133</v>
      </c>
      <c r="F23" s="762"/>
      <c r="G23" s="763"/>
    </row>
    <row r="24" spans="1:7" s="1" customFormat="1" ht="35.25" customHeight="1" x14ac:dyDescent="0.2">
      <c r="A24" s="208">
        <v>11</v>
      </c>
      <c r="B24" s="761" t="s">
        <v>143</v>
      </c>
      <c r="C24" s="761"/>
      <c r="D24" s="761"/>
      <c r="E24" s="239" t="s">
        <v>133</v>
      </c>
      <c r="F24" s="762"/>
      <c r="G24" s="763"/>
    </row>
    <row r="25" spans="1:7" s="194" customFormat="1" ht="35.25" customHeight="1" x14ac:dyDescent="0.2">
      <c r="A25" s="209">
        <v>12</v>
      </c>
      <c r="B25" s="761" t="s">
        <v>144</v>
      </c>
      <c r="C25" s="761"/>
      <c r="D25" s="761"/>
      <c r="E25" s="193" t="s">
        <v>133</v>
      </c>
      <c r="F25" s="762"/>
      <c r="G25" s="763"/>
    </row>
    <row r="26" spans="1:7" s="1" customFormat="1" ht="35.25" customHeight="1" x14ac:dyDescent="0.2">
      <c r="A26" s="208">
        <v>13</v>
      </c>
      <c r="B26" s="761" t="s">
        <v>145</v>
      </c>
      <c r="C26" s="761"/>
      <c r="D26" s="761"/>
      <c r="E26" s="239" t="s">
        <v>133</v>
      </c>
      <c r="F26" s="762"/>
      <c r="G26" s="763"/>
    </row>
    <row r="27" spans="1:7" s="1" customFormat="1" ht="35.25" customHeight="1" x14ac:dyDescent="0.2">
      <c r="A27" s="208">
        <v>14</v>
      </c>
      <c r="B27" s="761" t="s">
        <v>146</v>
      </c>
      <c r="C27" s="761"/>
      <c r="D27" s="761"/>
      <c r="E27" s="239" t="s">
        <v>133</v>
      </c>
      <c r="F27" s="762"/>
      <c r="G27" s="763"/>
    </row>
    <row r="28" spans="1:7" s="1" customFormat="1" ht="54.75" customHeight="1" thickBot="1" x14ac:dyDescent="0.25">
      <c r="A28" s="210">
        <v>15</v>
      </c>
      <c r="B28" s="764" t="s">
        <v>147</v>
      </c>
      <c r="C28" s="764"/>
      <c r="D28" s="764"/>
      <c r="E28" s="237" t="s">
        <v>133</v>
      </c>
      <c r="F28" s="765"/>
      <c r="G28" s="766"/>
    </row>
    <row r="29" spans="1:7" ht="15.75" thickBot="1" x14ac:dyDescent="0.3"/>
    <row r="30" spans="1:7" ht="79.5" thickBot="1" x14ac:dyDescent="0.3">
      <c r="B30" s="2" t="s">
        <v>39</v>
      </c>
      <c r="C30" s="11" t="s">
        <v>92</v>
      </c>
      <c r="D30" s="11" t="s">
        <v>93</v>
      </c>
      <c r="E30" s="2" t="s">
        <v>94</v>
      </c>
      <c r="F30" s="2" t="s">
        <v>95</v>
      </c>
      <c r="G30" s="21" t="s">
        <v>96</v>
      </c>
    </row>
    <row r="31" spans="1:7" ht="15.75" thickBot="1" x14ac:dyDescent="0.3">
      <c r="B31" s="3">
        <f>'CARTA DE CONTROL'!Q183</f>
        <v>0</v>
      </c>
      <c r="C31" s="4">
        <f>'CARTA DE CONTROL'!AR183</f>
        <v>6.0000000000000001E-3</v>
      </c>
      <c r="D31" s="4">
        <f>'CARTA DE CONTROL'!AS183</f>
        <v>6.0000000000000001E-3</v>
      </c>
      <c r="E31" s="6">
        <f>'CARTA DE CONTROL'!I183</f>
        <v>0.1</v>
      </c>
      <c r="F31" s="7">
        <f>-('CARTA DE CONTROL'!I183)</f>
        <v>-0.1</v>
      </c>
      <c r="G31" s="5" t="str">
        <f>IF(C31&lt;=0.1,IF(D31&gt;=-0.1,"PASS","NO PASS"))</f>
        <v>PASS</v>
      </c>
    </row>
    <row r="32" spans="1:7" ht="15.75" thickBot="1" x14ac:dyDescent="0.3">
      <c r="B32" s="3">
        <f>'CARTA DE CONTROL'!Q184</f>
        <v>0.5</v>
      </c>
      <c r="C32" s="4">
        <f>'CARTA DE CONTROL'!AR184</f>
        <v>1.6E-2</v>
      </c>
      <c r="D32" s="4">
        <f>'CARTA DE CONTROL'!AS184</f>
        <v>-4.0000000000000001E-3</v>
      </c>
      <c r="E32" s="6">
        <f>'CARTA DE CONTROL'!I184</f>
        <v>0.1</v>
      </c>
      <c r="F32" s="7">
        <f>-('CARTA DE CONTROL'!I184)</f>
        <v>-0.1</v>
      </c>
      <c r="G32" s="5" t="str">
        <f t="shared" ref="G32:G41" si="0">IF(C32&lt;=0.1,IF(D32&gt;=-0.1,"PASS","NO PASS"))</f>
        <v>PASS</v>
      </c>
    </row>
    <row r="33" spans="1:8" ht="15.75" thickBot="1" x14ac:dyDescent="0.3">
      <c r="B33" s="3">
        <f>'CARTA DE CONTROL'!Q185</f>
        <v>1</v>
      </c>
      <c r="C33" s="4">
        <f>'CARTA DE CONTROL'!AR185</f>
        <v>1.5900000000000001E-2</v>
      </c>
      <c r="D33" s="4">
        <f>'CARTA DE CONTROL'!AS185</f>
        <v>-3.9000000000000007E-3</v>
      </c>
      <c r="E33" s="6">
        <f>'CARTA DE CONTROL'!I185</f>
        <v>0.1</v>
      </c>
      <c r="F33" s="7">
        <f>-('CARTA DE CONTROL'!I185)</f>
        <v>-0.1</v>
      </c>
      <c r="G33" s="5" t="str">
        <f t="shared" si="0"/>
        <v>PASS</v>
      </c>
    </row>
    <row r="34" spans="1:8" ht="15.75" thickBot="1" x14ac:dyDescent="0.3">
      <c r="B34" s="3">
        <f>'CARTA DE CONTROL'!Q186</f>
        <v>1.6</v>
      </c>
      <c r="C34" s="4">
        <f>'CARTA DE CONTROL'!AR186</f>
        <v>1.5900000000000001E-2</v>
      </c>
      <c r="D34" s="4">
        <f>'CARTA DE CONTROL'!AS186</f>
        <v>-3.9000000000000007E-3</v>
      </c>
      <c r="E34" s="6">
        <f>'CARTA DE CONTROL'!I186</f>
        <v>0.1</v>
      </c>
      <c r="F34" s="7">
        <f>-('CARTA DE CONTROL'!I186)</f>
        <v>-0.1</v>
      </c>
      <c r="G34" s="5" t="str">
        <f t="shared" si="0"/>
        <v>PASS</v>
      </c>
    </row>
    <row r="35" spans="1:8" ht="15.75" thickBot="1" x14ac:dyDescent="0.3">
      <c r="B35" s="3">
        <f>'CARTA DE CONTROL'!Q187</f>
        <v>2</v>
      </c>
      <c r="C35" s="4">
        <f>'CARTA DE CONTROL'!AR187</f>
        <v>1.6E-2</v>
      </c>
      <c r="D35" s="4">
        <f>'CARTA DE CONTROL'!AS187</f>
        <v>-4.0000000000000001E-3</v>
      </c>
      <c r="E35" s="6">
        <f>'CARTA DE CONTROL'!I187</f>
        <v>0.1</v>
      </c>
      <c r="F35" s="7">
        <f>-('CARTA DE CONTROL'!I187)</f>
        <v>-0.1</v>
      </c>
      <c r="G35" s="5" t="str">
        <f t="shared" si="0"/>
        <v>PASS</v>
      </c>
    </row>
    <row r="36" spans="1:8" ht="15.75" thickBot="1" x14ac:dyDescent="0.3">
      <c r="B36" s="3">
        <f>'CARTA DE CONTROL'!Q188</f>
        <v>5</v>
      </c>
      <c r="C36" s="4">
        <f>'CARTA DE CONTROL'!AR188</f>
        <v>1.2199999999999999E-2</v>
      </c>
      <c r="D36" s="4">
        <f>'CARTA DE CONTROL'!AS188</f>
        <v>4.0000000000000001E-3</v>
      </c>
      <c r="E36" s="6">
        <f>'CARTA DE CONTROL'!I188</f>
        <v>0.1</v>
      </c>
      <c r="F36" s="7">
        <f>-('CARTA DE CONTROL'!I188)</f>
        <v>-0.1</v>
      </c>
      <c r="G36" s="5" t="str">
        <f t="shared" si="0"/>
        <v>PASS</v>
      </c>
    </row>
    <row r="37" spans="1:8" ht="15.75" thickBot="1" x14ac:dyDescent="0.3">
      <c r="B37" s="3">
        <f>'CARTA DE CONTROL'!Q189</f>
        <v>10</v>
      </c>
      <c r="C37" s="4">
        <f>'CARTA DE CONTROL'!AR189</f>
        <v>6.0000000000000001E-3</v>
      </c>
      <c r="D37" s="4">
        <f>'CARTA DE CONTROL'!AS189</f>
        <v>6.0000000000000001E-3</v>
      </c>
      <c r="E37" s="6">
        <f>'CARTA DE CONTROL'!I189</f>
        <v>0.1</v>
      </c>
      <c r="F37" s="7">
        <f>-('CARTA DE CONTROL'!I189)</f>
        <v>-0.1</v>
      </c>
      <c r="G37" s="5" t="str">
        <f t="shared" si="0"/>
        <v>PASS</v>
      </c>
    </row>
    <row r="38" spans="1:8" ht="15.75" thickBot="1" x14ac:dyDescent="0.3">
      <c r="B38" s="3">
        <f>'CARTA DE CONTROL'!Q190</f>
        <v>15</v>
      </c>
      <c r="C38" s="4">
        <f>'CARTA DE CONTROL'!AR190</f>
        <v>2E-3</v>
      </c>
      <c r="D38" s="4">
        <f>'CARTA DE CONTROL'!AS190</f>
        <v>1.4199999999999999E-2</v>
      </c>
      <c r="E38" s="6">
        <f>'CARTA DE CONTROL'!I190</f>
        <v>0.1</v>
      </c>
      <c r="F38" s="7">
        <f>-('CARTA DE CONTROL'!I190)</f>
        <v>-0.1</v>
      </c>
      <c r="G38" s="5" t="str">
        <f t="shared" si="0"/>
        <v>PASS</v>
      </c>
    </row>
    <row r="39" spans="1:8" ht="15.75" thickBot="1" x14ac:dyDescent="0.3">
      <c r="B39" s="3">
        <f>'CARTA DE CONTROL'!Q191</f>
        <v>17</v>
      </c>
      <c r="C39" s="4">
        <f>'CARTA DE CONTROL'!AR191</f>
        <v>3.5299999999999998E-2</v>
      </c>
      <c r="D39" s="4">
        <f>'CARTA DE CONTROL'!AS191</f>
        <v>-2.0499999999999997E-2</v>
      </c>
      <c r="E39" s="6">
        <f>'CARTA DE CONTROL'!I191</f>
        <v>0.1</v>
      </c>
      <c r="F39" s="7">
        <f>-('CARTA DE CONTROL'!I191)</f>
        <v>-0.1</v>
      </c>
      <c r="G39" s="5" t="str">
        <f t="shared" si="0"/>
        <v>PASS</v>
      </c>
    </row>
    <row r="40" spans="1:8" ht="15.75" thickBot="1" x14ac:dyDescent="0.3">
      <c r="B40" s="3">
        <f>'CARTA DE CONTROL'!Q192</f>
        <v>20</v>
      </c>
      <c r="C40" s="4">
        <f>'CARTA DE CONTROL'!AR192</f>
        <v>4.0000000000000001E-3</v>
      </c>
      <c r="D40" s="4">
        <f>'CARTA DE CONTROL'!AS192</f>
        <v>1.2199999999999999E-2</v>
      </c>
      <c r="E40" s="6">
        <f>'CARTA DE CONTROL'!I192</f>
        <v>0.1</v>
      </c>
      <c r="F40" s="7">
        <f>-('CARTA DE CONTROL'!I192)</f>
        <v>-0.1</v>
      </c>
      <c r="G40" s="5" t="str">
        <f t="shared" ref="G40" si="1">IF(C40&lt;=0.1,IF(D40&gt;=-0.1,"PASS","NO PASS"))</f>
        <v>PASS</v>
      </c>
    </row>
    <row r="41" spans="1:8" ht="15.75" thickBot="1" x14ac:dyDescent="0.3">
      <c r="B41" s="3">
        <f>'CARTA DE CONTROL'!Q193</f>
        <v>25</v>
      </c>
      <c r="C41" s="4">
        <f>'CARTA DE CONTROL'!AR193</f>
        <v>1.1899999999999999E-2</v>
      </c>
      <c r="D41" s="4">
        <f>'CARTA DE CONTROL'!AS193</f>
        <v>4.3E-3</v>
      </c>
      <c r="E41" s="6">
        <f>'CARTA DE CONTROL'!I193</f>
        <v>0.1</v>
      </c>
      <c r="F41" s="7">
        <f>-('CARTA DE CONTROL'!I193)</f>
        <v>-0.1</v>
      </c>
      <c r="G41" s="5" t="str">
        <f t="shared" si="0"/>
        <v>PASS</v>
      </c>
    </row>
    <row r="42" spans="1:8" x14ac:dyDescent="0.25">
      <c r="A42" s="1"/>
      <c r="B42" s="1"/>
      <c r="C42" s="1"/>
      <c r="D42" s="1"/>
      <c r="E42" s="1"/>
      <c r="F42" s="1"/>
      <c r="G42" s="1"/>
      <c r="H42" s="1"/>
    </row>
    <row r="43" spans="1:8" x14ac:dyDescent="0.25">
      <c r="A43" s="1"/>
      <c r="B43" s="1"/>
      <c r="C43" s="1"/>
      <c r="D43" s="1"/>
    </row>
    <row r="44" spans="1:8" x14ac:dyDescent="0.25">
      <c r="A44" s="1"/>
      <c r="B44" s="1"/>
      <c r="C44" s="1"/>
      <c r="D44" s="1"/>
    </row>
    <row r="45" spans="1:8" x14ac:dyDescent="0.25">
      <c r="A45" s="1"/>
      <c r="B45" s="1"/>
      <c r="C45" s="1"/>
      <c r="D45" s="1"/>
    </row>
    <row r="46" spans="1:8" x14ac:dyDescent="0.25">
      <c r="A46" s="1"/>
      <c r="B46" s="1"/>
      <c r="C46" s="1"/>
      <c r="D46" s="1"/>
      <c r="E46" s="1"/>
      <c r="F46" s="1"/>
      <c r="G46" s="1"/>
      <c r="H46" s="1"/>
    </row>
    <row r="47" spans="1:8" x14ac:dyDescent="0.25">
      <c r="A47" s="1"/>
      <c r="B47" s="1"/>
      <c r="C47" s="1"/>
      <c r="D47" s="1"/>
      <c r="E47" s="1"/>
      <c r="F47" s="1"/>
      <c r="G47" s="1"/>
      <c r="H47" s="1"/>
    </row>
    <row r="48" spans="1:8" x14ac:dyDescent="0.25">
      <c r="A48" s="1"/>
      <c r="B48" s="1"/>
      <c r="C48" s="1"/>
      <c r="D48" s="1"/>
      <c r="E48" s="1"/>
      <c r="F48" s="1"/>
      <c r="G48" s="1"/>
      <c r="H48" s="1"/>
    </row>
    <row r="49" spans="1:8" x14ac:dyDescent="0.25">
      <c r="A49" s="1"/>
      <c r="B49" s="1"/>
      <c r="C49" s="1"/>
      <c r="D49" s="1"/>
      <c r="E49" s="1"/>
      <c r="F49" s="1"/>
      <c r="G49" s="1"/>
      <c r="H49" s="1"/>
    </row>
    <row r="50" spans="1:8" x14ac:dyDescent="0.25">
      <c r="A50" s="1"/>
      <c r="B50" s="1"/>
      <c r="C50" s="1"/>
      <c r="D50" s="1"/>
      <c r="E50" s="1"/>
      <c r="F50" s="1"/>
      <c r="G50" s="1"/>
      <c r="H50" s="1"/>
    </row>
    <row r="51" spans="1:8" x14ac:dyDescent="0.25">
      <c r="A51" s="1"/>
      <c r="B51" s="1"/>
      <c r="C51" s="1"/>
      <c r="D51" s="1"/>
      <c r="E51" s="1"/>
      <c r="F51" s="1"/>
      <c r="G51" s="1"/>
      <c r="H51" s="1"/>
    </row>
    <row r="52" spans="1:8" x14ac:dyDescent="0.25">
      <c r="A52" s="1"/>
      <c r="B52" s="1"/>
      <c r="C52" s="1"/>
      <c r="D52" s="1"/>
      <c r="E52" s="1"/>
      <c r="F52" s="1"/>
      <c r="G52" s="1"/>
      <c r="H52" s="1"/>
    </row>
    <row r="53" spans="1:8" x14ac:dyDescent="0.25">
      <c r="A53" s="1"/>
      <c r="B53" s="1"/>
      <c r="C53" s="1"/>
      <c r="D53" s="1"/>
      <c r="E53" s="1"/>
      <c r="F53" s="1"/>
      <c r="G53" s="1"/>
      <c r="H53" s="1"/>
    </row>
    <row r="54" spans="1:8" x14ac:dyDescent="0.25">
      <c r="A54" s="1"/>
      <c r="B54" s="1"/>
      <c r="C54" s="1"/>
      <c r="D54" s="1"/>
      <c r="E54" s="1"/>
      <c r="F54" s="1"/>
      <c r="G54" s="1"/>
      <c r="H54" s="1"/>
    </row>
    <row r="55" spans="1:8" x14ac:dyDescent="0.25">
      <c r="A55" s="1"/>
      <c r="B55" s="1"/>
      <c r="C55" s="1"/>
      <c r="D55" s="1"/>
      <c r="E55" s="1"/>
      <c r="F55" s="1"/>
      <c r="G55" s="1"/>
      <c r="H55" s="1"/>
    </row>
  </sheetData>
  <mergeCells count="37">
    <mergeCell ref="B13:D13"/>
    <mergeCell ref="F13:G13"/>
    <mergeCell ref="C7:E7"/>
    <mergeCell ref="C8:E8"/>
    <mergeCell ref="C9:E9"/>
    <mergeCell ref="C10:E10"/>
    <mergeCell ref="A12:G12"/>
    <mergeCell ref="B14:D14"/>
    <mergeCell ref="F14:G14"/>
    <mergeCell ref="B15:D15"/>
    <mergeCell ref="F15:G15"/>
    <mergeCell ref="B16:D16"/>
    <mergeCell ref="F16:G16"/>
    <mergeCell ref="B17:D17"/>
    <mergeCell ref="F17:G17"/>
    <mergeCell ref="B18:D18"/>
    <mergeCell ref="F18:G18"/>
    <mergeCell ref="B19:D19"/>
    <mergeCell ref="F19:G19"/>
    <mergeCell ref="B20:D20"/>
    <mergeCell ref="F20:G20"/>
    <mergeCell ref="B21:D21"/>
    <mergeCell ref="F21:G21"/>
    <mergeCell ref="B22:D22"/>
    <mergeCell ref="F22:G22"/>
    <mergeCell ref="B23:D23"/>
    <mergeCell ref="F23:G23"/>
    <mergeCell ref="B24:D24"/>
    <mergeCell ref="F24:G24"/>
    <mergeCell ref="B25:D25"/>
    <mergeCell ref="F25:G25"/>
    <mergeCell ref="B26:D26"/>
    <mergeCell ref="F26:G26"/>
    <mergeCell ref="B27:D27"/>
    <mergeCell ref="F27:G27"/>
    <mergeCell ref="B28:D28"/>
    <mergeCell ref="F28:G28"/>
  </mergeCells>
  <conditionalFormatting sqref="G31:G41">
    <cfRule type="cellIs" dxfId="71" priority="2" operator="lessThan">
      <formula>$F$69</formula>
    </cfRule>
    <cfRule type="cellIs" dxfId="70" priority="3" operator="lessThan">
      <formula>0.05</formula>
    </cfRule>
  </conditionalFormatting>
  <conditionalFormatting sqref="G31:G41">
    <cfRule type="cellIs" dxfId="69" priority="1" operator="between">
      <formula>$F$69</formula>
      <formula>$G$69</formula>
    </cfRule>
  </conditionalFormatting>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5"/>
  <sheetViews>
    <sheetView topLeftCell="A19" workbookViewId="0">
      <selection activeCell="B40" sqref="B40:F41"/>
    </sheetView>
  </sheetViews>
  <sheetFormatPr baseColWidth="10" defaultRowHeight="15" x14ac:dyDescent="0.25"/>
  <cols>
    <col min="1" max="1" width="3.85546875" customWidth="1"/>
    <col min="2" max="2" width="22.85546875" customWidth="1"/>
    <col min="3" max="3" width="21.7109375" customWidth="1"/>
    <col min="4" max="4" width="21" customWidth="1"/>
    <col min="5" max="5" width="22.7109375" customWidth="1"/>
    <col min="8" max="8" width="13" customWidth="1"/>
  </cols>
  <sheetData>
    <row r="1" spans="1:11" ht="15" customHeight="1" x14ac:dyDescent="0.25">
      <c r="E1" s="214"/>
    </row>
    <row r="2" spans="1:11" ht="15" customHeight="1" x14ac:dyDescent="0.25">
      <c r="B2" s="421"/>
      <c r="C2" s="421"/>
      <c r="D2" s="421"/>
      <c r="E2" s="215"/>
      <c r="F2" s="421"/>
      <c r="G2" s="421"/>
      <c r="H2" s="421"/>
    </row>
    <row r="3" spans="1:11" ht="15" customHeight="1" x14ac:dyDescent="0.25">
      <c r="B3" s="421"/>
      <c r="C3" s="421"/>
      <c r="D3" s="421"/>
      <c r="E3" s="215"/>
      <c r="F3" s="421"/>
      <c r="G3" s="421"/>
      <c r="H3" s="421"/>
    </row>
    <row r="4" spans="1:11" ht="15" customHeight="1" x14ac:dyDescent="0.25">
      <c r="B4" s="421"/>
      <c r="C4" s="421"/>
      <c r="D4" s="421"/>
      <c r="E4" s="215"/>
      <c r="F4" s="421"/>
      <c r="G4" s="421"/>
      <c r="H4" s="421"/>
    </row>
    <row r="5" spans="1:11" ht="15" customHeight="1" x14ac:dyDescent="0.25">
      <c r="B5" s="421"/>
      <c r="C5" s="421"/>
      <c r="D5" s="421"/>
      <c r="E5" s="215"/>
      <c r="F5" s="421"/>
      <c r="G5" s="421"/>
      <c r="H5" s="421"/>
    </row>
    <row r="6" spans="1:11" ht="15" customHeight="1" x14ac:dyDescent="0.25">
      <c r="B6" s="421"/>
      <c r="C6" s="421"/>
      <c r="D6" s="421"/>
      <c r="E6" s="215"/>
      <c r="F6" s="421"/>
      <c r="G6" s="421"/>
      <c r="H6" s="421"/>
    </row>
    <row r="7" spans="1:11" x14ac:dyDescent="0.25">
      <c r="B7" s="231" t="s">
        <v>157</v>
      </c>
      <c r="C7" s="770" t="str">
        <f>'CARTA DE CONTROL'!B197</f>
        <v>SONOMETRO</v>
      </c>
      <c r="D7" s="771"/>
      <c r="E7" s="772"/>
    </row>
    <row r="8" spans="1:11" x14ac:dyDescent="0.25">
      <c r="B8" s="231" t="s">
        <v>158</v>
      </c>
      <c r="C8" s="770" t="str">
        <f>'CARTA DE CONTROL'!D197</f>
        <v>EXTECH INSTRUMENTS</v>
      </c>
      <c r="D8" s="771"/>
      <c r="E8" s="772"/>
    </row>
    <row r="9" spans="1:11" x14ac:dyDescent="0.25">
      <c r="B9" s="231" t="s">
        <v>159</v>
      </c>
      <c r="C9" s="770">
        <f>'CARTA DE CONTROL'!E197</f>
        <v>407750</v>
      </c>
      <c r="D9" s="771"/>
      <c r="E9" s="772"/>
    </row>
    <row r="10" spans="1:11" x14ac:dyDescent="0.25">
      <c r="B10" s="231" t="s">
        <v>160</v>
      </c>
      <c r="C10" s="786">
        <f>'CARTA DE CONTROL'!F197</f>
        <v>3132092</v>
      </c>
      <c r="D10" s="787"/>
      <c r="E10" s="788"/>
    </row>
    <row r="11" spans="1:11" ht="15" customHeight="1" thickBot="1" x14ac:dyDescent="0.3">
      <c r="B11" s="421"/>
      <c r="C11" s="421"/>
      <c r="D11" s="421"/>
      <c r="E11" s="215"/>
      <c r="F11" s="421"/>
      <c r="G11" s="421"/>
      <c r="H11" s="202"/>
      <c r="I11" s="203"/>
      <c r="J11" s="203"/>
      <c r="K11" s="203"/>
    </row>
    <row r="12" spans="1:11" s="190" customFormat="1" ht="34.5" customHeight="1" x14ac:dyDescent="0.2">
      <c r="A12" s="776" t="s">
        <v>127</v>
      </c>
      <c r="B12" s="777"/>
      <c r="C12" s="777"/>
      <c r="D12" s="777"/>
      <c r="E12" s="777"/>
      <c r="F12" s="777"/>
      <c r="G12" s="778"/>
      <c r="H12" s="204"/>
      <c r="I12" s="204"/>
      <c r="J12" s="204"/>
      <c r="K12" s="204"/>
    </row>
    <row r="13" spans="1:11" s="190" customFormat="1" ht="15" customHeight="1" x14ac:dyDescent="0.2">
      <c r="A13" s="207" t="s">
        <v>128</v>
      </c>
      <c r="B13" s="779" t="s">
        <v>129</v>
      </c>
      <c r="C13" s="780"/>
      <c r="D13" s="781"/>
      <c r="E13" s="423" t="s">
        <v>130</v>
      </c>
      <c r="F13" s="782" t="s">
        <v>131</v>
      </c>
      <c r="G13" s="783"/>
      <c r="H13" s="205"/>
      <c r="I13" s="205"/>
      <c r="J13" s="205"/>
      <c r="K13" s="205"/>
    </row>
    <row r="14" spans="1:11" s="1" customFormat="1" ht="35.25" customHeight="1" x14ac:dyDescent="0.2">
      <c r="A14" s="208">
        <v>1</v>
      </c>
      <c r="B14" s="761" t="s">
        <v>132</v>
      </c>
      <c r="C14" s="761"/>
      <c r="D14" s="761"/>
      <c r="E14" s="422" t="s">
        <v>133</v>
      </c>
      <c r="F14" s="762"/>
      <c r="G14" s="763"/>
      <c r="H14" s="206"/>
      <c r="I14" s="206"/>
      <c r="J14" s="206"/>
      <c r="K14" s="206"/>
    </row>
    <row r="15" spans="1:11" s="1" customFormat="1" ht="35.25" customHeight="1" x14ac:dyDescent="0.2">
      <c r="A15" s="208">
        <v>2</v>
      </c>
      <c r="B15" s="761" t="s">
        <v>134</v>
      </c>
      <c r="C15" s="761"/>
      <c r="D15" s="761"/>
      <c r="E15" s="422" t="s">
        <v>133</v>
      </c>
      <c r="F15" s="762"/>
      <c r="G15" s="763"/>
    </row>
    <row r="16" spans="1:11" s="1" customFormat="1" ht="35.25" customHeight="1" x14ac:dyDescent="0.2">
      <c r="A16" s="208">
        <v>3</v>
      </c>
      <c r="B16" s="761" t="s">
        <v>135</v>
      </c>
      <c r="C16" s="761"/>
      <c r="D16" s="761"/>
      <c r="E16" s="422" t="s">
        <v>133</v>
      </c>
      <c r="F16" s="762"/>
      <c r="G16" s="763"/>
    </row>
    <row r="17" spans="1:11" s="1" customFormat="1" ht="35.25" customHeight="1" x14ac:dyDescent="0.2">
      <c r="A17" s="208">
        <v>4</v>
      </c>
      <c r="B17" s="761" t="s">
        <v>136</v>
      </c>
      <c r="C17" s="761"/>
      <c r="D17" s="761"/>
      <c r="E17" s="422" t="s">
        <v>133</v>
      </c>
      <c r="F17" s="784" t="s">
        <v>229</v>
      </c>
      <c r="G17" s="785"/>
    </row>
    <row r="18" spans="1:11" s="1" customFormat="1" ht="35.25" customHeight="1" x14ac:dyDescent="0.2">
      <c r="A18" s="208">
        <v>5</v>
      </c>
      <c r="B18" s="761" t="s">
        <v>137</v>
      </c>
      <c r="C18" s="761"/>
      <c r="D18" s="761"/>
      <c r="E18" s="422" t="s">
        <v>133</v>
      </c>
      <c r="F18" s="762"/>
      <c r="G18" s="763"/>
    </row>
    <row r="19" spans="1:11" s="1" customFormat="1" ht="35.25" customHeight="1" x14ac:dyDescent="0.2">
      <c r="A19" s="208">
        <v>6</v>
      </c>
      <c r="B19" s="761" t="s">
        <v>138</v>
      </c>
      <c r="C19" s="761"/>
      <c r="D19" s="761"/>
      <c r="E19" s="422" t="s">
        <v>133</v>
      </c>
      <c r="F19" s="762"/>
      <c r="G19" s="763"/>
    </row>
    <row r="20" spans="1:11" s="1" customFormat="1" ht="35.25" customHeight="1" x14ac:dyDescent="0.2">
      <c r="A20" s="208">
        <v>7</v>
      </c>
      <c r="B20" s="761" t="s">
        <v>139</v>
      </c>
      <c r="C20" s="761"/>
      <c r="D20" s="761"/>
      <c r="E20" s="422" t="s">
        <v>133</v>
      </c>
      <c r="F20" s="762"/>
      <c r="G20" s="763"/>
    </row>
    <row r="21" spans="1:11" s="1" customFormat="1" ht="35.25" customHeight="1" x14ac:dyDescent="0.2">
      <c r="A21" s="208">
        <v>8</v>
      </c>
      <c r="B21" s="761" t="s">
        <v>140</v>
      </c>
      <c r="C21" s="761"/>
      <c r="D21" s="761"/>
      <c r="E21" s="422" t="s">
        <v>133</v>
      </c>
      <c r="F21" s="762"/>
      <c r="G21" s="763"/>
    </row>
    <row r="22" spans="1:11" s="1" customFormat="1" ht="35.25" customHeight="1" x14ac:dyDescent="0.2">
      <c r="A22" s="208">
        <v>9</v>
      </c>
      <c r="B22" s="761" t="s">
        <v>141</v>
      </c>
      <c r="C22" s="761"/>
      <c r="D22" s="761"/>
      <c r="E22" s="422" t="s">
        <v>133</v>
      </c>
      <c r="F22" s="762"/>
      <c r="G22" s="763"/>
    </row>
    <row r="23" spans="1:11" s="1" customFormat="1" ht="35.25" customHeight="1" x14ac:dyDescent="0.2">
      <c r="A23" s="208">
        <v>10</v>
      </c>
      <c r="B23" s="761" t="s">
        <v>142</v>
      </c>
      <c r="C23" s="761"/>
      <c r="D23" s="761"/>
      <c r="E23" s="422" t="s">
        <v>133</v>
      </c>
      <c r="F23" s="762"/>
      <c r="G23" s="763"/>
    </row>
    <row r="24" spans="1:11" s="1" customFormat="1" ht="35.25" customHeight="1" x14ac:dyDescent="0.2">
      <c r="A24" s="208">
        <v>11</v>
      </c>
      <c r="B24" s="761" t="s">
        <v>143</v>
      </c>
      <c r="C24" s="761"/>
      <c r="D24" s="761"/>
      <c r="E24" s="422" t="s">
        <v>133</v>
      </c>
      <c r="F24" s="762"/>
      <c r="G24" s="763"/>
    </row>
    <row r="25" spans="1:11" s="194" customFormat="1" ht="35.25" customHeight="1" x14ac:dyDescent="0.2">
      <c r="A25" s="209">
        <v>12</v>
      </c>
      <c r="B25" s="761" t="s">
        <v>144</v>
      </c>
      <c r="C25" s="761"/>
      <c r="D25" s="761"/>
      <c r="E25" s="193" t="s">
        <v>133</v>
      </c>
      <c r="F25" s="762"/>
      <c r="G25" s="763"/>
    </row>
    <row r="26" spans="1:11" s="1" customFormat="1" ht="35.25" customHeight="1" x14ac:dyDescent="0.2">
      <c r="A26" s="208">
        <v>13</v>
      </c>
      <c r="B26" s="761" t="s">
        <v>145</v>
      </c>
      <c r="C26" s="761"/>
      <c r="D26" s="761"/>
      <c r="E26" s="422" t="s">
        <v>133</v>
      </c>
      <c r="F26" s="762"/>
      <c r="G26" s="763"/>
    </row>
    <row r="27" spans="1:11" s="1" customFormat="1" ht="35.25" customHeight="1" x14ac:dyDescent="0.2">
      <c r="A27" s="208">
        <v>14</v>
      </c>
      <c r="B27" s="761" t="s">
        <v>146</v>
      </c>
      <c r="C27" s="761"/>
      <c r="D27" s="761"/>
      <c r="E27" s="422" t="s">
        <v>133</v>
      </c>
      <c r="F27" s="762"/>
      <c r="G27" s="763"/>
    </row>
    <row r="28" spans="1:11" s="1" customFormat="1" ht="54.75" customHeight="1" thickBot="1" x14ac:dyDescent="0.25">
      <c r="A28" s="210">
        <v>15</v>
      </c>
      <c r="B28" s="764" t="s">
        <v>147</v>
      </c>
      <c r="C28" s="764"/>
      <c r="D28" s="764"/>
      <c r="E28" s="424" t="s">
        <v>133</v>
      </c>
      <c r="F28" s="765"/>
      <c r="G28" s="766"/>
    </row>
    <row r="29" spans="1:11" s="198" customFormat="1" ht="21" customHeight="1" thickBot="1" x14ac:dyDescent="0.25">
      <c r="B29" s="195"/>
      <c r="C29" s="196"/>
      <c r="D29" s="196"/>
      <c r="E29" s="195"/>
      <c r="F29" s="196"/>
      <c r="G29" s="196"/>
      <c r="H29" s="197"/>
      <c r="I29" s="197"/>
    </row>
    <row r="30" spans="1:11" s="219" customFormat="1" ht="15" customHeight="1" x14ac:dyDescent="0.2">
      <c r="A30" s="767" t="s">
        <v>148</v>
      </c>
      <c r="B30" s="768"/>
      <c r="C30" s="768"/>
      <c r="D30" s="768"/>
      <c r="E30" s="768"/>
      <c r="F30" s="768"/>
      <c r="G30" s="769"/>
      <c r="H30" s="222"/>
      <c r="I30" s="223"/>
      <c r="J30" s="223"/>
      <c r="K30" s="223"/>
    </row>
    <row r="31" spans="1:11" s="219" customFormat="1" ht="15" customHeight="1" x14ac:dyDescent="0.2">
      <c r="A31" s="220" t="s">
        <v>128</v>
      </c>
      <c r="B31" s="759" t="s">
        <v>129</v>
      </c>
      <c r="C31" s="759"/>
      <c r="D31" s="759"/>
      <c r="E31" s="425" t="s">
        <v>130</v>
      </c>
      <c r="F31" s="759" t="s">
        <v>131</v>
      </c>
      <c r="G31" s="760"/>
      <c r="H31" s="224"/>
      <c r="I31" s="225"/>
      <c r="J31" s="225"/>
      <c r="K31" s="225"/>
    </row>
    <row r="32" spans="1:11" s="1" customFormat="1" ht="55.5" customHeight="1" x14ac:dyDescent="0.2">
      <c r="A32" s="216">
        <v>1</v>
      </c>
      <c r="B32" s="754" t="s">
        <v>149</v>
      </c>
      <c r="C32" s="754"/>
      <c r="D32" s="754"/>
      <c r="E32" s="199" t="s">
        <v>150</v>
      </c>
      <c r="F32" s="755"/>
      <c r="G32" s="756"/>
      <c r="H32" s="226"/>
      <c r="I32" s="206"/>
      <c r="J32" s="206"/>
      <c r="K32" s="206"/>
    </row>
    <row r="33" spans="1:8" s="1" customFormat="1" ht="25.5" customHeight="1" x14ac:dyDescent="0.2">
      <c r="A33" s="216">
        <v>2</v>
      </c>
      <c r="B33" s="754" t="s">
        <v>151</v>
      </c>
      <c r="C33" s="754"/>
      <c r="D33" s="754"/>
      <c r="E33" s="199" t="s">
        <v>150</v>
      </c>
      <c r="F33" s="755"/>
      <c r="G33" s="756"/>
    </row>
    <row r="34" spans="1:8" s="1" customFormat="1" ht="25.5" customHeight="1" x14ac:dyDescent="0.2">
      <c r="A34" s="216">
        <v>3</v>
      </c>
      <c r="B34" s="754" t="s">
        <v>152</v>
      </c>
      <c r="C34" s="754"/>
      <c r="D34" s="754"/>
      <c r="E34" s="199" t="s">
        <v>150</v>
      </c>
      <c r="F34" s="755"/>
      <c r="G34" s="756"/>
    </row>
    <row r="35" spans="1:8" s="1" customFormat="1" ht="25.5" customHeight="1" x14ac:dyDescent="0.2">
      <c r="A35" s="216">
        <v>4</v>
      </c>
      <c r="B35" s="754" t="s">
        <v>153</v>
      </c>
      <c r="C35" s="754"/>
      <c r="D35" s="754"/>
      <c r="E35" s="199" t="s">
        <v>154</v>
      </c>
      <c r="F35" s="755"/>
      <c r="G35" s="756"/>
    </row>
    <row r="36" spans="1:8" s="1" customFormat="1" ht="25.5" customHeight="1" x14ac:dyDescent="0.2">
      <c r="A36" s="216">
        <v>5</v>
      </c>
      <c r="B36" s="754" t="s">
        <v>155</v>
      </c>
      <c r="C36" s="754"/>
      <c r="D36" s="754"/>
      <c r="E36" s="199" t="s">
        <v>154</v>
      </c>
      <c r="F36" s="757"/>
      <c r="G36" s="758"/>
    </row>
    <row r="37" spans="1:8" s="1" customFormat="1" ht="25.5" customHeight="1" thickBot="1" x14ac:dyDescent="0.25">
      <c r="A37" s="217">
        <v>6</v>
      </c>
      <c r="B37" s="748" t="s">
        <v>156</v>
      </c>
      <c r="C37" s="748"/>
      <c r="D37" s="748"/>
      <c r="E37" s="218" t="s">
        <v>154</v>
      </c>
      <c r="F37" s="749"/>
      <c r="G37" s="750"/>
    </row>
    <row r="38" spans="1:8" ht="15.75" thickBot="1" x14ac:dyDescent="0.3"/>
    <row r="39" spans="1:8" ht="79.5" thickBot="1" x14ac:dyDescent="0.3">
      <c r="B39" s="2" t="s">
        <v>39</v>
      </c>
      <c r="C39" s="11" t="s">
        <v>92</v>
      </c>
      <c r="D39" s="11" t="s">
        <v>93</v>
      </c>
      <c r="E39" s="2" t="s">
        <v>94</v>
      </c>
      <c r="F39" s="2" t="s">
        <v>95</v>
      </c>
      <c r="G39" s="21" t="s">
        <v>96</v>
      </c>
    </row>
    <row r="40" spans="1:8" ht="15.75" thickBot="1" x14ac:dyDescent="0.3">
      <c r="B40" s="3">
        <f>'CARTA DE CONTROL'!Q197</f>
        <v>93.9</v>
      </c>
      <c r="C40" s="4">
        <f>'CARTA DE CONTROL'!AR197</f>
        <v>0.3299999999999943</v>
      </c>
      <c r="D40" s="4">
        <f>'CARTA DE CONTROL'!AS197</f>
        <v>-0.13000000000000569</v>
      </c>
      <c r="E40" s="6">
        <f>'CARTA DE CONTROL'!I197</f>
        <v>1.5</v>
      </c>
      <c r="F40" s="7">
        <f>-('CARTA DE CONTROL'!I197)</f>
        <v>-1.5</v>
      </c>
      <c r="G40" s="5" t="str">
        <f>IF(C40&lt;=5,IF(D40&gt;=-5,"PASS","NO PASS"))</f>
        <v>PASS</v>
      </c>
    </row>
    <row r="41" spans="1:8" ht="15.75" thickBot="1" x14ac:dyDescent="0.3">
      <c r="B41" s="3">
        <f>'CARTA DE CONTROL'!Q198</f>
        <v>114.4</v>
      </c>
      <c r="C41" s="4">
        <f>'CARTA DE CONTROL'!AR198</f>
        <v>0.23</v>
      </c>
      <c r="D41" s="4">
        <f>'CARTA DE CONTROL'!AS198</f>
        <v>-0.23</v>
      </c>
      <c r="E41" s="6">
        <f>'CARTA DE CONTROL'!I198</f>
        <v>1.5</v>
      </c>
      <c r="F41" s="7">
        <f>-('CARTA DE CONTROL'!I198)</f>
        <v>-1.5</v>
      </c>
      <c r="G41" s="5" t="str">
        <f t="shared" ref="G41" si="0">IF(C41&lt;=5,IF(D41&gt;=-5,"PASS","NO PASS"))</f>
        <v>PASS</v>
      </c>
    </row>
    <row r="42" spans="1:8" x14ac:dyDescent="0.25">
      <c r="A42" s="1"/>
      <c r="B42" s="1"/>
      <c r="C42" s="1"/>
      <c r="D42" s="1"/>
      <c r="E42" s="1"/>
      <c r="F42" s="1"/>
      <c r="G42" s="1"/>
      <c r="H42" s="1"/>
    </row>
    <row r="43" spans="1:8" x14ac:dyDescent="0.25">
      <c r="A43" s="1"/>
      <c r="B43" s="1"/>
      <c r="C43" s="1"/>
      <c r="D43" s="1"/>
    </row>
    <row r="44" spans="1:8" x14ac:dyDescent="0.25">
      <c r="A44" s="1"/>
      <c r="B44" s="1"/>
      <c r="C44" s="1"/>
      <c r="D44" s="1"/>
    </row>
    <row r="45" spans="1:8" x14ac:dyDescent="0.25">
      <c r="A45" s="1"/>
      <c r="B45" s="1"/>
      <c r="C45" s="1"/>
      <c r="D45" s="1"/>
    </row>
    <row r="46" spans="1:8" x14ac:dyDescent="0.25">
      <c r="A46" s="1"/>
      <c r="B46" s="1"/>
      <c r="C46" s="1"/>
      <c r="D46" s="1"/>
      <c r="E46" s="1"/>
      <c r="F46" s="1"/>
      <c r="G46" s="1"/>
      <c r="H46" s="1"/>
    </row>
    <row r="47" spans="1:8" x14ac:dyDescent="0.25">
      <c r="A47" s="1"/>
      <c r="B47" s="1"/>
      <c r="C47" s="1"/>
      <c r="D47" s="1"/>
      <c r="E47" s="1"/>
      <c r="F47" s="1"/>
      <c r="G47" s="1"/>
      <c r="H47" s="1"/>
    </row>
    <row r="48" spans="1:8" x14ac:dyDescent="0.25">
      <c r="A48" s="1"/>
      <c r="B48" s="1"/>
      <c r="C48" s="1"/>
      <c r="D48" s="1"/>
      <c r="E48" s="1"/>
      <c r="F48" s="1"/>
      <c r="G48" s="1"/>
      <c r="H48" s="1"/>
    </row>
    <row r="49" spans="1:8" x14ac:dyDescent="0.25">
      <c r="A49" s="1"/>
      <c r="B49" s="1"/>
      <c r="C49" s="1"/>
      <c r="D49" s="1"/>
      <c r="E49" s="1"/>
      <c r="F49" s="1"/>
      <c r="G49" s="1"/>
      <c r="H49" s="1"/>
    </row>
    <row r="50" spans="1:8" x14ac:dyDescent="0.25">
      <c r="A50" s="1"/>
      <c r="B50" s="1"/>
      <c r="C50" s="1"/>
      <c r="D50" s="1"/>
      <c r="E50" s="1"/>
      <c r="F50" s="1"/>
      <c r="G50" s="1"/>
      <c r="H50" s="1"/>
    </row>
    <row r="51" spans="1:8" x14ac:dyDescent="0.25">
      <c r="A51" s="1"/>
      <c r="B51" s="1"/>
      <c r="C51" s="1"/>
      <c r="D51" s="1"/>
      <c r="E51" s="1"/>
      <c r="F51" s="1"/>
      <c r="G51" s="1"/>
      <c r="H51" s="1"/>
    </row>
    <row r="52" spans="1:8" x14ac:dyDescent="0.25">
      <c r="A52" s="1"/>
      <c r="B52" s="1"/>
      <c r="C52" s="1"/>
      <c r="D52" s="1"/>
      <c r="E52" s="1"/>
      <c r="F52" s="1"/>
      <c r="G52" s="1"/>
      <c r="H52" s="1"/>
    </row>
    <row r="53" spans="1:8" x14ac:dyDescent="0.25">
      <c r="A53" s="1"/>
      <c r="B53" s="1"/>
      <c r="C53" s="1"/>
      <c r="D53" s="1"/>
      <c r="E53" s="1"/>
      <c r="F53" s="1"/>
      <c r="G53" s="1"/>
      <c r="H53" s="1"/>
    </row>
    <row r="54" spans="1:8" x14ac:dyDescent="0.25">
      <c r="A54" s="1"/>
      <c r="B54" s="1"/>
      <c r="C54" s="1"/>
      <c r="D54" s="1"/>
      <c r="E54" s="1"/>
      <c r="F54" s="1"/>
      <c r="G54" s="1"/>
      <c r="H54" s="1"/>
    </row>
    <row r="55" spans="1:8" x14ac:dyDescent="0.25">
      <c r="A55" s="1"/>
      <c r="B55" s="1"/>
      <c r="C55" s="1"/>
      <c r="D55" s="1"/>
      <c r="E55" s="1"/>
      <c r="F55" s="1"/>
      <c r="G55" s="1"/>
      <c r="H55" s="1"/>
    </row>
  </sheetData>
  <mergeCells count="52">
    <mergeCell ref="B37:D37"/>
    <mergeCell ref="F37:G37"/>
    <mergeCell ref="B34:D34"/>
    <mergeCell ref="F34:G34"/>
    <mergeCell ref="B35:D35"/>
    <mergeCell ref="F35:G35"/>
    <mergeCell ref="B36:D36"/>
    <mergeCell ref="F36:G36"/>
    <mergeCell ref="B33:D33"/>
    <mergeCell ref="F33:G33"/>
    <mergeCell ref="B26:D26"/>
    <mergeCell ref="F26:G26"/>
    <mergeCell ref="B27:D27"/>
    <mergeCell ref="F27:G27"/>
    <mergeCell ref="B28:D28"/>
    <mergeCell ref="F28:G28"/>
    <mergeCell ref="A30:G30"/>
    <mergeCell ref="B31:D31"/>
    <mergeCell ref="F31:G31"/>
    <mergeCell ref="B32:D32"/>
    <mergeCell ref="F32:G32"/>
    <mergeCell ref="B23:D23"/>
    <mergeCell ref="F23:G23"/>
    <mergeCell ref="B24:D24"/>
    <mergeCell ref="F24:G24"/>
    <mergeCell ref="B25:D25"/>
    <mergeCell ref="F25:G25"/>
    <mergeCell ref="B20:D20"/>
    <mergeCell ref="F20:G20"/>
    <mergeCell ref="B21:D21"/>
    <mergeCell ref="F21:G21"/>
    <mergeCell ref="B22:D22"/>
    <mergeCell ref="F22:G22"/>
    <mergeCell ref="B17:D17"/>
    <mergeCell ref="F17:G17"/>
    <mergeCell ref="B18:D18"/>
    <mergeCell ref="F18:G18"/>
    <mergeCell ref="B19:D19"/>
    <mergeCell ref="F19:G19"/>
    <mergeCell ref="B14:D14"/>
    <mergeCell ref="F14:G14"/>
    <mergeCell ref="B15:D15"/>
    <mergeCell ref="F15:G15"/>
    <mergeCell ref="B16:D16"/>
    <mergeCell ref="F16:G16"/>
    <mergeCell ref="B13:D13"/>
    <mergeCell ref="F13:G13"/>
    <mergeCell ref="C7:E7"/>
    <mergeCell ref="C8:E8"/>
    <mergeCell ref="C9:E9"/>
    <mergeCell ref="C10:E10"/>
    <mergeCell ref="A12:G12"/>
  </mergeCells>
  <conditionalFormatting sqref="G40">
    <cfRule type="cellIs" dxfId="68" priority="5" operator="lessThan">
      <formula>$F$69</formula>
    </cfRule>
    <cfRule type="cellIs" dxfId="67" priority="6" operator="lessThan">
      <formula>0.05</formula>
    </cfRule>
  </conditionalFormatting>
  <conditionalFormatting sqref="G40">
    <cfRule type="cellIs" dxfId="66" priority="4" operator="between">
      <formula>$F$69</formula>
      <formula>$G$69</formula>
    </cfRule>
  </conditionalFormatting>
  <conditionalFormatting sqref="G41">
    <cfRule type="cellIs" dxfId="65" priority="2" operator="lessThan">
      <formula>$F$69</formula>
    </cfRule>
    <cfRule type="cellIs" dxfId="64" priority="3" operator="lessThan">
      <formula>0.05</formula>
    </cfRule>
  </conditionalFormatting>
  <conditionalFormatting sqref="G41">
    <cfRule type="cellIs" dxfId="63" priority="1" operator="between">
      <formula>$F$69</formula>
      <formula>$G$69</formula>
    </cfRule>
  </conditionalFormatting>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2"/>
  <sheetViews>
    <sheetView zoomScale="130" zoomScaleNormal="130" workbookViewId="0">
      <selection sqref="A1:XFD28"/>
    </sheetView>
  </sheetViews>
  <sheetFormatPr baseColWidth="10" defaultRowHeight="15" x14ac:dyDescent="0.25"/>
  <cols>
    <col min="1" max="1" width="5.28515625" customWidth="1"/>
    <col min="2" max="2" width="22.85546875" customWidth="1"/>
    <col min="3" max="3" width="21.7109375" customWidth="1"/>
    <col min="4" max="4" width="21" customWidth="1"/>
    <col min="5" max="5" width="22.7109375" customWidth="1"/>
    <col min="8" max="8" width="13" customWidth="1"/>
  </cols>
  <sheetData>
    <row r="1" spans="1:11" ht="15" customHeight="1" x14ac:dyDescent="0.25">
      <c r="E1" s="214"/>
    </row>
    <row r="2" spans="1:11" ht="15" customHeight="1" x14ac:dyDescent="0.25">
      <c r="B2" s="236"/>
      <c r="C2" s="236"/>
      <c r="D2" s="236"/>
      <c r="E2" s="215"/>
      <c r="F2" s="236"/>
      <c r="G2" s="236"/>
      <c r="H2" s="236"/>
    </row>
    <row r="3" spans="1:11" ht="15" customHeight="1" x14ac:dyDescent="0.25">
      <c r="B3" s="236"/>
      <c r="C3" s="236"/>
      <c r="D3" s="236"/>
      <c r="E3" s="215"/>
      <c r="F3" s="236"/>
      <c r="G3" s="236"/>
      <c r="H3" s="236"/>
    </row>
    <row r="4" spans="1:11" ht="15" customHeight="1" x14ac:dyDescent="0.25">
      <c r="B4" s="236"/>
      <c r="C4" s="236"/>
      <c r="D4" s="236"/>
      <c r="E4" s="215"/>
      <c r="F4" s="236"/>
      <c r="G4" s="236"/>
      <c r="H4" s="236"/>
    </row>
    <row r="5" spans="1:11" ht="15" customHeight="1" x14ac:dyDescent="0.25">
      <c r="B5" s="236"/>
      <c r="C5" s="236"/>
      <c r="D5" s="236"/>
      <c r="E5" s="215"/>
      <c r="F5" s="236"/>
      <c r="G5" s="236"/>
      <c r="H5" s="236"/>
    </row>
    <row r="6" spans="1:11" ht="15" customHeight="1" x14ac:dyDescent="0.25">
      <c r="B6" s="236"/>
      <c r="C6" s="236"/>
      <c r="D6" s="236"/>
      <c r="E6" s="215"/>
      <c r="F6" s="236"/>
      <c r="G6" s="236"/>
      <c r="H6" s="236"/>
    </row>
    <row r="7" spans="1:11" x14ac:dyDescent="0.25">
      <c r="B7" s="231" t="s">
        <v>157</v>
      </c>
      <c r="C7" s="770" t="str">
        <f>'CARTA DE CONTROL'!B175</f>
        <v>REVOLUCIONES POR MINUTO 2 TIEMPOS</v>
      </c>
      <c r="D7" s="771"/>
      <c r="E7" s="772"/>
    </row>
    <row r="8" spans="1:11" x14ac:dyDescent="0.25">
      <c r="B8" s="231" t="s">
        <v>158</v>
      </c>
      <c r="C8" s="770" t="str">
        <f>'CARTA DE CONTROL'!D175</f>
        <v>TECNIMAQ</v>
      </c>
      <c r="D8" s="771"/>
      <c r="E8" s="772"/>
    </row>
    <row r="9" spans="1:11" x14ac:dyDescent="0.25">
      <c r="B9" s="231" t="s">
        <v>159</v>
      </c>
      <c r="C9" s="770" t="str">
        <f>'CARTA DE CONTROL'!E175</f>
        <v>INTERFAZ RPM 2T/4T</v>
      </c>
      <c r="D9" s="771"/>
      <c r="E9" s="772"/>
    </row>
    <row r="10" spans="1:11" x14ac:dyDescent="0.25">
      <c r="B10" s="231" t="s">
        <v>160</v>
      </c>
      <c r="C10" s="786" t="str">
        <f>'CARTA DE CONTROL'!F175</f>
        <v>TMI-RPM0063</v>
      </c>
      <c r="D10" s="787"/>
      <c r="E10" s="788"/>
    </row>
    <row r="11" spans="1:11" ht="15" customHeight="1" thickBot="1" x14ac:dyDescent="0.3">
      <c r="B11" s="236"/>
      <c r="C11" s="236"/>
      <c r="D11" s="236"/>
      <c r="E11" s="215"/>
      <c r="F11" s="236"/>
      <c r="G11" s="236"/>
      <c r="H11" s="202"/>
      <c r="I11" s="203"/>
      <c r="J11" s="203"/>
      <c r="K11" s="203"/>
    </row>
    <row r="12" spans="1:11" s="190" customFormat="1" ht="34.5" customHeight="1" x14ac:dyDescent="0.2">
      <c r="A12" s="776" t="s">
        <v>127</v>
      </c>
      <c r="B12" s="777"/>
      <c r="C12" s="777"/>
      <c r="D12" s="777"/>
      <c r="E12" s="777"/>
      <c r="F12" s="777"/>
      <c r="G12" s="778"/>
      <c r="H12" s="204"/>
      <c r="I12" s="204"/>
      <c r="J12" s="204"/>
      <c r="K12" s="204"/>
    </row>
    <row r="13" spans="1:11" s="190" customFormat="1" ht="15" customHeight="1" x14ac:dyDescent="0.2">
      <c r="A13" s="207" t="s">
        <v>128</v>
      </c>
      <c r="B13" s="779" t="s">
        <v>129</v>
      </c>
      <c r="C13" s="780"/>
      <c r="D13" s="781"/>
      <c r="E13" s="240" t="s">
        <v>130</v>
      </c>
      <c r="F13" s="782" t="s">
        <v>131</v>
      </c>
      <c r="G13" s="783"/>
      <c r="H13" s="205"/>
      <c r="I13" s="205"/>
      <c r="J13" s="205"/>
      <c r="K13" s="205"/>
    </row>
    <row r="14" spans="1:11" s="1" customFormat="1" ht="35.25" customHeight="1" x14ac:dyDescent="0.2">
      <c r="A14" s="208">
        <v>1</v>
      </c>
      <c r="B14" s="761" t="s">
        <v>132</v>
      </c>
      <c r="C14" s="761"/>
      <c r="D14" s="761"/>
      <c r="E14" s="239" t="s">
        <v>133</v>
      </c>
      <c r="F14" s="762"/>
      <c r="G14" s="763"/>
      <c r="H14" s="206"/>
      <c r="I14" s="206"/>
      <c r="J14" s="206"/>
      <c r="K14" s="206"/>
    </row>
    <row r="15" spans="1:11" s="1" customFormat="1" ht="35.25" customHeight="1" x14ac:dyDescent="0.2">
      <c r="A15" s="208">
        <v>2</v>
      </c>
      <c r="B15" s="761" t="s">
        <v>134</v>
      </c>
      <c r="C15" s="761"/>
      <c r="D15" s="761"/>
      <c r="E15" s="239" t="s">
        <v>133</v>
      </c>
      <c r="F15" s="762"/>
      <c r="G15" s="763"/>
    </row>
    <row r="16" spans="1:11" s="1" customFormat="1" ht="35.25" customHeight="1" x14ac:dyDescent="0.2">
      <c r="A16" s="208">
        <v>3</v>
      </c>
      <c r="B16" s="761" t="s">
        <v>135</v>
      </c>
      <c r="C16" s="761"/>
      <c r="D16" s="761"/>
      <c r="E16" s="239" t="s">
        <v>133</v>
      </c>
      <c r="F16" s="762"/>
      <c r="G16" s="763"/>
    </row>
    <row r="17" spans="1:11" s="1" customFormat="1" ht="35.25" customHeight="1" x14ac:dyDescent="0.2">
      <c r="A17" s="208">
        <v>4</v>
      </c>
      <c r="B17" s="761" t="s">
        <v>136</v>
      </c>
      <c r="C17" s="761"/>
      <c r="D17" s="761"/>
      <c r="E17" s="239" t="s">
        <v>133</v>
      </c>
      <c r="F17" s="784"/>
      <c r="G17" s="785"/>
    </row>
    <row r="18" spans="1:11" s="1" customFormat="1" ht="35.25" customHeight="1" x14ac:dyDescent="0.2">
      <c r="A18" s="208">
        <v>5</v>
      </c>
      <c r="B18" s="761" t="s">
        <v>137</v>
      </c>
      <c r="C18" s="761"/>
      <c r="D18" s="761"/>
      <c r="E18" s="239" t="s">
        <v>133</v>
      </c>
      <c r="F18" s="762"/>
      <c r="G18" s="763"/>
    </row>
    <row r="19" spans="1:11" s="1" customFormat="1" ht="35.25" customHeight="1" x14ac:dyDescent="0.2">
      <c r="A19" s="208">
        <v>6</v>
      </c>
      <c r="B19" s="761" t="s">
        <v>138</v>
      </c>
      <c r="C19" s="761"/>
      <c r="D19" s="761"/>
      <c r="E19" s="239" t="s">
        <v>133</v>
      </c>
      <c r="F19" s="762"/>
      <c r="G19" s="763"/>
    </row>
    <row r="20" spans="1:11" s="1" customFormat="1" ht="35.25" customHeight="1" x14ac:dyDescent="0.2">
      <c r="A20" s="208">
        <v>7</v>
      </c>
      <c r="B20" s="761" t="s">
        <v>139</v>
      </c>
      <c r="C20" s="761"/>
      <c r="D20" s="761"/>
      <c r="E20" s="239" t="s">
        <v>133</v>
      </c>
      <c r="F20" s="762"/>
      <c r="G20" s="763"/>
    </row>
    <row r="21" spans="1:11" s="1" customFormat="1" ht="35.25" customHeight="1" x14ac:dyDescent="0.2">
      <c r="A21" s="208">
        <v>8</v>
      </c>
      <c r="B21" s="761" t="s">
        <v>140</v>
      </c>
      <c r="C21" s="761"/>
      <c r="D21" s="761"/>
      <c r="E21" s="239" t="s">
        <v>133</v>
      </c>
      <c r="F21" s="762"/>
      <c r="G21" s="763"/>
    </row>
    <row r="22" spans="1:11" s="1" customFormat="1" ht="35.25" customHeight="1" x14ac:dyDescent="0.2">
      <c r="A22" s="208">
        <v>9</v>
      </c>
      <c r="B22" s="761" t="s">
        <v>141</v>
      </c>
      <c r="C22" s="761"/>
      <c r="D22" s="761"/>
      <c r="E22" s="239" t="s">
        <v>133</v>
      </c>
      <c r="F22" s="762"/>
      <c r="G22" s="763"/>
    </row>
    <row r="23" spans="1:11" s="1" customFormat="1" ht="35.25" customHeight="1" x14ac:dyDescent="0.2">
      <c r="A23" s="208">
        <v>10</v>
      </c>
      <c r="B23" s="761" t="s">
        <v>142</v>
      </c>
      <c r="C23" s="761"/>
      <c r="D23" s="761"/>
      <c r="E23" s="239" t="s">
        <v>133</v>
      </c>
      <c r="F23" s="762"/>
      <c r="G23" s="763"/>
    </row>
    <row r="24" spans="1:11" s="1" customFormat="1" ht="35.25" customHeight="1" x14ac:dyDescent="0.2">
      <c r="A24" s="208">
        <v>11</v>
      </c>
      <c r="B24" s="761" t="s">
        <v>143</v>
      </c>
      <c r="C24" s="761"/>
      <c r="D24" s="761"/>
      <c r="E24" s="239" t="s">
        <v>133</v>
      </c>
      <c r="F24" s="762"/>
      <c r="G24" s="763"/>
    </row>
    <row r="25" spans="1:11" s="194" customFormat="1" ht="35.25" customHeight="1" x14ac:dyDescent="0.2">
      <c r="A25" s="209">
        <v>12</v>
      </c>
      <c r="B25" s="761" t="s">
        <v>144</v>
      </c>
      <c r="C25" s="761"/>
      <c r="D25" s="761"/>
      <c r="E25" s="193" t="s">
        <v>133</v>
      </c>
      <c r="F25" s="762"/>
      <c r="G25" s="763"/>
    </row>
    <row r="26" spans="1:11" s="1" customFormat="1" ht="35.25" customHeight="1" x14ac:dyDescent="0.2">
      <c r="A26" s="208">
        <v>13</v>
      </c>
      <c r="B26" s="761" t="s">
        <v>145</v>
      </c>
      <c r="C26" s="761"/>
      <c r="D26" s="761"/>
      <c r="E26" s="239" t="s">
        <v>133</v>
      </c>
      <c r="F26" s="762"/>
      <c r="G26" s="763"/>
    </row>
    <row r="27" spans="1:11" s="1" customFormat="1" ht="35.25" customHeight="1" x14ac:dyDescent="0.2">
      <c r="A27" s="208">
        <v>14</v>
      </c>
      <c r="B27" s="761" t="s">
        <v>146</v>
      </c>
      <c r="C27" s="761"/>
      <c r="D27" s="761"/>
      <c r="E27" s="239" t="s">
        <v>133</v>
      </c>
      <c r="F27" s="762"/>
      <c r="G27" s="763"/>
    </row>
    <row r="28" spans="1:11" s="1" customFormat="1" ht="54.75" customHeight="1" thickBot="1" x14ac:dyDescent="0.25">
      <c r="A28" s="210">
        <v>15</v>
      </c>
      <c r="B28" s="764" t="s">
        <v>147</v>
      </c>
      <c r="C28" s="764"/>
      <c r="D28" s="764"/>
      <c r="E28" s="237" t="s">
        <v>133</v>
      </c>
      <c r="F28" s="765"/>
      <c r="G28" s="766"/>
    </row>
    <row r="29" spans="1:11" s="198" customFormat="1" ht="21" customHeight="1" thickBot="1" x14ac:dyDescent="0.25">
      <c r="B29" s="195"/>
      <c r="C29" s="196"/>
      <c r="D29" s="196"/>
      <c r="E29" s="195"/>
      <c r="F29" s="196"/>
      <c r="G29" s="196"/>
      <c r="H29" s="197"/>
      <c r="I29" s="197"/>
    </row>
    <row r="30" spans="1:11" s="219" customFormat="1" ht="15" customHeight="1" x14ac:dyDescent="0.2">
      <c r="A30" s="767" t="s">
        <v>148</v>
      </c>
      <c r="B30" s="768"/>
      <c r="C30" s="768"/>
      <c r="D30" s="768"/>
      <c r="E30" s="768"/>
      <c r="F30" s="768"/>
      <c r="G30" s="769"/>
      <c r="H30" s="222"/>
      <c r="I30" s="223"/>
      <c r="J30" s="223"/>
      <c r="K30" s="223"/>
    </row>
    <row r="31" spans="1:11" s="219" customFormat="1" ht="15" customHeight="1" x14ac:dyDescent="0.2">
      <c r="A31" s="220" t="s">
        <v>128</v>
      </c>
      <c r="B31" s="759" t="s">
        <v>129</v>
      </c>
      <c r="C31" s="759"/>
      <c r="D31" s="759"/>
      <c r="E31" s="238" t="s">
        <v>130</v>
      </c>
      <c r="F31" s="759" t="s">
        <v>131</v>
      </c>
      <c r="G31" s="760"/>
      <c r="H31" s="224"/>
      <c r="I31" s="225"/>
      <c r="J31" s="225"/>
      <c r="K31" s="225"/>
    </row>
    <row r="32" spans="1:11" s="1" customFormat="1" ht="55.5" customHeight="1" x14ac:dyDescent="0.2">
      <c r="A32" s="216">
        <v>1</v>
      </c>
      <c r="B32" s="754" t="s">
        <v>149</v>
      </c>
      <c r="C32" s="754"/>
      <c r="D32" s="754"/>
      <c r="E32" s="199" t="s">
        <v>150</v>
      </c>
      <c r="F32" s="755"/>
      <c r="G32" s="756"/>
      <c r="H32" s="226"/>
      <c r="I32" s="206"/>
      <c r="J32" s="206"/>
      <c r="K32" s="206"/>
    </row>
    <row r="33" spans="1:7" s="1" customFormat="1" ht="25.5" customHeight="1" x14ac:dyDescent="0.2">
      <c r="A33" s="216">
        <v>2</v>
      </c>
      <c r="B33" s="754" t="s">
        <v>151</v>
      </c>
      <c r="C33" s="754"/>
      <c r="D33" s="754"/>
      <c r="E33" s="199" t="s">
        <v>150</v>
      </c>
      <c r="F33" s="755"/>
      <c r="G33" s="756"/>
    </row>
    <row r="34" spans="1:7" s="1" customFormat="1" ht="25.5" customHeight="1" x14ac:dyDescent="0.2">
      <c r="A34" s="216">
        <v>3</v>
      </c>
      <c r="B34" s="754" t="s">
        <v>152</v>
      </c>
      <c r="C34" s="754"/>
      <c r="D34" s="754"/>
      <c r="E34" s="199" t="s">
        <v>150</v>
      </c>
      <c r="F34" s="755"/>
      <c r="G34" s="756"/>
    </row>
    <row r="35" spans="1:7" s="1" customFormat="1" ht="25.5" customHeight="1" x14ac:dyDescent="0.2">
      <c r="A35" s="216">
        <v>4</v>
      </c>
      <c r="B35" s="754" t="s">
        <v>153</v>
      </c>
      <c r="C35" s="754"/>
      <c r="D35" s="754"/>
      <c r="E35" s="199" t="s">
        <v>154</v>
      </c>
      <c r="F35" s="755"/>
      <c r="G35" s="756"/>
    </row>
    <row r="36" spans="1:7" s="1" customFormat="1" ht="25.5" customHeight="1" x14ac:dyDescent="0.2">
      <c r="A36" s="216">
        <v>5</v>
      </c>
      <c r="B36" s="754" t="s">
        <v>155</v>
      </c>
      <c r="C36" s="754"/>
      <c r="D36" s="754"/>
      <c r="E36" s="199" t="s">
        <v>154</v>
      </c>
      <c r="F36" s="757"/>
      <c r="G36" s="758"/>
    </row>
    <row r="37" spans="1:7" s="1" customFormat="1" ht="25.5" customHeight="1" thickBot="1" x14ac:dyDescent="0.25">
      <c r="A37" s="217">
        <v>6</v>
      </c>
      <c r="B37" s="748" t="s">
        <v>156</v>
      </c>
      <c r="C37" s="748"/>
      <c r="D37" s="748"/>
      <c r="E37" s="218" t="s">
        <v>154</v>
      </c>
      <c r="F37" s="749"/>
      <c r="G37" s="750"/>
    </row>
    <row r="39" spans="1:7" ht="15.75" thickBot="1" x14ac:dyDescent="0.3"/>
    <row r="40" spans="1:7" ht="79.5" thickBot="1" x14ac:dyDescent="0.3">
      <c r="B40" s="2" t="s">
        <v>39</v>
      </c>
      <c r="C40" s="11" t="s">
        <v>92</v>
      </c>
      <c r="D40" s="11" t="s">
        <v>93</v>
      </c>
      <c r="E40" s="2" t="s">
        <v>94</v>
      </c>
      <c r="F40" s="2" t="s">
        <v>95</v>
      </c>
      <c r="G40" s="21" t="s">
        <v>96</v>
      </c>
    </row>
    <row r="41" spans="1:7" ht="15.75" thickBot="1" x14ac:dyDescent="0.3">
      <c r="B41" s="3">
        <f>'CARTA DE CONTROL'!Q175</f>
        <v>600</v>
      </c>
      <c r="C41" s="4">
        <f>'CARTA DE CONTROL'!AR175</f>
        <v>-0.37666666666664395</v>
      </c>
      <c r="D41" s="4">
        <f>'CARTA DE CONTROL'!AS175</f>
        <v>-8.9999999999996222E-2</v>
      </c>
      <c r="E41" s="6">
        <f>'CARTA DE CONTROL'!I45</f>
        <v>2</v>
      </c>
      <c r="F41" s="7">
        <f>-('CARTA DE CONTROL'!I45)</f>
        <v>-2</v>
      </c>
      <c r="G41" s="5" t="str">
        <f>IF(C41&lt;=2,IF(D41&gt;=-2,"PASS","NO PASS"))</f>
        <v>PASS</v>
      </c>
    </row>
    <row r="42" spans="1:7" ht="15.75" thickBot="1" x14ac:dyDescent="0.3">
      <c r="B42" s="3">
        <f>'CARTA DE CONTROL'!Q176</f>
        <v>800</v>
      </c>
      <c r="C42" s="4">
        <f>'CARTA DE CONTROL'!AR176</f>
        <v>0.41999999999997728</v>
      </c>
      <c r="D42" s="4">
        <f>'CARTA DE CONTROL'!AS176</f>
        <v>2.9999999999997157E-2</v>
      </c>
      <c r="E42" s="6">
        <f>'CARTA DE CONTROL'!I56</f>
        <v>2</v>
      </c>
      <c r="F42" s="7">
        <f>-('CARTA DE CONTROL'!I56)</f>
        <v>-2</v>
      </c>
      <c r="G42" s="5" t="str">
        <f t="shared" ref="G42:G48" si="0">IF(C42&lt;=2,IF(D42&gt;=-2,"PASS","NO PASS"))</f>
        <v>PASS</v>
      </c>
    </row>
    <row r="43" spans="1:7" ht="15.75" thickBot="1" x14ac:dyDescent="0.3">
      <c r="B43" s="3">
        <f>'CARTA DE CONTROL'!Q177</f>
        <v>900</v>
      </c>
      <c r="C43" s="4">
        <f>'CARTA DE CONTROL'!AR177</f>
        <v>-0.38222222222219948</v>
      </c>
      <c r="D43" s="4">
        <f>'CARTA DE CONTROL'!AS177</f>
        <v>-6.2222222222219695E-2</v>
      </c>
      <c r="E43" s="6">
        <f>'CARTA DE CONTROL'!I57</f>
        <v>2</v>
      </c>
      <c r="F43" s="7">
        <f>-('CARTA DE CONTROL'!I57)</f>
        <v>-2</v>
      </c>
      <c r="G43" s="5" t="str">
        <f t="shared" si="0"/>
        <v>PASS</v>
      </c>
    </row>
    <row r="44" spans="1:7" ht="15.75" thickBot="1" x14ac:dyDescent="0.3">
      <c r="B44" s="3">
        <f>'CARTA DE CONTROL'!Q178</f>
        <v>1800</v>
      </c>
      <c r="C44" s="4">
        <f>'CARTA DE CONTROL'!AR178</f>
        <v>-0.79388888888884346</v>
      </c>
      <c r="D44" s="4">
        <f>'CARTA DE CONTROL'!AS178</f>
        <v>-5.0555555555553029E-2</v>
      </c>
      <c r="E44" s="6">
        <v>2</v>
      </c>
      <c r="F44" s="7">
        <v>-2</v>
      </c>
      <c r="G44" s="5" t="str">
        <f t="shared" si="0"/>
        <v>PASS</v>
      </c>
    </row>
    <row r="45" spans="1:7" ht="15.75" thickBot="1" x14ac:dyDescent="0.3">
      <c r="B45" s="3">
        <f>'CARTA DE CONTROL'!Q179</f>
        <v>2500</v>
      </c>
      <c r="C45" s="4">
        <f>'CARTA DE CONTROL'!AR179</f>
        <v>-0.1939999999998181</v>
      </c>
      <c r="D45" s="4">
        <f>'CARTA DE CONTROL'!AS179</f>
        <v>-1.3999999999992725E-2</v>
      </c>
      <c r="E45" s="6">
        <v>2</v>
      </c>
      <c r="F45" s="7">
        <v>-2</v>
      </c>
      <c r="G45" s="5" t="str">
        <f t="shared" si="0"/>
        <v>PASS</v>
      </c>
    </row>
    <row r="46" spans="1:7" ht="15.75" thickBot="1" x14ac:dyDescent="0.3">
      <c r="B46" s="3">
        <f>'CARTA DE CONTROL'!Q180</f>
        <v>3500</v>
      </c>
      <c r="C46" s="4">
        <f>'CARTA DE CONTROL'!AR180</f>
        <v>4.0000000000000001E-3</v>
      </c>
      <c r="D46" s="4">
        <f>'CARTA DE CONTROL'!AS180</f>
        <v>-4.0000000000000001E-3</v>
      </c>
      <c r="E46" s="6">
        <v>2</v>
      </c>
      <c r="F46" s="7">
        <v>-2</v>
      </c>
      <c r="G46" s="5" t="str">
        <f t="shared" si="0"/>
        <v>PASS</v>
      </c>
    </row>
    <row r="47" spans="1:7" ht="15.75" thickBot="1" x14ac:dyDescent="0.3">
      <c r="B47" s="3">
        <f>'CARTA DE CONTROL'!Q181</f>
        <v>4000</v>
      </c>
      <c r="C47" s="4">
        <f>'CARTA DE CONTROL'!AR181</f>
        <v>-0.39625000000009097</v>
      </c>
      <c r="D47" s="4">
        <f>'CARTA DE CONTROL'!AS181</f>
        <v>-1.3750000000002274E-2</v>
      </c>
      <c r="E47" s="6">
        <v>2</v>
      </c>
      <c r="F47" s="7">
        <v>-2</v>
      </c>
      <c r="G47" s="5" t="str">
        <f t="shared" si="0"/>
        <v>PASS</v>
      </c>
    </row>
    <row r="48" spans="1:7" ht="15.75" thickBot="1" x14ac:dyDescent="0.3">
      <c r="B48" s="3">
        <f>'CARTA DE CONTROL'!Q182</f>
        <v>9000</v>
      </c>
      <c r="C48" s="4">
        <f>'CARTA DE CONTROL'!AR182</f>
        <v>-0.39822222222185844</v>
      </c>
      <c r="D48" s="4">
        <f>'CARTA DE CONTROL'!AS182</f>
        <v>-6.2222222222181808E-3</v>
      </c>
      <c r="E48" s="6">
        <v>2</v>
      </c>
      <c r="F48" s="7">
        <v>-2</v>
      </c>
      <c r="G48" s="5" t="str">
        <f t="shared" si="0"/>
        <v>PASS</v>
      </c>
    </row>
    <row r="49" spans="1:8" x14ac:dyDescent="0.25">
      <c r="A49" s="1"/>
      <c r="B49" s="1"/>
      <c r="C49" s="1"/>
      <c r="D49" s="1"/>
      <c r="E49" s="1"/>
      <c r="F49" s="1"/>
      <c r="G49" s="1"/>
      <c r="H49" s="1"/>
    </row>
    <row r="50" spans="1:8" x14ac:dyDescent="0.25">
      <c r="A50" s="1"/>
      <c r="B50" s="1"/>
      <c r="C50" s="1"/>
      <c r="D50" s="1"/>
    </row>
    <row r="51" spans="1:8" x14ac:dyDescent="0.25">
      <c r="A51" s="1"/>
      <c r="B51" s="1"/>
      <c r="C51" s="1"/>
      <c r="D51" s="1"/>
    </row>
    <row r="52" spans="1:8" x14ac:dyDescent="0.25">
      <c r="A52" s="1"/>
      <c r="B52" s="1"/>
      <c r="C52" s="1"/>
      <c r="D52" s="1"/>
    </row>
    <row r="53" spans="1:8" x14ac:dyDescent="0.25">
      <c r="A53" s="1"/>
      <c r="B53" s="1"/>
      <c r="C53" s="1"/>
      <c r="D53" s="1"/>
      <c r="E53" s="1"/>
      <c r="F53" s="1"/>
      <c r="G53" s="1"/>
      <c r="H53" s="1"/>
    </row>
    <row r="54" spans="1:8" x14ac:dyDescent="0.25">
      <c r="A54" s="1"/>
      <c r="B54" s="1"/>
      <c r="C54" s="1"/>
      <c r="D54" s="1"/>
      <c r="E54" s="1"/>
      <c r="F54" s="1"/>
      <c r="G54" s="1"/>
      <c r="H54" s="1"/>
    </row>
    <row r="55" spans="1:8" x14ac:dyDescent="0.25">
      <c r="A55" s="1"/>
      <c r="B55" s="1"/>
      <c r="C55" s="1"/>
      <c r="D55" s="1"/>
      <c r="E55" s="1"/>
      <c r="F55" s="1"/>
      <c r="G55" s="1"/>
      <c r="H55" s="1"/>
    </row>
    <row r="56" spans="1:8" x14ac:dyDescent="0.25">
      <c r="A56" s="1"/>
      <c r="B56" s="1"/>
      <c r="C56" s="1"/>
      <c r="D56" s="1"/>
      <c r="E56" s="1"/>
      <c r="F56" s="1"/>
      <c r="G56" s="1"/>
      <c r="H56" s="1"/>
    </row>
    <row r="57" spans="1:8" x14ac:dyDescent="0.25">
      <c r="A57" s="1"/>
      <c r="B57" s="1"/>
      <c r="C57" s="1"/>
      <c r="D57" s="1"/>
      <c r="E57" s="1"/>
      <c r="F57" s="1"/>
      <c r="G57" s="1"/>
      <c r="H57" s="1"/>
    </row>
    <row r="58" spans="1:8" x14ac:dyDescent="0.25">
      <c r="A58" s="1"/>
      <c r="B58" s="1"/>
      <c r="C58" s="1"/>
      <c r="D58" s="1"/>
      <c r="E58" s="1"/>
      <c r="F58" s="1"/>
      <c r="G58" s="1"/>
      <c r="H58" s="1"/>
    </row>
    <row r="59" spans="1:8" x14ac:dyDescent="0.25">
      <c r="A59" s="1"/>
      <c r="B59" s="1"/>
      <c r="C59" s="1"/>
      <c r="D59" s="1"/>
      <c r="E59" s="1"/>
      <c r="F59" s="1"/>
      <c r="G59" s="1"/>
      <c r="H59" s="1"/>
    </row>
    <row r="60" spans="1:8" x14ac:dyDescent="0.25">
      <c r="A60" s="1"/>
      <c r="B60" s="1"/>
      <c r="C60" s="1"/>
      <c r="D60" s="1"/>
      <c r="E60" s="1"/>
      <c r="F60" s="1"/>
      <c r="G60" s="1"/>
      <c r="H60" s="1"/>
    </row>
    <row r="61" spans="1:8" x14ac:dyDescent="0.25">
      <c r="A61" s="1"/>
      <c r="B61" s="1"/>
      <c r="C61" s="1"/>
      <c r="D61" s="1"/>
      <c r="E61" s="1"/>
      <c r="F61" s="1"/>
      <c r="G61" s="1"/>
      <c r="H61" s="1"/>
    </row>
    <row r="62" spans="1:8" x14ac:dyDescent="0.25">
      <c r="A62" s="1"/>
      <c r="B62" s="1"/>
      <c r="C62" s="1"/>
      <c r="D62" s="1"/>
      <c r="E62" s="1"/>
      <c r="F62" s="1"/>
      <c r="G62" s="1"/>
      <c r="H62" s="1"/>
    </row>
  </sheetData>
  <mergeCells count="52">
    <mergeCell ref="B13:D13"/>
    <mergeCell ref="F13:G13"/>
    <mergeCell ref="C7:E7"/>
    <mergeCell ref="C8:E8"/>
    <mergeCell ref="C9:E9"/>
    <mergeCell ref="C10:E10"/>
    <mergeCell ref="A12:G12"/>
    <mergeCell ref="B14:D14"/>
    <mergeCell ref="F14:G14"/>
    <mergeCell ref="B15:D15"/>
    <mergeCell ref="F15:G15"/>
    <mergeCell ref="B16:D16"/>
    <mergeCell ref="F16:G16"/>
    <mergeCell ref="B17:D17"/>
    <mergeCell ref="F17:G17"/>
    <mergeCell ref="B18:D18"/>
    <mergeCell ref="F18:G18"/>
    <mergeCell ref="B19:D19"/>
    <mergeCell ref="F19:G19"/>
    <mergeCell ref="B20:D20"/>
    <mergeCell ref="F20:G20"/>
    <mergeCell ref="B21:D21"/>
    <mergeCell ref="F21:G21"/>
    <mergeCell ref="B22:D22"/>
    <mergeCell ref="F22:G22"/>
    <mergeCell ref="B23:D23"/>
    <mergeCell ref="F23:G23"/>
    <mergeCell ref="B24:D24"/>
    <mergeCell ref="F24:G24"/>
    <mergeCell ref="B25:D25"/>
    <mergeCell ref="F25:G25"/>
    <mergeCell ref="B33:D33"/>
    <mergeCell ref="F33:G33"/>
    <mergeCell ref="B26:D26"/>
    <mergeCell ref="F26:G26"/>
    <mergeCell ref="B27:D27"/>
    <mergeCell ref="F27:G27"/>
    <mergeCell ref="B28:D28"/>
    <mergeCell ref="F28:G28"/>
    <mergeCell ref="A30:G30"/>
    <mergeCell ref="B31:D31"/>
    <mergeCell ref="F31:G31"/>
    <mergeCell ref="B32:D32"/>
    <mergeCell ref="F32:G32"/>
    <mergeCell ref="B37:D37"/>
    <mergeCell ref="F37:G37"/>
    <mergeCell ref="B34:D34"/>
    <mergeCell ref="F34:G34"/>
    <mergeCell ref="B35:D35"/>
    <mergeCell ref="F35:G35"/>
    <mergeCell ref="B36:D36"/>
    <mergeCell ref="F36:G36"/>
  </mergeCells>
  <conditionalFormatting sqref="G41:G48">
    <cfRule type="cellIs" dxfId="62" priority="5" operator="lessThan">
      <formula>$F$76</formula>
    </cfRule>
    <cfRule type="cellIs" dxfId="61" priority="6" operator="lessThan">
      <formula>0.05</formula>
    </cfRule>
  </conditionalFormatting>
  <conditionalFormatting sqref="G41:G48">
    <cfRule type="cellIs" dxfId="60" priority="4" operator="between">
      <formula>$F$76</formula>
      <formula>$G$76</formula>
    </cfRule>
  </conditionalFormatting>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workbookViewId="0">
      <selection activeCell="D32" sqref="D32"/>
    </sheetView>
  </sheetViews>
  <sheetFormatPr baseColWidth="10" defaultRowHeight="15" x14ac:dyDescent="0.25"/>
  <cols>
    <col min="1" max="1" width="5.28515625" customWidth="1"/>
    <col min="2" max="2" width="22.85546875" customWidth="1"/>
    <col min="3" max="3" width="21.7109375" customWidth="1"/>
    <col min="4" max="4" width="21" customWidth="1"/>
    <col min="5" max="5" width="22.7109375" customWidth="1"/>
    <col min="8" max="8" width="13" customWidth="1"/>
  </cols>
  <sheetData>
    <row r="1" spans="1:11" ht="15" customHeight="1" x14ac:dyDescent="0.25">
      <c r="E1" s="214"/>
    </row>
    <row r="2" spans="1:11" ht="15" customHeight="1" x14ac:dyDescent="0.25">
      <c r="B2" s="236"/>
      <c r="C2" s="236"/>
      <c r="D2" s="236"/>
      <c r="E2" s="215"/>
      <c r="F2" s="236"/>
      <c r="G2" s="236"/>
      <c r="H2" s="236"/>
    </row>
    <row r="3" spans="1:11" ht="15" customHeight="1" x14ac:dyDescent="0.25">
      <c r="B3" s="236"/>
      <c r="C3" s="236"/>
      <c r="D3" s="236"/>
      <c r="E3" s="215"/>
      <c r="F3" s="236"/>
      <c r="G3" s="236"/>
      <c r="H3" s="236"/>
    </row>
    <row r="4" spans="1:11" ht="15" customHeight="1" x14ac:dyDescent="0.25">
      <c r="B4" s="236"/>
      <c r="C4" s="236"/>
      <c r="D4" s="236"/>
      <c r="E4" s="215"/>
      <c r="F4" s="236"/>
      <c r="G4" s="236"/>
      <c r="H4" s="236"/>
    </row>
    <row r="5" spans="1:11" ht="15" customHeight="1" x14ac:dyDescent="0.25">
      <c r="B5" s="236"/>
      <c r="C5" s="236"/>
      <c r="D5" s="236"/>
      <c r="E5" s="215"/>
      <c r="F5" s="236"/>
      <c r="G5" s="236"/>
      <c r="H5" s="236"/>
    </row>
    <row r="6" spans="1:11" ht="15" customHeight="1" x14ac:dyDescent="0.25">
      <c r="B6" s="236"/>
      <c r="C6" s="236"/>
      <c r="D6" s="236"/>
      <c r="E6" s="215"/>
      <c r="F6" s="236"/>
      <c r="G6" s="236"/>
      <c r="H6" s="236"/>
    </row>
    <row r="7" spans="1:11" x14ac:dyDescent="0.25">
      <c r="B7" s="231" t="s">
        <v>157</v>
      </c>
      <c r="C7" s="770" t="str">
        <f>'CARTA DE CONTROL'!B183</f>
        <v>PROFUNDIMENTRO</v>
      </c>
      <c r="D7" s="771"/>
      <c r="E7" s="772"/>
    </row>
    <row r="8" spans="1:11" x14ac:dyDescent="0.25">
      <c r="B8" s="231" t="s">
        <v>158</v>
      </c>
      <c r="C8" s="770" t="str">
        <f>'CARTA DE CONTROL'!D183</f>
        <v>DIGITAL THREAD   DEPTH GAUGE</v>
      </c>
      <c r="D8" s="771"/>
      <c r="E8" s="772"/>
    </row>
    <row r="9" spans="1:11" x14ac:dyDescent="0.25">
      <c r="B9" s="231" t="s">
        <v>159</v>
      </c>
      <c r="C9" s="770" t="str">
        <f>'CARTA DE CONTROL'!E183</f>
        <v>N/A</v>
      </c>
      <c r="D9" s="771"/>
      <c r="E9" s="772"/>
    </row>
    <row r="10" spans="1:11" x14ac:dyDescent="0.25">
      <c r="B10" s="231" t="s">
        <v>160</v>
      </c>
      <c r="C10" s="786" t="str">
        <f>'CARTA DE CONTROL'!F183</f>
        <v>TIC-055</v>
      </c>
      <c r="D10" s="787"/>
      <c r="E10" s="788"/>
    </row>
    <row r="11" spans="1:11" ht="15" customHeight="1" thickBot="1" x14ac:dyDescent="0.3">
      <c r="B11" s="236"/>
      <c r="C11" s="236"/>
      <c r="D11" s="236"/>
      <c r="E11" s="215"/>
      <c r="F11" s="236"/>
      <c r="G11" s="236"/>
      <c r="H11" s="202"/>
      <c r="I11" s="203"/>
      <c r="J11" s="203"/>
      <c r="K11" s="203"/>
    </row>
    <row r="12" spans="1:11" s="190" customFormat="1" ht="34.5" customHeight="1" x14ac:dyDescent="0.2">
      <c r="A12" s="776" t="s">
        <v>127</v>
      </c>
      <c r="B12" s="777"/>
      <c r="C12" s="777"/>
      <c r="D12" s="777"/>
      <c r="E12" s="777"/>
      <c r="F12" s="777"/>
      <c r="G12" s="778"/>
      <c r="H12" s="204"/>
      <c r="I12" s="204"/>
      <c r="J12" s="204"/>
      <c r="K12" s="204"/>
    </row>
    <row r="13" spans="1:11" s="190" customFormat="1" ht="15" customHeight="1" x14ac:dyDescent="0.2">
      <c r="A13" s="207" t="s">
        <v>128</v>
      </c>
      <c r="B13" s="779" t="s">
        <v>129</v>
      </c>
      <c r="C13" s="780"/>
      <c r="D13" s="781"/>
      <c r="E13" s="240" t="s">
        <v>130</v>
      </c>
      <c r="F13" s="782" t="s">
        <v>131</v>
      </c>
      <c r="G13" s="783"/>
      <c r="H13" s="205"/>
      <c r="I13" s="205"/>
      <c r="J13" s="205"/>
      <c r="K13" s="205"/>
    </row>
    <row r="14" spans="1:11" s="1" customFormat="1" ht="35.25" customHeight="1" x14ac:dyDescent="0.2">
      <c r="A14" s="208">
        <v>1</v>
      </c>
      <c r="B14" s="761" t="s">
        <v>132</v>
      </c>
      <c r="C14" s="761"/>
      <c r="D14" s="761"/>
      <c r="E14" s="239" t="s">
        <v>133</v>
      </c>
      <c r="F14" s="762"/>
      <c r="G14" s="763"/>
      <c r="H14" s="206"/>
      <c r="I14" s="206"/>
      <c r="J14" s="206"/>
      <c r="K14" s="206"/>
    </row>
    <row r="15" spans="1:11" s="1" customFormat="1" ht="35.25" customHeight="1" x14ac:dyDescent="0.2">
      <c r="A15" s="208">
        <v>2</v>
      </c>
      <c r="B15" s="761" t="s">
        <v>134</v>
      </c>
      <c r="C15" s="761"/>
      <c r="D15" s="761"/>
      <c r="E15" s="239" t="s">
        <v>133</v>
      </c>
      <c r="F15" s="762"/>
      <c r="G15" s="763"/>
    </row>
    <row r="16" spans="1:11" s="1" customFormat="1" ht="35.25" customHeight="1" x14ac:dyDescent="0.2">
      <c r="A16" s="208">
        <v>3</v>
      </c>
      <c r="B16" s="761" t="s">
        <v>135</v>
      </c>
      <c r="C16" s="761"/>
      <c r="D16" s="761"/>
      <c r="E16" s="239" t="s">
        <v>133</v>
      </c>
      <c r="F16" s="762"/>
      <c r="G16" s="763"/>
    </row>
    <row r="17" spans="1:7" s="1" customFormat="1" ht="35.25" customHeight="1" x14ac:dyDescent="0.2">
      <c r="A17" s="208">
        <v>4</v>
      </c>
      <c r="B17" s="761" t="s">
        <v>136</v>
      </c>
      <c r="C17" s="761"/>
      <c r="D17" s="761"/>
      <c r="E17" s="239" t="s">
        <v>133</v>
      </c>
      <c r="F17" s="784"/>
      <c r="G17" s="785"/>
    </row>
    <row r="18" spans="1:7" s="1" customFormat="1" ht="35.25" customHeight="1" x14ac:dyDescent="0.2">
      <c r="A18" s="208">
        <v>5</v>
      </c>
      <c r="B18" s="761" t="s">
        <v>137</v>
      </c>
      <c r="C18" s="761"/>
      <c r="D18" s="761"/>
      <c r="E18" s="239" t="s">
        <v>133</v>
      </c>
      <c r="F18" s="762"/>
      <c r="G18" s="763"/>
    </row>
    <row r="19" spans="1:7" s="1" customFormat="1" ht="35.25" customHeight="1" x14ac:dyDescent="0.2">
      <c r="A19" s="208">
        <v>6</v>
      </c>
      <c r="B19" s="761" t="s">
        <v>138</v>
      </c>
      <c r="C19" s="761"/>
      <c r="D19" s="761"/>
      <c r="E19" s="239" t="s">
        <v>133</v>
      </c>
      <c r="F19" s="762"/>
      <c r="G19" s="763"/>
    </row>
    <row r="20" spans="1:7" s="1" customFormat="1" ht="35.25" customHeight="1" x14ac:dyDescent="0.2">
      <c r="A20" s="208">
        <v>7</v>
      </c>
      <c r="B20" s="761" t="s">
        <v>139</v>
      </c>
      <c r="C20" s="761"/>
      <c r="D20" s="761"/>
      <c r="E20" s="239" t="s">
        <v>133</v>
      </c>
      <c r="F20" s="762"/>
      <c r="G20" s="763"/>
    </row>
    <row r="21" spans="1:7" s="1" customFormat="1" ht="35.25" customHeight="1" x14ac:dyDescent="0.2">
      <c r="A21" s="208">
        <v>8</v>
      </c>
      <c r="B21" s="761" t="s">
        <v>140</v>
      </c>
      <c r="C21" s="761"/>
      <c r="D21" s="761"/>
      <c r="E21" s="239" t="s">
        <v>133</v>
      </c>
      <c r="F21" s="762"/>
      <c r="G21" s="763"/>
    </row>
    <row r="22" spans="1:7" s="1" customFormat="1" ht="35.25" customHeight="1" x14ac:dyDescent="0.2">
      <c r="A22" s="208">
        <v>9</v>
      </c>
      <c r="B22" s="761" t="s">
        <v>141</v>
      </c>
      <c r="C22" s="761"/>
      <c r="D22" s="761"/>
      <c r="E22" s="239" t="s">
        <v>133</v>
      </c>
      <c r="F22" s="762"/>
      <c r="G22" s="763"/>
    </row>
    <row r="23" spans="1:7" s="1" customFormat="1" ht="35.25" customHeight="1" x14ac:dyDescent="0.2">
      <c r="A23" s="208">
        <v>10</v>
      </c>
      <c r="B23" s="761" t="s">
        <v>142</v>
      </c>
      <c r="C23" s="761"/>
      <c r="D23" s="761"/>
      <c r="E23" s="239" t="s">
        <v>133</v>
      </c>
      <c r="F23" s="762"/>
      <c r="G23" s="763"/>
    </row>
    <row r="24" spans="1:7" s="1" customFormat="1" ht="35.25" customHeight="1" x14ac:dyDescent="0.2">
      <c r="A24" s="208">
        <v>11</v>
      </c>
      <c r="B24" s="761" t="s">
        <v>143</v>
      </c>
      <c r="C24" s="761"/>
      <c r="D24" s="761"/>
      <c r="E24" s="239" t="s">
        <v>133</v>
      </c>
      <c r="F24" s="762"/>
      <c r="G24" s="763"/>
    </row>
    <row r="25" spans="1:7" s="194" customFormat="1" ht="35.25" customHeight="1" x14ac:dyDescent="0.2">
      <c r="A25" s="209">
        <v>12</v>
      </c>
      <c r="B25" s="761" t="s">
        <v>144</v>
      </c>
      <c r="C25" s="761"/>
      <c r="D25" s="761"/>
      <c r="E25" s="193" t="s">
        <v>133</v>
      </c>
      <c r="F25" s="762"/>
      <c r="G25" s="763"/>
    </row>
    <row r="26" spans="1:7" s="1" customFormat="1" ht="35.25" customHeight="1" x14ac:dyDescent="0.2">
      <c r="A26" s="208">
        <v>13</v>
      </c>
      <c r="B26" s="761" t="s">
        <v>145</v>
      </c>
      <c r="C26" s="761"/>
      <c r="D26" s="761"/>
      <c r="E26" s="239" t="s">
        <v>133</v>
      </c>
      <c r="F26" s="762"/>
      <c r="G26" s="763"/>
    </row>
    <row r="27" spans="1:7" s="1" customFormat="1" ht="35.25" customHeight="1" x14ac:dyDescent="0.2">
      <c r="A27" s="208">
        <v>14</v>
      </c>
      <c r="B27" s="761" t="s">
        <v>146</v>
      </c>
      <c r="C27" s="761"/>
      <c r="D27" s="761"/>
      <c r="E27" s="239" t="s">
        <v>133</v>
      </c>
      <c r="F27" s="762"/>
      <c r="G27" s="763"/>
    </row>
    <row r="28" spans="1:7" s="1" customFormat="1" ht="54.75" customHeight="1" thickBot="1" x14ac:dyDescent="0.25">
      <c r="A28" s="210">
        <v>15</v>
      </c>
      <c r="B28" s="764" t="s">
        <v>147</v>
      </c>
      <c r="C28" s="764"/>
      <c r="D28" s="764"/>
      <c r="E28" s="237" t="s">
        <v>133</v>
      </c>
      <c r="F28" s="765"/>
      <c r="G28" s="766"/>
    </row>
    <row r="30" spans="1:7" ht="15.75" thickBot="1" x14ac:dyDescent="0.3"/>
    <row r="31" spans="1:7" ht="79.5" thickBot="1" x14ac:dyDescent="0.3">
      <c r="B31" s="2" t="s">
        <v>39</v>
      </c>
      <c r="C31" s="11" t="s">
        <v>92</v>
      </c>
      <c r="D31" s="11" t="s">
        <v>93</v>
      </c>
      <c r="E31" s="2" t="s">
        <v>94</v>
      </c>
      <c r="F31" s="2" t="s">
        <v>95</v>
      </c>
      <c r="G31" s="21" t="s">
        <v>96</v>
      </c>
    </row>
    <row r="32" spans="1:7" ht="15.75" thickBot="1" x14ac:dyDescent="0.3">
      <c r="B32" s="3">
        <f>'CARTA DE CONTROL'!Q194</f>
        <v>40</v>
      </c>
      <c r="C32" s="4">
        <f>'CARTA DE CONTROL'!AR194</f>
        <v>3.900000000000003</v>
      </c>
      <c r="D32" s="4">
        <f>'CARTA DE CONTROL'!AS194</f>
        <v>-3.4999999999999973</v>
      </c>
      <c r="E32" s="6">
        <f>'CARTA DE CONTROL'!I42</f>
        <v>5</v>
      </c>
      <c r="F32" s="7">
        <f>-('CARTA DE CONTROL'!I42)</f>
        <v>-5</v>
      </c>
      <c r="G32" s="5" t="b">
        <f>IF(C32&lt;=2,IF(D32&gt;=-2,"PASS","NO PASS"))</f>
        <v>0</v>
      </c>
    </row>
    <row r="33" spans="1:8" ht="15.75" thickBot="1" x14ac:dyDescent="0.3">
      <c r="B33" s="3">
        <f>'CARTA DE CONTROL'!Q195</f>
        <v>60</v>
      </c>
      <c r="C33" s="4">
        <f>'CARTA DE CONTROL'!AR194</f>
        <v>3.900000000000003</v>
      </c>
      <c r="D33" s="4">
        <f>'CARTA DE CONTROL'!AS195</f>
        <v>-2.2666666666666639</v>
      </c>
      <c r="E33" s="6">
        <f>'CARTA DE CONTROL'!I43</f>
        <v>5</v>
      </c>
      <c r="F33" s="7">
        <f>-('CARTA DE CONTROL'!I43)</f>
        <v>-5</v>
      </c>
      <c r="G33" s="5" t="b">
        <f t="shared" ref="G33:G34" si="0">IF(C33&lt;=2,IF(D33&gt;=-2,"PASS","NO PASS"))</f>
        <v>0</v>
      </c>
    </row>
    <row r="34" spans="1:8" ht="15.75" thickBot="1" x14ac:dyDescent="0.3">
      <c r="B34" s="3">
        <f>'CARTA DE CONTROL'!Q196</f>
        <v>100</v>
      </c>
      <c r="C34" s="4">
        <f>'CARTA DE CONTROL'!AR196</f>
        <v>0.28000000000000003</v>
      </c>
      <c r="D34" s="4">
        <f>'CARTA DE CONTROL'!AS196</f>
        <v>-2.2800000000000002</v>
      </c>
      <c r="E34" s="6">
        <f>'CARTA DE CONTROL'!I44</f>
        <v>5</v>
      </c>
      <c r="F34" s="7">
        <f>-('CARTA DE CONTROL'!I44)</f>
        <v>-5</v>
      </c>
      <c r="G34" s="5" t="str">
        <f t="shared" si="0"/>
        <v>NO PASS</v>
      </c>
    </row>
    <row r="35" spans="1:8" x14ac:dyDescent="0.25">
      <c r="A35" s="1"/>
      <c r="B35" s="1"/>
      <c r="C35" s="1"/>
      <c r="D35" s="1"/>
      <c r="E35" s="1"/>
      <c r="F35" s="1"/>
      <c r="G35" s="1"/>
      <c r="H35" s="1"/>
    </row>
    <row r="36" spans="1:8" x14ac:dyDescent="0.25">
      <c r="A36" s="1"/>
      <c r="B36" s="1"/>
      <c r="C36" s="1"/>
      <c r="D36" s="1"/>
    </row>
    <row r="37" spans="1:8" x14ac:dyDescent="0.25">
      <c r="A37" s="1"/>
      <c r="B37" s="1"/>
      <c r="C37" s="1"/>
      <c r="D37" s="1"/>
    </row>
    <row r="38" spans="1:8" x14ac:dyDescent="0.25">
      <c r="A38" s="1"/>
      <c r="B38" s="1"/>
      <c r="C38" s="1"/>
      <c r="D38" s="1"/>
    </row>
    <row r="39" spans="1:8" x14ac:dyDescent="0.25">
      <c r="A39" s="1"/>
      <c r="B39" s="1"/>
      <c r="C39" s="1"/>
      <c r="D39" s="1"/>
      <c r="E39" s="1"/>
      <c r="F39" s="1"/>
      <c r="G39" s="1"/>
      <c r="H39" s="1"/>
    </row>
    <row r="40" spans="1:8" x14ac:dyDescent="0.25">
      <c r="A40" s="1"/>
      <c r="B40" s="1"/>
      <c r="C40" s="1"/>
      <c r="D40" s="1"/>
      <c r="E40" s="1"/>
      <c r="F40" s="1"/>
      <c r="G40" s="1"/>
      <c r="H40" s="1"/>
    </row>
    <row r="41" spans="1:8" x14ac:dyDescent="0.25">
      <c r="A41" s="1"/>
      <c r="B41" s="1"/>
      <c r="C41" s="1"/>
      <c r="D41" s="1"/>
      <c r="E41" s="1"/>
      <c r="F41" s="1"/>
      <c r="G41" s="1"/>
      <c r="H41" s="1"/>
    </row>
    <row r="42" spans="1:8" x14ac:dyDescent="0.25">
      <c r="A42" s="1"/>
      <c r="B42" s="1"/>
      <c r="C42" s="1"/>
      <c r="D42" s="1"/>
      <c r="E42" s="1"/>
      <c r="F42" s="1"/>
      <c r="G42" s="1"/>
      <c r="H42" s="1"/>
    </row>
    <row r="43" spans="1:8" x14ac:dyDescent="0.25">
      <c r="A43" s="1"/>
      <c r="B43" s="1"/>
      <c r="C43" s="1"/>
      <c r="D43" s="1"/>
      <c r="E43" s="1"/>
      <c r="F43" s="1"/>
      <c r="G43" s="1"/>
      <c r="H43" s="1"/>
    </row>
    <row r="44" spans="1:8" x14ac:dyDescent="0.25">
      <c r="A44" s="1"/>
      <c r="B44" s="1"/>
      <c r="C44" s="1"/>
      <c r="D44" s="1"/>
      <c r="E44" s="1"/>
      <c r="F44" s="1"/>
      <c r="G44" s="1"/>
      <c r="H44" s="1"/>
    </row>
    <row r="45" spans="1:8" x14ac:dyDescent="0.25">
      <c r="A45" s="1"/>
      <c r="B45" s="1"/>
      <c r="C45" s="1"/>
      <c r="D45" s="1"/>
      <c r="E45" s="1"/>
      <c r="F45" s="1"/>
      <c r="G45" s="1"/>
      <c r="H45" s="1"/>
    </row>
    <row r="46" spans="1:8" x14ac:dyDescent="0.25">
      <c r="A46" s="1"/>
      <c r="B46" s="1"/>
      <c r="C46" s="1"/>
      <c r="D46" s="1"/>
      <c r="E46" s="1"/>
      <c r="F46" s="1"/>
      <c r="G46" s="1"/>
      <c r="H46" s="1"/>
    </row>
    <row r="47" spans="1:8" x14ac:dyDescent="0.25">
      <c r="A47" s="1"/>
      <c r="B47" s="1"/>
      <c r="C47" s="1"/>
      <c r="D47" s="1"/>
      <c r="E47" s="1"/>
      <c r="F47" s="1"/>
      <c r="G47" s="1"/>
      <c r="H47" s="1"/>
    </row>
    <row r="48" spans="1:8" x14ac:dyDescent="0.25">
      <c r="A48" s="1"/>
      <c r="B48" s="1"/>
      <c r="C48" s="1"/>
      <c r="D48" s="1"/>
      <c r="E48" s="1"/>
      <c r="F48" s="1"/>
      <c r="G48" s="1"/>
      <c r="H48" s="1"/>
    </row>
  </sheetData>
  <mergeCells count="37">
    <mergeCell ref="B13:D13"/>
    <mergeCell ref="F13:G13"/>
    <mergeCell ref="C7:E7"/>
    <mergeCell ref="C8:E8"/>
    <mergeCell ref="C9:E9"/>
    <mergeCell ref="C10:E10"/>
    <mergeCell ref="A12:G12"/>
    <mergeCell ref="B14:D14"/>
    <mergeCell ref="F14:G14"/>
    <mergeCell ref="B15:D15"/>
    <mergeCell ref="F15:G15"/>
    <mergeCell ref="B16:D16"/>
    <mergeCell ref="F16:G16"/>
    <mergeCell ref="B17:D17"/>
    <mergeCell ref="F17:G17"/>
    <mergeCell ref="B18:D18"/>
    <mergeCell ref="F18:G18"/>
    <mergeCell ref="B19:D19"/>
    <mergeCell ref="F19:G19"/>
    <mergeCell ref="B20:D20"/>
    <mergeCell ref="F20:G20"/>
    <mergeCell ref="B21:D21"/>
    <mergeCell ref="F21:G21"/>
    <mergeCell ref="B22:D22"/>
    <mergeCell ref="F22:G22"/>
    <mergeCell ref="B23:D23"/>
    <mergeCell ref="F23:G23"/>
    <mergeCell ref="B24:D24"/>
    <mergeCell ref="F24:G24"/>
    <mergeCell ref="B25:D25"/>
    <mergeCell ref="F25:G25"/>
    <mergeCell ref="B26:D26"/>
    <mergeCell ref="F26:G26"/>
    <mergeCell ref="B27:D27"/>
    <mergeCell ref="F27:G27"/>
    <mergeCell ref="B28:D28"/>
    <mergeCell ref="F28:G28"/>
  </mergeCells>
  <conditionalFormatting sqref="G32">
    <cfRule type="cellIs" dxfId="59" priority="5" operator="lessThan">
      <formula>$F$62</formula>
    </cfRule>
    <cfRule type="cellIs" dxfId="58" priority="6" operator="lessThan">
      <formula>0.05</formula>
    </cfRule>
  </conditionalFormatting>
  <conditionalFormatting sqref="G32">
    <cfRule type="cellIs" dxfId="57" priority="4" operator="between">
      <formula>$F$62</formula>
      <formula>$G$62</formula>
    </cfRule>
  </conditionalFormatting>
  <conditionalFormatting sqref="G33:G34">
    <cfRule type="cellIs" dxfId="56" priority="2" operator="lessThan">
      <formula>$F$62</formula>
    </cfRule>
    <cfRule type="cellIs" dxfId="55" priority="3" operator="lessThan">
      <formula>0.05</formula>
    </cfRule>
  </conditionalFormatting>
  <conditionalFormatting sqref="G33:G34">
    <cfRule type="cellIs" dxfId="54" priority="1" operator="between">
      <formula>$F$62</formula>
      <formula>$G$62</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4"/>
  <sheetViews>
    <sheetView topLeftCell="A91" zoomScale="120" zoomScaleNormal="120" workbookViewId="0">
      <selection activeCell="C87" sqref="C87:D91"/>
    </sheetView>
  </sheetViews>
  <sheetFormatPr baseColWidth="10" defaultRowHeight="15" x14ac:dyDescent="0.25"/>
  <cols>
    <col min="1" max="1" width="4.28515625" customWidth="1"/>
    <col min="2" max="4" width="21" customWidth="1"/>
    <col min="5" max="5" width="22.7109375" customWidth="1"/>
    <col min="8" max="8" width="13.28515625" customWidth="1"/>
  </cols>
  <sheetData>
    <row r="1" spans="1:11" ht="15" customHeight="1" x14ac:dyDescent="0.25">
      <c r="E1" s="214"/>
    </row>
    <row r="2" spans="1:11" ht="15" customHeight="1" x14ac:dyDescent="0.25">
      <c r="B2" s="189"/>
      <c r="C2" s="189"/>
      <c r="D2" s="189"/>
      <c r="E2" s="215"/>
      <c r="F2" s="189"/>
      <c r="G2" s="189"/>
      <c r="H2" s="189"/>
    </row>
    <row r="3" spans="1:11" ht="15" customHeight="1" x14ac:dyDescent="0.25">
      <c r="B3" s="189"/>
      <c r="C3" s="189"/>
      <c r="D3" s="189"/>
      <c r="E3" s="215"/>
      <c r="F3" s="189"/>
      <c r="G3" s="189"/>
      <c r="H3" s="189"/>
    </row>
    <row r="4" spans="1:11" ht="15" customHeight="1" x14ac:dyDescent="0.25">
      <c r="B4" s="189"/>
      <c r="C4" s="189"/>
      <c r="D4" s="189"/>
      <c r="E4" s="215"/>
      <c r="F4" s="189"/>
      <c r="G4" s="189"/>
      <c r="H4" s="189"/>
    </row>
    <row r="5" spans="1:11" ht="15" customHeight="1" x14ac:dyDescent="0.25">
      <c r="B5" s="189"/>
      <c r="C5" s="189"/>
      <c r="D5" s="189"/>
      <c r="E5" s="215"/>
      <c r="F5" s="189"/>
      <c r="G5" s="189"/>
      <c r="H5" s="189"/>
    </row>
    <row r="6" spans="1:11" ht="15" customHeight="1" x14ac:dyDescent="0.25">
      <c r="B6" s="189"/>
      <c r="C6" s="189"/>
      <c r="D6" s="189"/>
      <c r="E6" s="215"/>
      <c r="F6" s="189"/>
      <c r="G6" s="189"/>
      <c r="H6" s="189"/>
    </row>
    <row r="7" spans="1:11" x14ac:dyDescent="0.25">
      <c r="B7" s="231" t="s">
        <v>157</v>
      </c>
      <c r="C7" s="770" t="str">
        <f>'CARTA DE CONTROL'!B10</f>
        <v xml:space="preserve">ANALIZADOR DE GASES </v>
      </c>
      <c r="D7" s="771"/>
      <c r="E7" s="772"/>
    </row>
    <row r="8" spans="1:11" x14ac:dyDescent="0.25">
      <c r="B8" s="231" t="s">
        <v>158</v>
      </c>
      <c r="C8" s="770" t="str">
        <f>'CARTA DE CONTROL'!D10</f>
        <v>ACTIA</v>
      </c>
      <c r="D8" s="771"/>
      <c r="E8" s="772"/>
    </row>
    <row r="9" spans="1:11" x14ac:dyDescent="0.25">
      <c r="B9" s="231" t="s">
        <v>159</v>
      </c>
      <c r="C9" s="770" t="str">
        <f>'CARTA DE CONTROL'!E10</f>
        <v>AT505</v>
      </c>
      <c r="D9" s="771"/>
      <c r="E9" s="772"/>
    </row>
    <row r="10" spans="1:11" x14ac:dyDescent="0.25">
      <c r="B10" s="231" t="s">
        <v>160</v>
      </c>
      <c r="C10" s="773" t="str">
        <f>'CARTA DE CONTROL'!F10</f>
        <v>018/18</v>
      </c>
      <c r="D10" s="774"/>
      <c r="E10" s="775"/>
    </row>
    <row r="11" spans="1:11" ht="15" customHeight="1" thickBot="1" x14ac:dyDescent="0.3">
      <c r="B11" s="189"/>
      <c r="C11" s="189"/>
      <c r="D11" s="189"/>
      <c r="E11" s="215"/>
      <c r="F11" s="189"/>
      <c r="G11" s="189"/>
      <c r="H11" s="202"/>
      <c r="I11" s="203"/>
      <c r="J11" s="203"/>
      <c r="K11" s="203"/>
    </row>
    <row r="12" spans="1:11" s="190" customFormat="1" ht="34.5" customHeight="1" x14ac:dyDescent="0.2">
      <c r="A12" s="776" t="s">
        <v>127</v>
      </c>
      <c r="B12" s="777"/>
      <c r="C12" s="777"/>
      <c r="D12" s="777"/>
      <c r="E12" s="777"/>
      <c r="F12" s="777"/>
      <c r="G12" s="778"/>
      <c r="H12" s="204"/>
      <c r="I12" s="204"/>
      <c r="J12" s="204"/>
      <c r="K12" s="204"/>
    </row>
    <row r="13" spans="1:11" s="190" customFormat="1" ht="15" customHeight="1" x14ac:dyDescent="0.2">
      <c r="A13" s="207" t="s">
        <v>128</v>
      </c>
      <c r="B13" s="779" t="s">
        <v>129</v>
      </c>
      <c r="C13" s="780"/>
      <c r="D13" s="781"/>
      <c r="E13" s="200" t="s">
        <v>130</v>
      </c>
      <c r="F13" s="782" t="s">
        <v>131</v>
      </c>
      <c r="G13" s="783"/>
      <c r="H13" s="205"/>
      <c r="I13" s="205"/>
      <c r="J13" s="205"/>
      <c r="K13" s="205"/>
    </row>
    <row r="14" spans="1:11" s="1" customFormat="1" ht="35.25" customHeight="1" x14ac:dyDescent="0.2">
      <c r="A14" s="208">
        <v>1</v>
      </c>
      <c r="B14" s="761" t="s">
        <v>132</v>
      </c>
      <c r="C14" s="761"/>
      <c r="D14" s="761"/>
      <c r="E14" s="191" t="s">
        <v>133</v>
      </c>
      <c r="F14" s="762"/>
      <c r="G14" s="763"/>
      <c r="H14" s="206"/>
      <c r="I14" s="206"/>
      <c r="J14" s="206"/>
      <c r="K14" s="206"/>
    </row>
    <row r="15" spans="1:11" s="1" customFormat="1" ht="35.25" customHeight="1" x14ac:dyDescent="0.2">
      <c r="A15" s="208">
        <v>2</v>
      </c>
      <c r="B15" s="761" t="s">
        <v>134</v>
      </c>
      <c r="C15" s="761"/>
      <c r="D15" s="761"/>
      <c r="E15" s="191" t="s">
        <v>133</v>
      </c>
      <c r="F15" s="762"/>
      <c r="G15" s="763"/>
    </row>
    <row r="16" spans="1:11" s="1" customFormat="1" ht="35.25" customHeight="1" x14ac:dyDescent="0.2">
      <c r="A16" s="208">
        <v>3</v>
      </c>
      <c r="B16" s="761" t="s">
        <v>135</v>
      </c>
      <c r="C16" s="761"/>
      <c r="D16" s="761"/>
      <c r="E16" s="191" t="s">
        <v>133</v>
      </c>
      <c r="F16" s="762"/>
      <c r="G16" s="763"/>
    </row>
    <row r="17" spans="1:11" s="1" customFormat="1" ht="35.25" customHeight="1" x14ac:dyDescent="0.2">
      <c r="A17" s="208">
        <v>4</v>
      </c>
      <c r="B17" s="761" t="s">
        <v>136</v>
      </c>
      <c r="C17" s="761"/>
      <c r="D17" s="761"/>
      <c r="E17" s="191" t="s">
        <v>133</v>
      </c>
      <c r="F17" s="784"/>
      <c r="G17" s="785"/>
    </row>
    <row r="18" spans="1:11" s="1" customFormat="1" ht="35.25" customHeight="1" x14ac:dyDescent="0.2">
      <c r="A18" s="208">
        <v>5</v>
      </c>
      <c r="B18" s="761" t="s">
        <v>137</v>
      </c>
      <c r="C18" s="761"/>
      <c r="D18" s="761"/>
      <c r="E18" s="191" t="s">
        <v>133</v>
      </c>
      <c r="F18" s="762"/>
      <c r="G18" s="763"/>
    </row>
    <row r="19" spans="1:11" s="1" customFormat="1" ht="35.25" customHeight="1" x14ac:dyDescent="0.2">
      <c r="A19" s="208">
        <v>6</v>
      </c>
      <c r="B19" s="761" t="s">
        <v>138</v>
      </c>
      <c r="C19" s="761"/>
      <c r="D19" s="761"/>
      <c r="E19" s="191" t="s">
        <v>133</v>
      </c>
      <c r="F19" s="762"/>
      <c r="G19" s="763"/>
    </row>
    <row r="20" spans="1:11" s="1" customFormat="1" ht="35.25" customHeight="1" x14ac:dyDescent="0.2">
      <c r="A20" s="208">
        <v>7</v>
      </c>
      <c r="B20" s="761" t="s">
        <v>139</v>
      </c>
      <c r="C20" s="761"/>
      <c r="D20" s="761"/>
      <c r="E20" s="191" t="s">
        <v>133</v>
      </c>
      <c r="F20" s="762"/>
      <c r="G20" s="763"/>
    </row>
    <row r="21" spans="1:11" s="1" customFormat="1" ht="35.25" customHeight="1" x14ac:dyDescent="0.2">
      <c r="A21" s="208">
        <v>8</v>
      </c>
      <c r="B21" s="761" t="s">
        <v>140</v>
      </c>
      <c r="C21" s="761"/>
      <c r="D21" s="761"/>
      <c r="E21" s="191" t="s">
        <v>133</v>
      </c>
      <c r="F21" s="762"/>
      <c r="G21" s="763"/>
    </row>
    <row r="22" spans="1:11" s="1" customFormat="1" ht="35.25" customHeight="1" x14ac:dyDescent="0.2">
      <c r="A22" s="208">
        <v>9</v>
      </c>
      <c r="B22" s="761" t="s">
        <v>141</v>
      </c>
      <c r="C22" s="761"/>
      <c r="D22" s="761"/>
      <c r="E22" s="191" t="s">
        <v>133</v>
      </c>
      <c r="F22" s="762"/>
      <c r="G22" s="763"/>
    </row>
    <row r="23" spans="1:11" s="1" customFormat="1" ht="35.25" customHeight="1" x14ac:dyDescent="0.2">
      <c r="A23" s="208">
        <v>10</v>
      </c>
      <c r="B23" s="761" t="s">
        <v>142</v>
      </c>
      <c r="C23" s="761"/>
      <c r="D23" s="761"/>
      <c r="E23" s="191" t="s">
        <v>133</v>
      </c>
      <c r="F23" s="762"/>
      <c r="G23" s="763"/>
    </row>
    <row r="24" spans="1:11" s="1" customFormat="1" ht="35.25" customHeight="1" x14ac:dyDescent="0.2">
      <c r="A24" s="208">
        <v>11</v>
      </c>
      <c r="B24" s="761" t="s">
        <v>143</v>
      </c>
      <c r="C24" s="761"/>
      <c r="D24" s="761"/>
      <c r="E24" s="191" t="s">
        <v>133</v>
      </c>
      <c r="F24" s="762"/>
      <c r="G24" s="763"/>
    </row>
    <row r="25" spans="1:11" s="194" customFormat="1" ht="35.25" customHeight="1" x14ac:dyDescent="0.2">
      <c r="A25" s="209">
        <v>12</v>
      </c>
      <c r="B25" s="761" t="s">
        <v>144</v>
      </c>
      <c r="C25" s="761"/>
      <c r="D25" s="761"/>
      <c r="E25" s="193" t="s">
        <v>133</v>
      </c>
      <c r="F25" s="762"/>
      <c r="G25" s="763"/>
    </row>
    <row r="26" spans="1:11" s="1" customFormat="1" ht="35.25" customHeight="1" x14ac:dyDescent="0.2">
      <c r="A26" s="208">
        <v>13</v>
      </c>
      <c r="B26" s="761" t="s">
        <v>145</v>
      </c>
      <c r="C26" s="761"/>
      <c r="D26" s="761"/>
      <c r="E26" s="191" t="s">
        <v>133</v>
      </c>
      <c r="F26" s="762"/>
      <c r="G26" s="763"/>
    </row>
    <row r="27" spans="1:11" s="1" customFormat="1" ht="35.25" customHeight="1" x14ac:dyDescent="0.2">
      <c r="A27" s="208">
        <v>14</v>
      </c>
      <c r="B27" s="761" t="s">
        <v>146</v>
      </c>
      <c r="C27" s="761"/>
      <c r="D27" s="761"/>
      <c r="E27" s="191" t="s">
        <v>133</v>
      </c>
      <c r="F27" s="762"/>
      <c r="G27" s="763"/>
    </row>
    <row r="28" spans="1:11" s="1" customFormat="1" ht="54.75" customHeight="1" thickBot="1" x14ac:dyDescent="0.25">
      <c r="A28" s="210">
        <v>15</v>
      </c>
      <c r="B28" s="764" t="s">
        <v>147</v>
      </c>
      <c r="C28" s="764"/>
      <c r="D28" s="764"/>
      <c r="E28" s="211" t="s">
        <v>133</v>
      </c>
      <c r="F28" s="765"/>
      <c r="G28" s="766"/>
    </row>
    <row r="29" spans="1:11" s="198" customFormat="1" ht="21" customHeight="1" thickBot="1" x14ac:dyDescent="0.25">
      <c r="B29" s="195"/>
      <c r="C29" s="196"/>
      <c r="D29" s="196"/>
      <c r="E29" s="195"/>
      <c r="F29" s="196"/>
      <c r="G29" s="196"/>
      <c r="H29" s="197"/>
      <c r="I29" s="197"/>
    </row>
    <row r="30" spans="1:11" s="219" customFormat="1" ht="15" customHeight="1" x14ac:dyDescent="0.2">
      <c r="A30" s="767" t="s">
        <v>148</v>
      </c>
      <c r="B30" s="768"/>
      <c r="C30" s="768"/>
      <c r="D30" s="768"/>
      <c r="E30" s="768"/>
      <c r="F30" s="768"/>
      <c r="G30" s="769"/>
      <c r="H30" s="222"/>
      <c r="I30" s="223"/>
      <c r="J30" s="223"/>
      <c r="K30" s="223"/>
    </row>
    <row r="31" spans="1:11" s="219" customFormat="1" ht="15" customHeight="1" x14ac:dyDescent="0.2">
      <c r="A31" s="220" t="s">
        <v>128</v>
      </c>
      <c r="B31" s="759" t="s">
        <v>129</v>
      </c>
      <c r="C31" s="759"/>
      <c r="D31" s="759"/>
      <c r="E31" s="221" t="s">
        <v>130</v>
      </c>
      <c r="F31" s="759" t="s">
        <v>131</v>
      </c>
      <c r="G31" s="760"/>
      <c r="H31" s="224"/>
      <c r="I31" s="225"/>
      <c r="J31" s="225"/>
      <c r="K31" s="225"/>
    </row>
    <row r="32" spans="1:11" s="1" customFormat="1" ht="55.5" customHeight="1" x14ac:dyDescent="0.2">
      <c r="A32" s="216">
        <v>1</v>
      </c>
      <c r="B32" s="754" t="s">
        <v>149</v>
      </c>
      <c r="C32" s="754"/>
      <c r="D32" s="754"/>
      <c r="E32" s="199" t="s">
        <v>150</v>
      </c>
      <c r="F32" s="755"/>
      <c r="G32" s="756"/>
      <c r="H32" s="226"/>
      <c r="I32" s="206"/>
      <c r="J32" s="206"/>
      <c r="K32" s="206"/>
    </row>
    <row r="33" spans="1:7" s="1" customFormat="1" ht="25.5" customHeight="1" x14ac:dyDescent="0.2">
      <c r="A33" s="216">
        <v>2</v>
      </c>
      <c r="B33" s="754" t="s">
        <v>151</v>
      </c>
      <c r="C33" s="754"/>
      <c r="D33" s="754"/>
      <c r="E33" s="199" t="s">
        <v>150</v>
      </c>
      <c r="F33" s="755"/>
      <c r="G33" s="756"/>
    </row>
    <row r="34" spans="1:7" s="1" customFormat="1" ht="25.5" customHeight="1" x14ac:dyDescent="0.2">
      <c r="A34" s="216">
        <v>3</v>
      </c>
      <c r="B34" s="754" t="s">
        <v>152</v>
      </c>
      <c r="C34" s="754"/>
      <c r="D34" s="754"/>
      <c r="E34" s="199" t="s">
        <v>150</v>
      </c>
      <c r="F34" s="755"/>
      <c r="G34" s="756"/>
    </row>
    <row r="35" spans="1:7" s="1" customFormat="1" ht="25.5" customHeight="1" x14ac:dyDescent="0.2">
      <c r="A35" s="216">
        <v>4</v>
      </c>
      <c r="B35" s="754" t="s">
        <v>153</v>
      </c>
      <c r="C35" s="754"/>
      <c r="D35" s="754"/>
      <c r="E35" s="199" t="s">
        <v>154</v>
      </c>
      <c r="F35" s="755"/>
      <c r="G35" s="756"/>
    </row>
    <row r="36" spans="1:7" s="1" customFormat="1" ht="25.5" customHeight="1" x14ac:dyDescent="0.2">
      <c r="A36" s="216">
        <v>5</v>
      </c>
      <c r="B36" s="754" t="s">
        <v>155</v>
      </c>
      <c r="C36" s="754"/>
      <c r="D36" s="754"/>
      <c r="E36" s="199" t="s">
        <v>154</v>
      </c>
      <c r="F36" s="757"/>
      <c r="G36" s="758"/>
    </row>
    <row r="37" spans="1:7" s="1" customFormat="1" ht="25.5" customHeight="1" thickBot="1" x14ac:dyDescent="0.25">
      <c r="A37" s="217">
        <v>6</v>
      </c>
      <c r="B37" s="748" t="s">
        <v>156</v>
      </c>
      <c r="C37" s="748"/>
      <c r="D37" s="748"/>
      <c r="E37" s="218" t="s">
        <v>154</v>
      </c>
      <c r="F37" s="749"/>
      <c r="G37" s="750"/>
    </row>
    <row r="39" spans="1:7" ht="15.75" thickBot="1" x14ac:dyDescent="0.3"/>
    <row r="40" spans="1:7" ht="79.5" thickBot="1" x14ac:dyDescent="0.3">
      <c r="B40" s="2" t="s">
        <v>39</v>
      </c>
      <c r="C40" s="11" t="s">
        <v>92</v>
      </c>
      <c r="D40" s="11" t="s">
        <v>93</v>
      </c>
      <c r="E40" s="2" t="s">
        <v>94</v>
      </c>
      <c r="F40" s="2" t="s">
        <v>95</v>
      </c>
      <c r="G40" s="21" t="s">
        <v>96</v>
      </c>
    </row>
    <row r="41" spans="1:7" ht="15.75" thickBot="1" x14ac:dyDescent="0.3">
      <c r="B41" s="3">
        <f>'CARTA DE CONTROL'!R10</f>
        <v>0.99399999999999999</v>
      </c>
      <c r="C41" s="4">
        <f>'CARTA DE CONTROL'!AR10</f>
        <v>6.9999999999999889E-3</v>
      </c>
      <c r="D41" s="4">
        <f>'CARTA DE CONTROL'!AS10</f>
        <v>-3.5000000000000017E-2</v>
      </c>
      <c r="E41" s="6">
        <f>'CARTA DE CONTROL'!I10</f>
        <v>0.06</v>
      </c>
      <c r="F41" s="7">
        <f>-('CARTA DE CONTROL'!I10)</f>
        <v>-0.06</v>
      </c>
      <c r="G41" s="5" t="str">
        <f>IF(C41&lt;=0.1,IF(D41&gt;=-0.1,"PASS","NO PASS"))</f>
        <v>PASS</v>
      </c>
    </row>
    <row r="42" spans="1:7" ht="15.75" thickBot="1" x14ac:dyDescent="0.3">
      <c r="B42" s="3">
        <f>'CARTA DE CONTROL'!R11</f>
        <v>4.01</v>
      </c>
      <c r="C42" s="4">
        <f>'CARTA DE CONTROL'!AR11</f>
        <v>4.0000000000000174E-2</v>
      </c>
      <c r="D42" s="4">
        <f>'CARTA DE CONTROL'!AS11</f>
        <v>-0.13999999999999982</v>
      </c>
      <c r="E42" s="6">
        <f>'CARTA DE CONTROL'!I11</f>
        <v>0.15</v>
      </c>
      <c r="F42" s="7">
        <f>-('CARTA DE CONTROL'!I11)</f>
        <v>-0.15</v>
      </c>
      <c r="G42" s="5" t="str">
        <f>IF(C42&lt;=0.2,IF(D42&gt;=-0.2,"PASS","NO PASS"))</f>
        <v>PASS</v>
      </c>
    </row>
    <row r="43" spans="1:7" ht="15.75" thickBot="1" x14ac:dyDescent="0.3">
      <c r="B43" s="3">
        <f>'CARTA DE CONTROL'!R12</f>
        <v>7.97</v>
      </c>
      <c r="C43" s="4">
        <f>'CARTA DE CONTROL'!AR12</f>
        <v>0.14000000000000065</v>
      </c>
      <c r="D43" s="4">
        <f>'CARTA DE CONTROL'!AS12</f>
        <v>-0.19999999999999937</v>
      </c>
      <c r="E43" s="6">
        <f>'CARTA DE CONTROL'!I12</f>
        <v>0.4</v>
      </c>
      <c r="F43" s="7">
        <f>-('CARTA DE CONTROL'!I12)</f>
        <v>-0.4</v>
      </c>
      <c r="G43" s="5" t="str">
        <f>IF(C43&lt;=0.5,IF(D43&gt;=-0.5,"PASS","NO PASS"))</f>
        <v>PASS</v>
      </c>
    </row>
    <row r="44" spans="1:7" ht="15.75" thickBot="1" x14ac:dyDescent="0.3">
      <c r="B44" s="3">
        <f>'CARTA DE CONTROL'!R13</f>
        <v>0</v>
      </c>
      <c r="C44" s="4">
        <f>'CARTA DE CONTROL'!AR13</f>
        <v>6.0000000000000001E-3</v>
      </c>
      <c r="D44" s="4">
        <f>'CARTA DE CONTROL'!AS13</f>
        <v>-6.0000000000000001E-3</v>
      </c>
      <c r="E44" s="6">
        <f>'CARTA DE CONTROL'!I13</f>
        <v>0.06</v>
      </c>
      <c r="F44" s="7">
        <f>-('CARTA DE CONTROL'!I13)</f>
        <v>-0.06</v>
      </c>
      <c r="G44" s="5" t="str">
        <f>IF(C44&lt;=0.05,IF(D44&gt;=-0.05,"PASS","NO PASS"))</f>
        <v>PASS</v>
      </c>
    </row>
    <row r="45" spans="1:7" ht="15.75" thickBot="1" x14ac:dyDescent="0.3">
      <c r="B45" s="3">
        <f>'CARTA DE CONTROL'!R26</f>
        <v>0.99399999999999999</v>
      </c>
      <c r="C45" s="4">
        <f>'CARTA DE CONTROL'!AR26</f>
        <v>2.4E-2</v>
      </c>
      <c r="D45" s="4">
        <f>'CARTA DE CONTROL'!AS26</f>
        <v>-2.4E-2</v>
      </c>
      <c r="E45" s="6">
        <f>'CARTA DE CONTROL'!I26</f>
        <v>0.06</v>
      </c>
      <c r="F45" s="7">
        <f>-('CARTA DE CONTROL'!I26)</f>
        <v>-0.06</v>
      </c>
      <c r="G45" s="5" t="str">
        <f>IF(C45&lt;=0.1,IF(D45&gt;=-0.1,"PASS","NO PASS"))</f>
        <v>PASS</v>
      </c>
    </row>
    <row r="46" spans="1:7" ht="15.75" thickBot="1" x14ac:dyDescent="0.3">
      <c r="B46" s="3">
        <f>'CARTA DE CONTROL'!R27</f>
        <v>4.01</v>
      </c>
      <c r="C46" s="4">
        <f>'CARTA DE CONTROL'!AR27</f>
        <v>9.0999999999999998E-2</v>
      </c>
      <c r="D46" s="4">
        <f>'CARTA DE CONTROL'!AS27</f>
        <v>-9.0999999999999998E-2</v>
      </c>
      <c r="E46" s="6">
        <f>'CARTA DE CONTROL'!I27</f>
        <v>0.15</v>
      </c>
      <c r="F46" s="7">
        <f>-('CARTA DE CONTROL'!I27)</f>
        <v>-0.15</v>
      </c>
      <c r="G46" s="5" t="str">
        <f>IF(C46&lt;=0.2,IF(D46&gt;=-0.2,"PASS","NO PASS"))</f>
        <v>PASS</v>
      </c>
    </row>
    <row r="47" spans="1:7" ht="15.75" thickBot="1" x14ac:dyDescent="0.3">
      <c r="B47" s="3">
        <f>'CARTA DE CONTROL'!R28</f>
        <v>7.97</v>
      </c>
      <c r="C47" s="4">
        <f>'CARTA DE CONTROL'!AR28</f>
        <v>0.19</v>
      </c>
      <c r="D47" s="4">
        <f>'CARTA DE CONTROL'!AS28</f>
        <v>-0.19</v>
      </c>
      <c r="E47" s="6">
        <f>'CARTA DE CONTROL'!I28</f>
        <v>0.4</v>
      </c>
      <c r="F47" s="7">
        <f>-('CARTA DE CONTROL'!I28)</f>
        <v>-0.4</v>
      </c>
      <c r="G47" s="5" t="str">
        <f>IF(C47&lt;=0.5,IF(D47&gt;=-0.5,"PASS","NO PASS"))</f>
        <v>PASS</v>
      </c>
    </row>
    <row r="48" spans="1:7" ht="15.75" thickBot="1" x14ac:dyDescent="0.3">
      <c r="B48" s="3">
        <f>'CARTA DE CONTROL'!R29</f>
        <v>0</v>
      </c>
      <c r="C48" s="4">
        <f>'CARTA DE CONTROL'!AR29</f>
        <v>6.0000000000000001E-3</v>
      </c>
      <c r="D48" s="4">
        <f>'CARTA DE CONTROL'!AS29</f>
        <v>-6.0000000000000001E-3</v>
      </c>
      <c r="E48" s="6">
        <f>'CARTA DE CONTROL'!I29</f>
        <v>0.06</v>
      </c>
      <c r="F48" s="7">
        <f>-('CARTA DE CONTROL'!I29)</f>
        <v>-0.06</v>
      </c>
      <c r="G48" s="5" t="str">
        <f>IF(C48&lt;=0.05,IF(D48&gt;=-0.05,"PASS","NO PASS"))</f>
        <v>PASS</v>
      </c>
    </row>
    <row r="49" spans="1:8" x14ac:dyDescent="0.25">
      <c r="A49" s="1"/>
      <c r="B49" s="1"/>
      <c r="C49" s="1"/>
      <c r="D49" s="1"/>
    </row>
    <row r="50" spans="1:8" x14ac:dyDescent="0.25">
      <c r="A50" s="1"/>
      <c r="B50" s="1"/>
      <c r="C50" s="1"/>
      <c r="D50" s="1"/>
    </row>
    <row r="51" spans="1:8" x14ac:dyDescent="0.25">
      <c r="A51" s="1"/>
      <c r="B51" s="1"/>
      <c r="C51" s="1"/>
      <c r="D51" s="1"/>
      <c r="E51" s="1"/>
      <c r="F51" s="1"/>
      <c r="G51" s="1"/>
      <c r="H51" s="1"/>
    </row>
    <row r="52" spans="1:8" x14ac:dyDescent="0.25">
      <c r="A52" s="1"/>
      <c r="B52" s="1"/>
      <c r="C52" s="1"/>
      <c r="D52" s="1"/>
      <c r="E52" s="1"/>
      <c r="F52" s="1"/>
      <c r="G52" s="1"/>
      <c r="H52" s="1"/>
    </row>
    <row r="53" spans="1:8" x14ac:dyDescent="0.25">
      <c r="A53" s="1"/>
      <c r="B53" s="1"/>
      <c r="C53" s="1"/>
      <c r="D53" s="1"/>
      <c r="E53" s="1"/>
      <c r="F53" s="1"/>
      <c r="G53" s="1"/>
      <c r="H53" s="1"/>
    </row>
    <row r="54" spans="1:8" x14ac:dyDescent="0.25">
      <c r="A54" s="1"/>
      <c r="B54" s="1"/>
      <c r="C54" s="1"/>
      <c r="D54" s="1"/>
      <c r="E54" s="1"/>
      <c r="F54" s="1"/>
      <c r="G54" s="1"/>
      <c r="H54" s="1"/>
    </row>
    <row r="55" spans="1:8" x14ac:dyDescent="0.25">
      <c r="A55" s="1"/>
      <c r="B55" s="1"/>
      <c r="C55" s="1"/>
      <c r="D55" s="1"/>
      <c r="E55" s="1"/>
      <c r="F55" s="1"/>
      <c r="G55" s="1"/>
      <c r="H55" s="1"/>
    </row>
    <row r="56" spans="1:8" x14ac:dyDescent="0.25">
      <c r="A56" s="1"/>
      <c r="B56" s="1"/>
      <c r="C56" s="1"/>
      <c r="D56" s="1"/>
      <c r="E56" s="1"/>
      <c r="F56" s="1"/>
      <c r="G56" s="1"/>
      <c r="H56" s="1"/>
    </row>
    <row r="57" spans="1:8" x14ac:dyDescent="0.25">
      <c r="A57" s="1"/>
      <c r="B57" s="1"/>
      <c r="C57" s="1"/>
      <c r="D57" s="1"/>
      <c r="E57" s="1"/>
      <c r="F57" s="1"/>
      <c r="G57" s="1"/>
      <c r="H57" s="1"/>
    </row>
    <row r="58" spans="1:8" x14ac:dyDescent="0.25">
      <c r="A58" s="1"/>
      <c r="B58" s="1"/>
      <c r="C58" s="1"/>
      <c r="D58" s="1"/>
      <c r="E58" s="1"/>
      <c r="F58" s="1"/>
      <c r="G58" s="1"/>
      <c r="H58" s="1"/>
    </row>
    <row r="59" spans="1:8" x14ac:dyDescent="0.25">
      <c r="A59" s="1"/>
      <c r="B59" s="1"/>
      <c r="C59" s="1"/>
      <c r="D59" s="1"/>
      <c r="E59" s="1"/>
      <c r="F59" s="1"/>
      <c r="G59" s="1"/>
      <c r="H59" s="1"/>
    </row>
    <row r="60" spans="1:8" x14ac:dyDescent="0.25">
      <c r="A60" s="1"/>
      <c r="B60" s="1"/>
      <c r="C60" s="1"/>
      <c r="D60" s="1"/>
      <c r="E60" s="1"/>
      <c r="F60" s="1"/>
      <c r="G60" s="1"/>
      <c r="H60" s="1"/>
    </row>
    <row r="66" spans="2:5" ht="15.75" thickBot="1" x14ac:dyDescent="0.3"/>
    <row r="67" spans="2:5" ht="15.75" thickBot="1" x14ac:dyDescent="0.3">
      <c r="B67" s="751" t="s">
        <v>83</v>
      </c>
      <c r="C67" s="752"/>
      <c r="D67" s="752"/>
      <c r="E67" s="753"/>
    </row>
    <row r="68" spans="2:5" ht="45.75" thickBot="1" x14ac:dyDescent="0.3">
      <c r="B68" s="2" t="s">
        <v>39</v>
      </c>
      <c r="C68" s="10" t="s">
        <v>84</v>
      </c>
      <c r="D68" s="2" t="s">
        <v>85</v>
      </c>
      <c r="E68" s="21" t="s">
        <v>86</v>
      </c>
    </row>
    <row r="69" spans="2:5" ht="15.75" thickBot="1" x14ac:dyDescent="0.3">
      <c r="B69" s="3">
        <f>'CARTA DE CONTROL'!R10</f>
        <v>0.99399999999999999</v>
      </c>
      <c r="C69" s="4">
        <f>'CARTA DE CONTROL'!AN10</f>
        <v>0</v>
      </c>
      <c r="D69" s="6">
        <f>'CARTA DE CONTROL'!M10</f>
        <v>0.02</v>
      </c>
      <c r="E69" s="5" t="str">
        <f>IF(C69&lt;=0.04,IF(C69&gt;=-0.04,"PASS","NO PASS"))</f>
        <v>PASS</v>
      </c>
    </row>
    <row r="70" spans="2:5" ht="15.75" thickBot="1" x14ac:dyDescent="0.3">
      <c r="B70" s="3">
        <f>'CARTA DE CONTROL'!R11</f>
        <v>4.01</v>
      </c>
      <c r="C70" s="4">
        <f>'CARTA DE CONTROL'!AN11</f>
        <v>7.0000000000000001E-3</v>
      </c>
      <c r="D70" s="6">
        <f>'CARTA DE CONTROL'!M11</f>
        <v>0.06</v>
      </c>
      <c r="E70" s="5" t="str">
        <f>IF(C70&lt;=0.08,IF(C70&gt;=-0.08,"PASS","NO PASS"))</f>
        <v>PASS</v>
      </c>
    </row>
    <row r="71" spans="2:5" ht="15.75" thickBot="1" x14ac:dyDescent="0.3">
      <c r="B71" s="3">
        <f>'CARTA DE CONTROL'!R12</f>
        <v>7.97</v>
      </c>
      <c r="C71" s="4">
        <f>'CARTA DE CONTROL'!AN12</f>
        <v>0</v>
      </c>
      <c r="D71" s="6">
        <f>'CARTA DE CONTROL'!M12</f>
        <v>0.1</v>
      </c>
      <c r="E71" s="5" t="str">
        <f>IF(C71&lt;=0.16,IF(C71&gt;=-0.16,"PASS","NO PASS"))</f>
        <v>PASS</v>
      </c>
    </row>
    <row r="72" spans="2:5" ht="15.75" thickBot="1" x14ac:dyDescent="0.3">
      <c r="B72" s="3">
        <f>'CARTA DE CONTROL'!R13</f>
        <v>0</v>
      </c>
      <c r="C72" s="4">
        <f>'CARTA DE CONTROL'!AN13</f>
        <v>0</v>
      </c>
      <c r="D72" s="6">
        <f>'CARTA DE CONTROL'!M13</f>
        <v>0.02</v>
      </c>
      <c r="E72" s="5" t="str">
        <f>IF(C72&lt;=0.02,IF(C72&gt;=-0.02,"PASS","NO PASS"))</f>
        <v>PASS</v>
      </c>
    </row>
    <row r="84" spans="2:5" ht="15.75" thickBot="1" x14ac:dyDescent="0.3"/>
    <row r="85" spans="2:5" ht="15.75" thickBot="1" x14ac:dyDescent="0.3">
      <c r="B85" s="751" t="s">
        <v>87</v>
      </c>
      <c r="C85" s="752"/>
      <c r="D85" s="752"/>
      <c r="E85" s="753"/>
    </row>
    <row r="86" spans="2:5" ht="45.75" thickBot="1" x14ac:dyDescent="0.3">
      <c r="B86" s="2" t="s">
        <v>39</v>
      </c>
      <c r="C86" s="10" t="s">
        <v>88</v>
      </c>
      <c r="D86" s="2" t="s">
        <v>119</v>
      </c>
      <c r="E86" s="21" t="s">
        <v>86</v>
      </c>
    </row>
    <row r="87" spans="2:5" ht="15.75" thickBot="1" x14ac:dyDescent="0.3">
      <c r="B87" s="3">
        <f>'CARTA DE CONTROL'!R10</f>
        <v>0.99399999999999999</v>
      </c>
      <c r="C87" s="4">
        <f>'CARTA DE CONTROL'!AO10</f>
        <v>0</v>
      </c>
      <c r="D87" s="6">
        <f>'CARTA DE CONTROL'!O10</f>
        <v>0.03</v>
      </c>
      <c r="E87" s="5" t="str">
        <f>IF(C87&lt;=0.04,IF(C87&gt;=-0.04,"PASS","NO PASS"))</f>
        <v>PASS</v>
      </c>
    </row>
    <row r="88" spans="2:5" ht="15.75" thickBot="1" x14ac:dyDescent="0.3">
      <c r="B88" s="3">
        <f>'CARTA DE CONTROL'!R11</f>
        <v>4.01</v>
      </c>
      <c r="C88" s="4">
        <f>'CARTA DE CONTROL'!AO11</f>
        <v>0</v>
      </c>
      <c r="D88" s="6">
        <f>'CARTA DE CONTROL'!O11</f>
        <v>0.08</v>
      </c>
      <c r="E88" s="5" t="str">
        <f>IF(C88&lt;=0.08,IF(C88&gt;=-0.08,"PASS","NO PASS"))</f>
        <v>PASS</v>
      </c>
    </row>
    <row r="89" spans="2:5" ht="15.75" thickBot="1" x14ac:dyDescent="0.3">
      <c r="B89" s="3">
        <f>'CARTA DE CONTROL'!R12</f>
        <v>7.97</v>
      </c>
      <c r="C89" s="4">
        <f>'CARTA DE CONTROL'!AO12</f>
        <v>0</v>
      </c>
      <c r="D89" s="6">
        <f>'CARTA DE CONTROL'!O12</f>
        <v>0.15</v>
      </c>
      <c r="E89" s="5" t="str">
        <f>IF(C89&lt;=0.16,IF(C89&gt;=-0.16,"PASS","NO PASS"))</f>
        <v>PASS</v>
      </c>
    </row>
    <row r="90" spans="2:5" ht="15.75" thickBot="1" x14ac:dyDescent="0.3">
      <c r="B90" s="3">
        <f>'CARTA DE CONTROL'!R13</f>
        <v>0</v>
      </c>
      <c r="C90" s="4">
        <f>'CARTA DE CONTROL'!AO13</f>
        <v>0</v>
      </c>
      <c r="D90" s="6">
        <f>'CARTA DE CONTROL'!O13</f>
        <v>0.03</v>
      </c>
      <c r="E90" s="5" t="str">
        <f>IF(C90&lt;=0.02,IF(C90&gt;=-0.02,"PASS","NO PASS"))</f>
        <v>PASS</v>
      </c>
    </row>
    <row r="91" spans="2:5" ht="15.75" thickBot="1" x14ac:dyDescent="0.3">
      <c r="B91" s="3">
        <f>'CARTA DE CONTROL'!R26</f>
        <v>0.99399999999999999</v>
      </c>
      <c r="C91" s="4">
        <f>'CARTA DE CONTROL'!AO26</f>
        <v>0</v>
      </c>
      <c r="D91" s="6">
        <f>'CARTA DE CONTROL'!O26</f>
        <v>0.03</v>
      </c>
      <c r="E91" s="5" t="str">
        <f>IF(C91&lt;=0.04,IF(C91&gt;=-0.04,"PASS","NO PASS"))</f>
        <v>PASS</v>
      </c>
    </row>
    <row r="92" spans="2:5" ht="15.75" thickBot="1" x14ac:dyDescent="0.3">
      <c r="B92" s="3">
        <f>'CARTA DE CONTROL'!R27</f>
        <v>4.01</v>
      </c>
      <c r="C92" s="4">
        <f>'CARTA DE CONTROL'!AO27</f>
        <v>0</v>
      </c>
      <c r="D92" s="6">
        <f>'CARTA DE CONTROL'!O27</f>
        <v>0.08</v>
      </c>
      <c r="E92" s="5" t="str">
        <f>IF(C92&lt;=0.08,IF(C92&gt;=-0.08,"PASS","NO PASS"))</f>
        <v>PASS</v>
      </c>
    </row>
    <row r="93" spans="2:5" ht="15.75" thickBot="1" x14ac:dyDescent="0.3">
      <c r="B93" s="3">
        <f>'CARTA DE CONTROL'!R28</f>
        <v>7.97</v>
      </c>
      <c r="C93" s="4">
        <f>'CARTA DE CONTROL'!AO28</f>
        <v>0</v>
      </c>
      <c r="D93" s="6">
        <f>'CARTA DE CONTROL'!O28</f>
        <v>0.15</v>
      </c>
      <c r="E93" s="5" t="str">
        <f>IF(C93&lt;=0.16,IF(C93&gt;=-0.16,"PASS","NO PASS"))</f>
        <v>PASS</v>
      </c>
    </row>
    <row r="94" spans="2:5" ht="15.75" thickBot="1" x14ac:dyDescent="0.3">
      <c r="B94" s="3">
        <f>'CARTA DE CONTROL'!R29</f>
        <v>0</v>
      </c>
      <c r="C94" s="4">
        <f>'CARTA DE CONTROL'!AO29</f>
        <v>0</v>
      </c>
      <c r="D94" s="6">
        <f>'CARTA DE CONTROL'!O29</f>
        <v>0.03</v>
      </c>
      <c r="E94" s="5" t="str">
        <f>IF(C94&lt;=0.02,IF(C94&gt;=-0.02,"PASS","NO PASS"))</f>
        <v>PASS</v>
      </c>
    </row>
  </sheetData>
  <mergeCells count="54">
    <mergeCell ref="B16:D16"/>
    <mergeCell ref="F16:G16"/>
    <mergeCell ref="B17:D17"/>
    <mergeCell ref="B13:D13"/>
    <mergeCell ref="F13:G13"/>
    <mergeCell ref="B14:D14"/>
    <mergeCell ref="F14:G14"/>
    <mergeCell ref="B15:D15"/>
    <mergeCell ref="F15:G15"/>
    <mergeCell ref="F17:G17"/>
    <mergeCell ref="C7:E7"/>
    <mergeCell ref="C8:E8"/>
    <mergeCell ref="C9:E9"/>
    <mergeCell ref="C10:E10"/>
    <mergeCell ref="A12:G12"/>
    <mergeCell ref="B18:D18"/>
    <mergeCell ref="F18:G18"/>
    <mergeCell ref="B19:D19"/>
    <mergeCell ref="F19:G19"/>
    <mergeCell ref="B20:D20"/>
    <mergeCell ref="F20:G20"/>
    <mergeCell ref="B21:D21"/>
    <mergeCell ref="F21:G21"/>
    <mergeCell ref="B22:D22"/>
    <mergeCell ref="F22:G22"/>
    <mergeCell ref="B23:D23"/>
    <mergeCell ref="F23:G23"/>
    <mergeCell ref="B24:D24"/>
    <mergeCell ref="F24:G24"/>
    <mergeCell ref="B25:D25"/>
    <mergeCell ref="F25:G25"/>
    <mergeCell ref="B26:D26"/>
    <mergeCell ref="F26:G26"/>
    <mergeCell ref="B27:D27"/>
    <mergeCell ref="F27:G27"/>
    <mergeCell ref="B28:D28"/>
    <mergeCell ref="F28:G28"/>
    <mergeCell ref="A30:G30"/>
    <mergeCell ref="B31:D31"/>
    <mergeCell ref="F31:G31"/>
    <mergeCell ref="B32:D32"/>
    <mergeCell ref="F32:G32"/>
    <mergeCell ref="B33:D33"/>
    <mergeCell ref="F33:G33"/>
    <mergeCell ref="B37:D37"/>
    <mergeCell ref="F37:G37"/>
    <mergeCell ref="B85:E85"/>
    <mergeCell ref="B67:E67"/>
    <mergeCell ref="B34:D34"/>
    <mergeCell ref="F34:G34"/>
    <mergeCell ref="B35:D35"/>
    <mergeCell ref="F35:G35"/>
    <mergeCell ref="B36:D36"/>
    <mergeCell ref="F36:G36"/>
  </mergeCells>
  <conditionalFormatting sqref="E69:E72">
    <cfRule type="cellIs" dxfId="185" priority="21" operator="lessThan">
      <formula>$H$84</formula>
    </cfRule>
    <cfRule type="cellIs" dxfId="184" priority="22" operator="lessThan">
      <formula>0.05</formula>
    </cfRule>
  </conditionalFormatting>
  <conditionalFormatting sqref="G41:G48">
    <cfRule type="cellIs" dxfId="183" priority="81" operator="lessThan">
      <formula>$H$86</formula>
    </cfRule>
    <cfRule type="cellIs" dxfId="182" priority="82" operator="lessThan">
      <formula>0.05</formula>
    </cfRule>
  </conditionalFormatting>
  <conditionalFormatting sqref="E87:E88">
    <cfRule type="cellIs" dxfId="181" priority="7" operator="lessThan">
      <formula>$H$84</formula>
    </cfRule>
    <cfRule type="cellIs" dxfId="180" priority="8" operator="lessThan">
      <formula>0.05</formula>
    </cfRule>
  </conditionalFormatting>
  <conditionalFormatting sqref="E89:E90">
    <cfRule type="cellIs" dxfId="179" priority="5" operator="lessThan">
      <formula>$H$84</formula>
    </cfRule>
    <cfRule type="cellIs" dxfId="178" priority="6" operator="lessThan">
      <formula>0.05</formula>
    </cfRule>
  </conditionalFormatting>
  <conditionalFormatting sqref="E91:E92">
    <cfRule type="cellIs" dxfId="177" priority="3" operator="lessThan">
      <formula>$H$84</formula>
    </cfRule>
    <cfRule type="cellIs" dxfId="176" priority="4" operator="lessThan">
      <formula>0.05</formula>
    </cfRule>
  </conditionalFormatting>
  <conditionalFormatting sqref="E93:E94">
    <cfRule type="cellIs" dxfId="175" priority="1" operator="lessThan">
      <formula>$H$84</formula>
    </cfRule>
    <cfRule type="cellIs" dxfId="174" priority="2" operator="lessThan">
      <formula>0.05</formula>
    </cfRule>
  </conditionalFormatting>
  <pageMargins left="0.7" right="0.7" top="0.75" bottom="0.75" header="0.3" footer="0.3"/>
  <pageSetup orientation="portrait" verticalDpi="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7"/>
  <sheetViews>
    <sheetView topLeftCell="A37" workbookViewId="0">
      <selection activeCell="B45" sqref="B45"/>
    </sheetView>
  </sheetViews>
  <sheetFormatPr baseColWidth="10" defaultRowHeight="15" x14ac:dyDescent="0.25"/>
  <cols>
    <col min="1" max="1" width="5.85546875" customWidth="1"/>
    <col min="2" max="2" width="16.5703125" customWidth="1"/>
    <col min="3" max="4" width="21" customWidth="1"/>
    <col min="5" max="5" width="21" style="214" customWidth="1"/>
    <col min="6" max="6" width="22.7109375" customWidth="1"/>
    <col min="8" max="8" width="13.28515625" customWidth="1"/>
  </cols>
  <sheetData>
    <row r="1" spans="1:11" ht="15" customHeight="1" x14ac:dyDescent="0.25"/>
    <row r="2" spans="1:11" ht="15" customHeight="1" x14ac:dyDescent="0.25">
      <c r="B2" s="189"/>
      <c r="C2" s="189"/>
      <c r="D2" s="189"/>
      <c r="E2" s="215"/>
      <c r="F2" s="189"/>
      <c r="G2" s="189"/>
      <c r="H2" s="189"/>
    </row>
    <row r="3" spans="1:11" ht="15" customHeight="1" x14ac:dyDescent="0.25">
      <c r="B3" s="189"/>
      <c r="C3" s="189"/>
      <c r="D3" s="189"/>
      <c r="E3" s="215"/>
      <c r="F3" s="189"/>
      <c r="G3" s="189"/>
      <c r="H3" s="189"/>
    </row>
    <row r="4" spans="1:11" ht="15" customHeight="1" x14ac:dyDescent="0.25">
      <c r="B4" s="189"/>
      <c r="C4" s="189"/>
      <c r="D4" s="189"/>
      <c r="E4" s="215"/>
      <c r="F4" s="189"/>
      <c r="G4" s="189"/>
      <c r="H4" s="189"/>
    </row>
    <row r="5" spans="1:11" ht="15" customHeight="1" x14ac:dyDescent="0.25">
      <c r="B5" s="189"/>
      <c r="C5" s="189"/>
      <c r="D5" s="189"/>
      <c r="E5" s="215"/>
      <c r="F5" s="189"/>
      <c r="G5" s="189"/>
      <c r="H5" s="189"/>
    </row>
    <row r="6" spans="1:11" ht="15" customHeight="1" x14ac:dyDescent="0.25">
      <c r="B6" s="189"/>
      <c r="C6" s="189"/>
      <c r="D6" s="189"/>
      <c r="E6" s="215"/>
      <c r="F6" s="189"/>
      <c r="G6" s="189"/>
      <c r="H6" s="189"/>
    </row>
    <row r="7" spans="1:11" x14ac:dyDescent="0.25">
      <c r="B7" s="231" t="s">
        <v>157</v>
      </c>
      <c r="C7" s="770" t="e">
        <f>'CARTA DE CONTROL'!#REF!</f>
        <v>#REF!</v>
      </c>
      <c r="D7" s="771"/>
      <c r="E7" s="772"/>
    </row>
    <row r="8" spans="1:11" x14ac:dyDescent="0.25">
      <c r="B8" s="231" t="s">
        <v>158</v>
      </c>
      <c r="C8" s="770" t="e">
        <f>'CARTA DE CONTROL'!#REF!</f>
        <v>#REF!</v>
      </c>
      <c r="D8" s="771"/>
      <c r="E8" s="772"/>
    </row>
    <row r="9" spans="1:11" x14ac:dyDescent="0.25">
      <c r="B9" s="231" t="s">
        <v>159</v>
      </c>
      <c r="C9" s="770" t="e">
        <f>'CARTA DE CONTROL'!#REF!</f>
        <v>#REF!</v>
      </c>
      <c r="D9" s="771"/>
      <c r="E9" s="772"/>
    </row>
    <row r="10" spans="1:11" x14ac:dyDescent="0.25">
      <c r="B10" s="231" t="s">
        <v>160</v>
      </c>
      <c r="C10" s="773" t="e">
        <f>'CARTA DE CONTROL'!#REF!</f>
        <v>#REF!</v>
      </c>
      <c r="D10" s="774"/>
      <c r="E10" s="775"/>
    </row>
    <row r="11" spans="1:11" ht="15" customHeight="1" thickBot="1" x14ac:dyDescent="0.3">
      <c r="B11" s="189"/>
      <c r="C11" s="189"/>
      <c r="D11" s="189"/>
      <c r="E11" s="215"/>
      <c r="F11" s="189"/>
      <c r="G11" s="189"/>
      <c r="H11" s="202"/>
      <c r="I11" s="203"/>
      <c r="J11" s="203"/>
      <c r="K11" s="203"/>
    </row>
    <row r="12" spans="1:11" s="190" customFormat="1" ht="34.5" customHeight="1" x14ac:dyDescent="0.2">
      <c r="A12" s="776" t="s">
        <v>127</v>
      </c>
      <c r="B12" s="777"/>
      <c r="C12" s="777"/>
      <c r="D12" s="777"/>
      <c r="E12" s="777"/>
      <c r="F12" s="777"/>
      <c r="G12" s="778"/>
      <c r="H12" s="204"/>
      <c r="I12" s="204"/>
      <c r="J12" s="204"/>
      <c r="K12" s="204"/>
    </row>
    <row r="13" spans="1:11" s="190" customFormat="1" ht="15" customHeight="1" x14ac:dyDescent="0.2">
      <c r="A13" s="207" t="s">
        <v>128</v>
      </c>
      <c r="B13" s="779" t="s">
        <v>129</v>
      </c>
      <c r="C13" s="780"/>
      <c r="D13" s="781"/>
      <c r="E13" s="200" t="s">
        <v>130</v>
      </c>
      <c r="F13" s="782" t="s">
        <v>131</v>
      </c>
      <c r="G13" s="783"/>
      <c r="H13" s="205"/>
      <c r="I13" s="205"/>
      <c r="J13" s="205"/>
      <c r="K13" s="205"/>
    </row>
    <row r="14" spans="1:11" s="1" customFormat="1" ht="35.25" customHeight="1" x14ac:dyDescent="0.2">
      <c r="A14" s="208">
        <v>1</v>
      </c>
      <c r="B14" s="761" t="s">
        <v>132</v>
      </c>
      <c r="C14" s="761"/>
      <c r="D14" s="761"/>
      <c r="E14" s="191" t="s">
        <v>133</v>
      </c>
      <c r="F14" s="762"/>
      <c r="G14" s="763"/>
      <c r="H14" s="206"/>
      <c r="I14" s="206"/>
      <c r="J14" s="206"/>
      <c r="K14" s="206"/>
    </row>
    <row r="15" spans="1:11" s="1" customFormat="1" ht="35.25" customHeight="1" x14ac:dyDescent="0.2">
      <c r="A15" s="208">
        <v>2</v>
      </c>
      <c r="B15" s="761" t="s">
        <v>134</v>
      </c>
      <c r="C15" s="761"/>
      <c r="D15" s="761"/>
      <c r="E15" s="191" t="s">
        <v>133</v>
      </c>
      <c r="F15" s="762"/>
      <c r="G15" s="763"/>
    </row>
    <row r="16" spans="1:11" s="1" customFormat="1" ht="35.25" customHeight="1" x14ac:dyDescent="0.2">
      <c r="A16" s="208">
        <v>3</v>
      </c>
      <c r="B16" s="761" t="s">
        <v>135</v>
      </c>
      <c r="C16" s="761"/>
      <c r="D16" s="761"/>
      <c r="E16" s="191" t="s">
        <v>133</v>
      </c>
      <c r="F16" s="762"/>
      <c r="G16" s="763"/>
    </row>
    <row r="17" spans="1:11" s="1" customFormat="1" ht="35.25" customHeight="1" x14ac:dyDescent="0.2">
      <c r="A17" s="208">
        <v>4</v>
      </c>
      <c r="B17" s="761" t="s">
        <v>136</v>
      </c>
      <c r="C17" s="761"/>
      <c r="D17" s="761"/>
      <c r="E17" s="191" t="s">
        <v>133</v>
      </c>
      <c r="F17" s="784"/>
      <c r="G17" s="785"/>
    </row>
    <row r="18" spans="1:11" s="1" customFormat="1" ht="35.25" customHeight="1" x14ac:dyDescent="0.2">
      <c r="A18" s="208">
        <v>5</v>
      </c>
      <c r="B18" s="761" t="s">
        <v>137</v>
      </c>
      <c r="C18" s="761"/>
      <c r="D18" s="761"/>
      <c r="E18" s="191" t="s">
        <v>133</v>
      </c>
      <c r="F18" s="762"/>
      <c r="G18" s="763"/>
    </row>
    <row r="19" spans="1:11" s="1" customFormat="1" ht="35.25" customHeight="1" x14ac:dyDescent="0.2">
      <c r="A19" s="208">
        <v>6</v>
      </c>
      <c r="B19" s="761" t="s">
        <v>138</v>
      </c>
      <c r="C19" s="761"/>
      <c r="D19" s="761"/>
      <c r="E19" s="191" t="s">
        <v>133</v>
      </c>
      <c r="F19" s="762"/>
      <c r="G19" s="763"/>
    </row>
    <row r="20" spans="1:11" s="1" customFormat="1" ht="35.25" customHeight="1" x14ac:dyDescent="0.2">
      <c r="A20" s="208">
        <v>7</v>
      </c>
      <c r="B20" s="761" t="s">
        <v>139</v>
      </c>
      <c r="C20" s="761"/>
      <c r="D20" s="761"/>
      <c r="E20" s="191" t="s">
        <v>133</v>
      </c>
      <c r="F20" s="762"/>
      <c r="G20" s="763"/>
    </row>
    <row r="21" spans="1:11" s="1" customFormat="1" ht="35.25" customHeight="1" x14ac:dyDescent="0.2">
      <c r="A21" s="208">
        <v>8</v>
      </c>
      <c r="B21" s="761" t="s">
        <v>140</v>
      </c>
      <c r="C21" s="761"/>
      <c r="D21" s="761"/>
      <c r="E21" s="191" t="s">
        <v>133</v>
      </c>
      <c r="F21" s="762"/>
      <c r="G21" s="763"/>
    </row>
    <row r="22" spans="1:11" s="1" customFormat="1" ht="35.25" customHeight="1" x14ac:dyDescent="0.2">
      <c r="A22" s="208">
        <v>9</v>
      </c>
      <c r="B22" s="761" t="s">
        <v>141</v>
      </c>
      <c r="C22" s="761"/>
      <c r="D22" s="761"/>
      <c r="E22" s="191" t="s">
        <v>133</v>
      </c>
      <c r="F22" s="762"/>
      <c r="G22" s="763"/>
    </row>
    <row r="23" spans="1:11" s="1" customFormat="1" ht="35.25" customHeight="1" x14ac:dyDescent="0.2">
      <c r="A23" s="208">
        <v>10</v>
      </c>
      <c r="B23" s="761" t="s">
        <v>142</v>
      </c>
      <c r="C23" s="761"/>
      <c r="D23" s="761"/>
      <c r="E23" s="191" t="s">
        <v>133</v>
      </c>
      <c r="F23" s="762"/>
      <c r="G23" s="763"/>
    </row>
    <row r="24" spans="1:11" s="1" customFormat="1" ht="35.25" customHeight="1" x14ac:dyDescent="0.2">
      <c r="A24" s="208">
        <v>11</v>
      </c>
      <c r="B24" s="761" t="s">
        <v>143</v>
      </c>
      <c r="C24" s="761"/>
      <c r="D24" s="761"/>
      <c r="E24" s="191" t="s">
        <v>133</v>
      </c>
      <c r="F24" s="762"/>
      <c r="G24" s="763"/>
    </row>
    <row r="25" spans="1:11" s="194" customFormat="1" ht="35.25" customHeight="1" x14ac:dyDescent="0.2">
      <c r="A25" s="209">
        <v>12</v>
      </c>
      <c r="B25" s="761" t="s">
        <v>144</v>
      </c>
      <c r="C25" s="761"/>
      <c r="D25" s="761"/>
      <c r="E25" s="193" t="s">
        <v>133</v>
      </c>
      <c r="F25" s="762"/>
      <c r="G25" s="763"/>
    </row>
    <row r="26" spans="1:11" s="1" customFormat="1" ht="35.25" customHeight="1" x14ac:dyDescent="0.2">
      <c r="A26" s="208">
        <v>13</v>
      </c>
      <c r="B26" s="761" t="s">
        <v>145</v>
      </c>
      <c r="C26" s="761"/>
      <c r="D26" s="761"/>
      <c r="E26" s="191" t="s">
        <v>133</v>
      </c>
      <c r="F26" s="762"/>
      <c r="G26" s="763"/>
    </row>
    <row r="27" spans="1:11" s="1" customFormat="1" ht="35.25" customHeight="1" x14ac:dyDescent="0.2">
      <c r="A27" s="208">
        <v>14</v>
      </c>
      <c r="B27" s="761" t="s">
        <v>146</v>
      </c>
      <c r="C27" s="761"/>
      <c r="D27" s="761"/>
      <c r="E27" s="191" t="s">
        <v>133</v>
      </c>
      <c r="F27" s="762"/>
      <c r="G27" s="763"/>
    </row>
    <row r="28" spans="1:11" s="1" customFormat="1" ht="54.75" customHeight="1" thickBot="1" x14ac:dyDescent="0.25">
      <c r="A28" s="210">
        <v>15</v>
      </c>
      <c r="B28" s="764" t="s">
        <v>147</v>
      </c>
      <c r="C28" s="764"/>
      <c r="D28" s="764"/>
      <c r="E28" s="211" t="s">
        <v>133</v>
      </c>
      <c r="F28" s="765"/>
      <c r="G28" s="766"/>
    </row>
    <row r="29" spans="1:11" s="198" customFormat="1" ht="21" customHeight="1" thickBot="1" x14ac:dyDescent="0.25">
      <c r="B29" s="195"/>
      <c r="C29" s="196"/>
      <c r="D29" s="196"/>
      <c r="E29" s="195"/>
      <c r="F29" s="196"/>
      <c r="G29" s="196"/>
      <c r="H29" s="197"/>
      <c r="I29" s="197"/>
    </row>
    <row r="30" spans="1:11" s="219" customFormat="1" ht="15" customHeight="1" x14ac:dyDescent="0.2">
      <c r="A30" s="767" t="s">
        <v>148</v>
      </c>
      <c r="B30" s="768"/>
      <c r="C30" s="768"/>
      <c r="D30" s="768"/>
      <c r="E30" s="768"/>
      <c r="F30" s="768"/>
      <c r="G30" s="769"/>
      <c r="H30" s="222"/>
      <c r="I30" s="223"/>
      <c r="J30" s="223"/>
      <c r="K30" s="223"/>
    </row>
    <row r="31" spans="1:11" s="219" customFormat="1" ht="15" customHeight="1" x14ac:dyDescent="0.2">
      <c r="A31" s="220" t="s">
        <v>128</v>
      </c>
      <c r="B31" s="759" t="s">
        <v>129</v>
      </c>
      <c r="C31" s="759"/>
      <c r="D31" s="759"/>
      <c r="E31" s="221" t="s">
        <v>130</v>
      </c>
      <c r="F31" s="759" t="s">
        <v>131</v>
      </c>
      <c r="G31" s="760"/>
      <c r="H31" s="224"/>
      <c r="I31" s="225"/>
      <c r="J31" s="225"/>
      <c r="K31" s="225"/>
    </row>
    <row r="32" spans="1:11" s="1" customFormat="1" ht="55.5" customHeight="1" x14ac:dyDescent="0.2">
      <c r="A32" s="216">
        <v>1</v>
      </c>
      <c r="B32" s="754" t="s">
        <v>149</v>
      </c>
      <c r="C32" s="754"/>
      <c r="D32" s="754"/>
      <c r="E32" s="199" t="s">
        <v>150</v>
      </c>
      <c r="F32" s="755"/>
      <c r="G32" s="756"/>
      <c r="H32" s="226"/>
      <c r="I32" s="206"/>
      <c r="J32" s="206"/>
      <c r="K32" s="206"/>
    </row>
    <row r="33" spans="1:8" s="1" customFormat="1" ht="25.5" customHeight="1" x14ac:dyDescent="0.2">
      <c r="A33" s="216">
        <v>2</v>
      </c>
      <c r="B33" s="754" t="s">
        <v>151</v>
      </c>
      <c r="C33" s="754"/>
      <c r="D33" s="754"/>
      <c r="E33" s="199" t="s">
        <v>150</v>
      </c>
      <c r="F33" s="755"/>
      <c r="G33" s="756"/>
    </row>
    <row r="34" spans="1:8" s="1" customFormat="1" ht="25.5" customHeight="1" x14ac:dyDescent="0.2">
      <c r="A34" s="216">
        <v>3</v>
      </c>
      <c r="B34" s="754" t="s">
        <v>152</v>
      </c>
      <c r="C34" s="754"/>
      <c r="D34" s="754"/>
      <c r="E34" s="199" t="s">
        <v>150</v>
      </c>
      <c r="F34" s="755"/>
      <c r="G34" s="756"/>
    </row>
    <row r="35" spans="1:8" s="1" customFormat="1" ht="25.5" customHeight="1" x14ac:dyDescent="0.2">
      <c r="A35" s="216">
        <v>4</v>
      </c>
      <c r="B35" s="754" t="s">
        <v>153</v>
      </c>
      <c r="C35" s="754"/>
      <c r="D35" s="754"/>
      <c r="E35" s="199" t="s">
        <v>154</v>
      </c>
      <c r="F35" s="755"/>
      <c r="G35" s="756"/>
    </row>
    <row r="36" spans="1:8" s="1" customFormat="1" ht="25.5" customHeight="1" x14ac:dyDescent="0.2">
      <c r="A36" s="216">
        <v>5</v>
      </c>
      <c r="B36" s="754" t="s">
        <v>155</v>
      </c>
      <c r="C36" s="754"/>
      <c r="D36" s="754"/>
      <c r="E36" s="199" t="s">
        <v>154</v>
      </c>
      <c r="F36" s="757"/>
      <c r="G36" s="758"/>
    </row>
    <row r="37" spans="1:8" s="1" customFormat="1" ht="25.5" customHeight="1" thickBot="1" x14ac:dyDescent="0.25">
      <c r="A37" s="217">
        <v>6</v>
      </c>
      <c r="B37" s="748" t="s">
        <v>156</v>
      </c>
      <c r="C37" s="748"/>
      <c r="D37" s="748"/>
      <c r="E37" s="218" t="s">
        <v>154</v>
      </c>
      <c r="F37" s="749"/>
      <c r="G37" s="750"/>
    </row>
    <row r="38" spans="1:8" s="1" customFormat="1" ht="12.75" customHeight="1" thickBot="1" x14ac:dyDescent="0.25">
      <c r="E38" s="213"/>
    </row>
    <row r="39" spans="1:8" ht="15.75" thickBot="1" x14ac:dyDescent="0.3">
      <c r="B39" s="751" t="s">
        <v>161</v>
      </c>
      <c r="C39" s="752"/>
      <c r="D39" s="752"/>
      <c r="E39" s="752"/>
      <c r="F39" s="752"/>
      <c r="G39" s="753"/>
    </row>
    <row r="40" spans="1:8" ht="79.5" thickBot="1" x14ac:dyDescent="0.3">
      <c r="B40" s="2" t="s">
        <v>39</v>
      </c>
      <c r="C40" s="11" t="s">
        <v>92</v>
      </c>
      <c r="D40" s="11" t="s">
        <v>93</v>
      </c>
      <c r="E40" s="2" t="s">
        <v>94</v>
      </c>
      <c r="F40" s="2" t="s">
        <v>95</v>
      </c>
      <c r="G40" s="21" t="s">
        <v>96</v>
      </c>
    </row>
    <row r="41" spans="1:8" ht="15.75" thickBot="1" x14ac:dyDescent="0.3">
      <c r="B41" s="3" t="e">
        <f>'CARTA DE CONTROL'!#REF!</f>
        <v>#REF!</v>
      </c>
      <c r="C41" s="4" t="e">
        <f>'CARTA DE CONTROL'!#REF!</f>
        <v>#REF!</v>
      </c>
      <c r="D41" s="4" t="e">
        <f>'CARTA DE CONTROL'!#REF!</f>
        <v>#REF!</v>
      </c>
      <c r="E41" s="6" t="e">
        <f>'CARTA DE CONTROL'!#REF!</f>
        <v>#REF!</v>
      </c>
      <c r="F41" s="7" t="e">
        <f>-('CARTA DE CONTROL'!#REF!)</f>
        <v>#REF!</v>
      </c>
      <c r="G41" s="5" t="e">
        <f>IF(C41&lt;=0.06,IF(D41&gt;=-0.06,"PASS","NO PASS"))</f>
        <v>#REF!</v>
      </c>
    </row>
    <row r="42" spans="1:8" ht="15.75" thickBot="1" x14ac:dyDescent="0.3">
      <c r="B42" s="3" t="e">
        <f>'CARTA DE CONTROL'!#REF!</f>
        <v>#REF!</v>
      </c>
      <c r="C42" s="4" t="e">
        <f>'CARTA DE CONTROL'!#REF!</f>
        <v>#REF!</v>
      </c>
      <c r="D42" s="4" t="e">
        <f>'CARTA DE CONTROL'!#REF!</f>
        <v>#REF!</v>
      </c>
      <c r="E42" s="6" t="e">
        <f>'CARTA DE CONTROL'!#REF!</f>
        <v>#REF!</v>
      </c>
      <c r="F42" s="7" t="e">
        <f>-('CARTA DE CONTROL'!#REF!)</f>
        <v>#REF!</v>
      </c>
      <c r="G42" s="5" t="e">
        <f>IF(C42&lt;=0.35,IF(D42&gt;=-0.35,"PASS","NO PASS"))</f>
        <v>#REF!</v>
      </c>
    </row>
    <row r="43" spans="1:8" ht="15.75" thickBot="1" x14ac:dyDescent="0.3">
      <c r="B43" s="3" t="e">
        <f>'CARTA DE CONTROL'!#REF!</f>
        <v>#REF!</v>
      </c>
      <c r="C43" s="4" t="e">
        <f>'CARTA DE CONTROL'!#REF!</f>
        <v>#REF!</v>
      </c>
      <c r="D43" s="4" t="e">
        <f>'CARTA DE CONTROL'!#REF!</f>
        <v>#REF!</v>
      </c>
      <c r="E43" s="6" t="e">
        <f>'CARTA DE CONTROL'!#REF!</f>
        <v>#REF!</v>
      </c>
      <c r="F43" s="7" t="e">
        <f>-('CARTA DE CONTROL'!#REF!)</f>
        <v>#REF!</v>
      </c>
      <c r="G43" s="5" t="e">
        <f>IF(C43&lt;=0.06,IF(D43&gt;=-0.06,"PASS","NO PASS"))</f>
        <v>#REF!</v>
      </c>
    </row>
    <row r="44" spans="1:8" ht="15.75" thickBot="1" x14ac:dyDescent="0.3">
      <c r="B44" s="3" t="e">
        <f>'CARTA DE CONTROL'!#REF!</f>
        <v>#REF!</v>
      </c>
      <c r="C44" s="4" t="e">
        <f>'CARTA DE CONTROL'!#REF!</f>
        <v>#REF!</v>
      </c>
      <c r="D44" s="4" t="e">
        <f>'CARTA DE CONTROL'!#REF!</f>
        <v>#REF!</v>
      </c>
      <c r="E44" s="6" t="e">
        <f>'CARTA DE CONTROL'!#REF!</f>
        <v>#REF!</v>
      </c>
      <c r="F44" s="7" t="e">
        <f>-('CARTA DE CONTROL'!#REF!)</f>
        <v>#REF!</v>
      </c>
      <c r="G44" s="5" t="e">
        <f>IF(C44&lt;=0.35,IF(D44&gt;=-0.35,"PASS","NO PASS"))</f>
        <v>#REF!</v>
      </c>
    </row>
    <row r="45" spans="1:8" x14ac:dyDescent="0.25">
      <c r="B45" s="1"/>
      <c r="C45" s="1"/>
      <c r="D45" s="1"/>
      <c r="E45" s="213"/>
      <c r="F45" s="1"/>
      <c r="G45" s="1"/>
      <c r="H45" s="1"/>
    </row>
    <row r="46" spans="1:8" x14ac:dyDescent="0.25">
      <c r="B46" s="1"/>
      <c r="C46" s="1"/>
      <c r="D46" s="1"/>
      <c r="E46" s="213"/>
    </row>
    <row r="47" spans="1:8" x14ac:dyDescent="0.25">
      <c r="B47" s="1"/>
      <c r="C47" s="1"/>
      <c r="D47" s="1"/>
      <c r="E47" s="213"/>
    </row>
    <row r="48" spans="1:8" x14ac:dyDescent="0.25">
      <c r="B48" s="1"/>
      <c r="C48" s="1"/>
      <c r="D48" s="1"/>
      <c r="E48" s="213"/>
    </row>
    <row r="49" spans="2:8" x14ac:dyDescent="0.25">
      <c r="B49" s="1"/>
      <c r="C49" s="1"/>
      <c r="D49" s="1"/>
      <c r="E49" s="213"/>
      <c r="F49" s="1"/>
      <c r="G49" s="1"/>
      <c r="H49" s="1"/>
    </row>
    <row r="50" spans="2:8" x14ac:dyDescent="0.25">
      <c r="B50" s="1"/>
      <c r="C50" s="1"/>
      <c r="D50" s="1"/>
      <c r="E50" s="213"/>
      <c r="F50" s="1"/>
      <c r="G50" s="1"/>
      <c r="H50" s="1"/>
    </row>
    <row r="51" spans="2:8" x14ac:dyDescent="0.25">
      <c r="B51" s="1"/>
      <c r="C51" s="1"/>
      <c r="D51" s="1"/>
      <c r="E51" s="213"/>
      <c r="F51" s="1"/>
      <c r="G51" s="1"/>
      <c r="H51" s="1"/>
    </row>
    <row r="52" spans="2:8" x14ac:dyDescent="0.25">
      <c r="B52" s="1"/>
      <c r="C52" s="1"/>
      <c r="D52" s="1"/>
      <c r="E52" s="213"/>
      <c r="F52" s="1"/>
      <c r="G52" s="1"/>
      <c r="H52" s="1"/>
    </row>
    <row r="53" spans="2:8" x14ac:dyDescent="0.25">
      <c r="B53" s="1"/>
      <c r="C53" s="1"/>
      <c r="D53" s="1"/>
      <c r="E53" s="213"/>
      <c r="F53" s="1"/>
      <c r="G53" s="1"/>
      <c r="H53" s="1"/>
    </row>
    <row r="54" spans="2:8" x14ac:dyDescent="0.25">
      <c r="B54" s="1"/>
      <c r="C54" s="1"/>
      <c r="D54" s="1"/>
      <c r="E54" s="213"/>
      <c r="F54" s="1"/>
      <c r="G54" s="1"/>
      <c r="H54" s="1"/>
    </row>
    <row r="55" spans="2:8" x14ac:dyDescent="0.25">
      <c r="B55" s="1"/>
      <c r="C55" s="1"/>
      <c r="D55" s="1"/>
      <c r="E55" s="213"/>
      <c r="F55" s="1"/>
      <c r="G55" s="1"/>
      <c r="H55" s="1"/>
    </row>
    <row r="56" spans="2:8" x14ac:dyDescent="0.25">
      <c r="B56" s="1"/>
      <c r="C56" s="1"/>
      <c r="D56" s="1"/>
      <c r="E56" s="213"/>
      <c r="F56" s="1"/>
      <c r="G56" s="1"/>
      <c r="H56" s="1"/>
    </row>
    <row r="57" spans="2:8" x14ac:dyDescent="0.25">
      <c r="B57" s="1"/>
      <c r="C57" s="1"/>
      <c r="D57" s="1"/>
      <c r="E57" s="213"/>
      <c r="F57" s="1"/>
      <c r="G57" s="1"/>
      <c r="H57" s="1"/>
    </row>
    <row r="58" spans="2:8" x14ac:dyDescent="0.25">
      <c r="B58" s="1"/>
      <c r="C58" s="1"/>
      <c r="D58" s="1"/>
      <c r="E58" s="213"/>
      <c r="F58" s="1"/>
      <c r="G58" s="1"/>
      <c r="H58" s="1"/>
    </row>
    <row r="62" spans="2:8" ht="15.75" thickBot="1" x14ac:dyDescent="0.3"/>
    <row r="63" spans="2:8" ht="15.75" thickBot="1" x14ac:dyDescent="0.3">
      <c r="B63" s="751" t="s">
        <v>83</v>
      </c>
      <c r="C63" s="752"/>
      <c r="D63" s="752"/>
      <c r="E63" s="752"/>
      <c r="F63" s="230"/>
    </row>
    <row r="64" spans="2:8" ht="60.75" thickBot="1" x14ac:dyDescent="0.3">
      <c r="B64" s="2" t="s">
        <v>39</v>
      </c>
      <c r="C64" s="10" t="s">
        <v>84</v>
      </c>
      <c r="D64" s="2" t="s">
        <v>85</v>
      </c>
      <c r="E64" s="21" t="s">
        <v>86</v>
      </c>
    </row>
    <row r="65" spans="2:5" ht="15.75" thickBot="1" x14ac:dyDescent="0.3">
      <c r="B65" s="3" t="e">
        <f>'CARTA DE CONTROL'!#REF!</f>
        <v>#REF!</v>
      </c>
      <c r="C65" s="4" t="e">
        <f>'CARTA DE CONTROL'!#REF!</f>
        <v>#REF!</v>
      </c>
      <c r="D65" s="6" t="e">
        <f>'CARTA DE CONTROL'!#REF!</f>
        <v>#REF!</v>
      </c>
      <c r="E65" s="5" t="e">
        <f>IF(A65&lt;=0.06,IF(B65&gt;=-0.06,"PASS","NO PASS"))</f>
        <v>#REF!</v>
      </c>
    </row>
    <row r="66" spans="2:5" ht="15.75" thickBot="1" x14ac:dyDescent="0.3">
      <c r="B66" s="3" t="e">
        <f>'CARTA DE CONTROL'!#REF!</f>
        <v>#REF!</v>
      </c>
      <c r="C66" s="4" t="e">
        <f>'CARTA DE CONTROL'!#REF!</f>
        <v>#REF!</v>
      </c>
      <c r="D66" s="6" t="e">
        <f>'CARTA DE CONTROL'!#REF!</f>
        <v>#REF!</v>
      </c>
      <c r="E66" s="5" t="e">
        <f>IF(A66&lt;=0.06,IF(B66&gt;=-0.06,"PASS","NO PASS"))</f>
        <v>#REF!</v>
      </c>
    </row>
    <row r="67" spans="2:5" ht="15.75" thickBot="1" x14ac:dyDescent="0.3">
      <c r="B67" s="3" t="e">
        <f>'CARTA DE CONTROL'!#REF!</f>
        <v>#REF!</v>
      </c>
      <c r="C67" s="4" t="e">
        <f>'CARTA DE CONTROL'!#REF!</f>
        <v>#REF!</v>
      </c>
      <c r="D67" s="6" t="e">
        <f>'CARTA DE CONTROL'!#REF!</f>
        <v>#REF!</v>
      </c>
      <c r="E67" s="5" t="e">
        <f>IF(A67&lt;=0.06,IF(B67&gt;=-0.06,"PASS","NO PASS"))</f>
        <v>#REF!</v>
      </c>
    </row>
    <row r="68" spans="2:5" ht="15.75" thickBot="1" x14ac:dyDescent="0.3">
      <c r="B68" s="3" t="e">
        <f>'CARTA DE CONTROL'!#REF!</f>
        <v>#REF!</v>
      </c>
      <c r="C68" s="4" t="e">
        <f>'CARTA DE CONTROL'!#REF!</f>
        <v>#REF!</v>
      </c>
      <c r="D68" s="6" t="e">
        <f>'CARTA DE CONTROL'!#REF!</f>
        <v>#REF!</v>
      </c>
      <c r="E68" s="5" t="e">
        <f>IF(A68&lt;=0.06,IF(B68&gt;=-0.06,"PASS","NO PASS"))</f>
        <v>#REF!</v>
      </c>
    </row>
    <row r="81" spans="2:6" ht="15.75" thickBot="1" x14ac:dyDescent="0.3"/>
    <row r="82" spans="2:6" ht="15.75" thickBot="1" x14ac:dyDescent="0.3">
      <c r="B82" s="751" t="s">
        <v>87</v>
      </c>
      <c r="C82" s="752"/>
      <c r="D82" s="752"/>
      <c r="E82" s="752"/>
      <c r="F82" s="230"/>
    </row>
    <row r="83" spans="2:6" ht="60.75" thickBot="1" x14ac:dyDescent="0.3">
      <c r="B83" s="2" t="s">
        <v>39</v>
      </c>
      <c r="C83" s="10" t="s">
        <v>88</v>
      </c>
      <c r="D83" s="2" t="s">
        <v>119</v>
      </c>
      <c r="E83" s="21" t="s">
        <v>86</v>
      </c>
    </row>
    <row r="84" spans="2:6" ht="15.75" thickBot="1" x14ac:dyDescent="0.3">
      <c r="B84" s="3" t="e">
        <f>'CARTA DE CONTROL'!#REF!</f>
        <v>#REF!</v>
      </c>
      <c r="C84" s="4" t="e">
        <f>'CARTA DE CONTROL'!#REF!</f>
        <v>#REF!</v>
      </c>
      <c r="D84" s="6" t="e">
        <f>'CARTA DE CONTROL'!#REF!</f>
        <v>#REF!</v>
      </c>
      <c r="E84" s="5" t="e">
        <f>IF(A84&lt;=0.06,IF(B84&gt;=-0.06,"PASS","NO PASS"))</f>
        <v>#REF!</v>
      </c>
    </row>
    <row r="85" spans="2:6" ht="15.75" thickBot="1" x14ac:dyDescent="0.3">
      <c r="B85" s="3" t="e">
        <f>'CARTA DE CONTROL'!#REF!</f>
        <v>#REF!</v>
      </c>
      <c r="C85" s="4" t="e">
        <f>'CARTA DE CONTROL'!#REF!</f>
        <v>#REF!</v>
      </c>
      <c r="D85" s="6" t="e">
        <f>'CARTA DE CONTROL'!#REF!</f>
        <v>#REF!</v>
      </c>
      <c r="E85" s="5" t="e">
        <f>IF(A85&lt;=0.06,IF(B85&gt;=-0.06,"PASS","NO PASS"))</f>
        <v>#REF!</v>
      </c>
    </row>
    <row r="86" spans="2:6" ht="15.75" thickBot="1" x14ac:dyDescent="0.3">
      <c r="B86" s="3" t="e">
        <f>'CARTA DE CONTROL'!#REF!</f>
        <v>#REF!</v>
      </c>
      <c r="C86" s="4" t="e">
        <f>'CARTA DE CONTROL'!#REF!</f>
        <v>#REF!</v>
      </c>
      <c r="D86" s="6" t="e">
        <f>'CARTA DE CONTROL'!#REF!</f>
        <v>#REF!</v>
      </c>
      <c r="E86" s="5" t="e">
        <f>IF(A86&lt;=0.06,IF(B86&gt;=-0.06,"PASS","NO PASS"))</f>
        <v>#REF!</v>
      </c>
    </row>
    <row r="87" spans="2:6" ht="15.75" thickBot="1" x14ac:dyDescent="0.3">
      <c r="B87" s="3" t="e">
        <f>'CARTA DE CONTROL'!#REF!</f>
        <v>#REF!</v>
      </c>
      <c r="C87" s="4" t="e">
        <f>'CARTA DE CONTROL'!#REF!</f>
        <v>#REF!</v>
      </c>
      <c r="D87" s="6" t="e">
        <f>'CARTA DE CONTROL'!#REF!</f>
        <v>#REF!</v>
      </c>
      <c r="E87" s="5" t="e">
        <f>IF(A87&lt;=0.06,IF(B87&gt;=-0.06,"PASS","NO PASS"))</f>
        <v>#REF!</v>
      </c>
    </row>
  </sheetData>
  <mergeCells count="55">
    <mergeCell ref="F18:G18"/>
    <mergeCell ref="F13:G13"/>
    <mergeCell ref="F14:G14"/>
    <mergeCell ref="F15:G15"/>
    <mergeCell ref="F16:G16"/>
    <mergeCell ref="F17:G17"/>
    <mergeCell ref="F22:G22"/>
    <mergeCell ref="F23:G23"/>
    <mergeCell ref="F24:G24"/>
    <mergeCell ref="F19:G19"/>
    <mergeCell ref="F20:G20"/>
    <mergeCell ref="F21:G21"/>
    <mergeCell ref="F25:G25"/>
    <mergeCell ref="F26:G26"/>
    <mergeCell ref="F27:G27"/>
    <mergeCell ref="B25:D25"/>
    <mergeCell ref="B26:D26"/>
    <mergeCell ref="B27:D27"/>
    <mergeCell ref="F36:G36"/>
    <mergeCell ref="F37:G37"/>
    <mergeCell ref="B35:D35"/>
    <mergeCell ref="B36:D36"/>
    <mergeCell ref="B37:D37"/>
    <mergeCell ref="B18:D18"/>
    <mergeCell ref="B19:D19"/>
    <mergeCell ref="B14:D14"/>
    <mergeCell ref="A12:G12"/>
    <mergeCell ref="F35:G35"/>
    <mergeCell ref="F32:G32"/>
    <mergeCell ref="F33:G33"/>
    <mergeCell ref="F34:G34"/>
    <mergeCell ref="B32:D32"/>
    <mergeCell ref="B33:D33"/>
    <mergeCell ref="B34:D34"/>
    <mergeCell ref="F28:G28"/>
    <mergeCell ref="F31:G31"/>
    <mergeCell ref="B28:D28"/>
    <mergeCell ref="B31:D31"/>
    <mergeCell ref="A30:G30"/>
    <mergeCell ref="B63:E63"/>
    <mergeCell ref="B82:E82"/>
    <mergeCell ref="C7:E7"/>
    <mergeCell ref="C8:E8"/>
    <mergeCell ref="C9:E9"/>
    <mergeCell ref="C10:E10"/>
    <mergeCell ref="B13:D13"/>
    <mergeCell ref="B39:G39"/>
    <mergeCell ref="B20:D20"/>
    <mergeCell ref="B21:D21"/>
    <mergeCell ref="B22:D22"/>
    <mergeCell ref="B23:D23"/>
    <mergeCell ref="B24:D24"/>
    <mergeCell ref="B15:D15"/>
    <mergeCell ref="B16:D16"/>
    <mergeCell ref="B17:D17"/>
  </mergeCells>
  <conditionalFormatting sqref="G41:G42">
    <cfRule type="cellIs" dxfId="53" priority="33" operator="lessThan">
      <formula>$H$77</formula>
    </cfRule>
    <cfRule type="cellIs" dxfId="52" priority="34" operator="lessThan">
      <formula>0.05</formula>
    </cfRule>
  </conditionalFormatting>
  <conditionalFormatting sqref="G43:G44">
    <cfRule type="cellIs" dxfId="51" priority="19" operator="lessThan">
      <formula>$H$77</formula>
    </cfRule>
    <cfRule type="cellIs" dxfId="50" priority="20" operator="lessThan">
      <formula>0.05</formula>
    </cfRule>
  </conditionalFormatting>
  <conditionalFormatting sqref="E68">
    <cfRule type="cellIs" dxfId="49" priority="9" operator="lessThan">
      <formula>$H$77</formula>
    </cfRule>
    <cfRule type="cellIs" dxfId="48" priority="10" operator="lessThan">
      <formula>0.05</formula>
    </cfRule>
  </conditionalFormatting>
  <conditionalFormatting sqref="E65">
    <cfRule type="cellIs" dxfId="47" priority="15" operator="lessThan">
      <formula>$H$77</formula>
    </cfRule>
    <cfRule type="cellIs" dxfId="46" priority="16" operator="lessThan">
      <formula>0.05</formula>
    </cfRule>
  </conditionalFormatting>
  <conditionalFormatting sqref="E66">
    <cfRule type="cellIs" dxfId="45" priority="13" operator="lessThan">
      <formula>$H$77</formula>
    </cfRule>
    <cfRule type="cellIs" dxfId="44" priority="14" operator="lessThan">
      <formula>0.05</formula>
    </cfRule>
  </conditionalFormatting>
  <conditionalFormatting sqref="E67">
    <cfRule type="cellIs" dxfId="43" priority="11" operator="lessThan">
      <formula>$H$77</formula>
    </cfRule>
    <cfRule type="cellIs" dxfId="42" priority="12" operator="lessThan">
      <formula>0.05</formula>
    </cfRule>
  </conditionalFormatting>
  <conditionalFormatting sqref="E87">
    <cfRule type="cellIs" dxfId="41" priority="1" operator="lessThan">
      <formula>$H$77</formula>
    </cfRule>
    <cfRule type="cellIs" dxfId="40" priority="2" operator="lessThan">
      <formula>0.05</formula>
    </cfRule>
  </conditionalFormatting>
  <conditionalFormatting sqref="E84">
    <cfRule type="cellIs" dxfId="39" priority="7" operator="lessThan">
      <formula>$H$77</formula>
    </cfRule>
    <cfRule type="cellIs" dxfId="38" priority="8" operator="lessThan">
      <formula>0.05</formula>
    </cfRule>
  </conditionalFormatting>
  <conditionalFormatting sqref="E85">
    <cfRule type="cellIs" dxfId="37" priority="5" operator="lessThan">
      <formula>$H$77</formula>
    </cfRule>
    <cfRule type="cellIs" dxfId="36" priority="6" operator="lessThan">
      <formula>0.05</formula>
    </cfRule>
  </conditionalFormatting>
  <conditionalFormatting sqref="E86">
    <cfRule type="cellIs" dxfId="35" priority="3" operator="lessThan">
      <formula>$H$77</formula>
    </cfRule>
    <cfRule type="cellIs" dxfId="34" priority="4" operator="lessThan">
      <formula>0.05</formula>
    </cfRule>
  </conditionalFormatting>
  <pageMargins left="0.7" right="0.7" top="0.75" bottom="0.75" header="0.3" footer="0.3"/>
  <pageSetup orientation="portrait" verticalDpi="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6"/>
  <sheetViews>
    <sheetView topLeftCell="D31" zoomScale="145" zoomScaleNormal="145" workbookViewId="0">
      <selection activeCell="I10" sqref="I10"/>
    </sheetView>
  </sheetViews>
  <sheetFormatPr baseColWidth="10" defaultRowHeight="15" x14ac:dyDescent="0.25"/>
  <cols>
    <col min="1" max="1" width="4.5703125" customWidth="1"/>
    <col min="2" max="2" width="16.5703125" customWidth="1"/>
    <col min="3" max="3" width="22.85546875" customWidth="1"/>
    <col min="4" max="4" width="21.7109375" customWidth="1"/>
    <col min="5" max="5" width="21" customWidth="1"/>
    <col min="6" max="6" width="22.7109375" customWidth="1"/>
    <col min="9" max="9" width="12.7109375" customWidth="1"/>
  </cols>
  <sheetData>
    <row r="1" spans="1:11" ht="15" customHeight="1" x14ac:dyDescent="0.25">
      <c r="E1" s="214"/>
    </row>
    <row r="2" spans="1:11" ht="15" customHeight="1" x14ac:dyDescent="0.25">
      <c r="B2" s="189"/>
      <c r="C2" s="189"/>
      <c r="D2" s="189"/>
      <c r="E2" s="215"/>
      <c r="F2" s="189"/>
      <c r="G2" s="189"/>
      <c r="H2" s="189"/>
    </row>
    <row r="3" spans="1:11" ht="15" customHeight="1" x14ac:dyDescent="0.25">
      <c r="B3" s="189"/>
      <c r="C3" s="189"/>
      <c r="D3" s="189"/>
      <c r="E3" s="215"/>
      <c r="F3" s="189"/>
      <c r="G3" s="189"/>
      <c r="H3" s="189"/>
    </row>
    <row r="4" spans="1:11" ht="15" customHeight="1" x14ac:dyDescent="0.25">
      <c r="B4" s="189"/>
      <c r="C4" s="189"/>
      <c r="D4" s="189"/>
      <c r="E4" s="215"/>
      <c r="F4" s="189"/>
      <c r="G4" s="189"/>
      <c r="H4" s="189"/>
    </row>
    <row r="5" spans="1:11" ht="15" customHeight="1" x14ac:dyDescent="0.25">
      <c r="B5" s="189"/>
      <c r="C5" s="189"/>
      <c r="D5" s="189"/>
      <c r="E5" s="215"/>
      <c r="F5" s="189"/>
      <c r="G5" s="189"/>
      <c r="H5" s="189"/>
    </row>
    <row r="6" spans="1:11" ht="15" customHeight="1" x14ac:dyDescent="0.25">
      <c r="B6" s="189"/>
      <c r="C6" s="189"/>
      <c r="D6" s="189"/>
      <c r="E6" s="215"/>
      <c r="F6" s="189"/>
      <c r="G6" s="189"/>
      <c r="H6" s="189"/>
    </row>
    <row r="7" spans="1:11" x14ac:dyDescent="0.25">
      <c r="B7" s="231" t="s">
        <v>157</v>
      </c>
      <c r="C7" s="770" t="e">
        <f>'CARTA DE CONTROL'!#REF!</f>
        <v>#REF!</v>
      </c>
      <c r="D7" s="771"/>
      <c r="E7" s="772"/>
    </row>
    <row r="8" spans="1:11" x14ac:dyDescent="0.25">
      <c r="B8" s="231" t="s">
        <v>158</v>
      </c>
      <c r="C8" s="770" t="e">
        <f>'CARTA DE CONTROL'!#REF!</f>
        <v>#REF!</v>
      </c>
      <c r="D8" s="771"/>
      <c r="E8" s="772"/>
    </row>
    <row r="9" spans="1:11" x14ac:dyDescent="0.25">
      <c r="B9" s="231" t="s">
        <v>159</v>
      </c>
      <c r="C9" s="770" t="e">
        <f>'CARTA DE CONTROL'!#REF!</f>
        <v>#REF!</v>
      </c>
      <c r="D9" s="771"/>
      <c r="E9" s="772"/>
    </row>
    <row r="10" spans="1:11" x14ac:dyDescent="0.25">
      <c r="B10" s="231" t="s">
        <v>160</v>
      </c>
      <c r="C10" s="773" t="e">
        <f>'CARTA DE CONTROL'!#REF!</f>
        <v>#REF!</v>
      </c>
      <c r="D10" s="774"/>
      <c r="E10" s="775"/>
    </row>
    <row r="11" spans="1:11" ht="15" customHeight="1" thickBot="1" x14ac:dyDescent="0.3">
      <c r="B11" s="189"/>
      <c r="C11" s="189"/>
      <c r="D11" s="189"/>
      <c r="E11" s="215"/>
      <c r="F11" s="189"/>
      <c r="G11" s="189"/>
      <c r="H11" s="202"/>
      <c r="I11" s="203"/>
      <c r="J11" s="203"/>
      <c r="K11" s="203"/>
    </row>
    <row r="12" spans="1:11" s="190" customFormat="1" ht="34.5" customHeight="1" x14ac:dyDescent="0.2">
      <c r="A12" s="776" t="s">
        <v>127</v>
      </c>
      <c r="B12" s="777"/>
      <c r="C12" s="777"/>
      <c r="D12" s="777"/>
      <c r="E12" s="777"/>
      <c r="F12" s="777"/>
      <c r="G12" s="778"/>
      <c r="H12" s="204"/>
      <c r="I12" s="204"/>
      <c r="J12" s="204"/>
      <c r="K12" s="204"/>
    </row>
    <row r="13" spans="1:11" s="190" customFormat="1" ht="15" customHeight="1" x14ac:dyDescent="0.2">
      <c r="A13" s="207" t="s">
        <v>128</v>
      </c>
      <c r="B13" s="779" t="s">
        <v>129</v>
      </c>
      <c r="C13" s="780"/>
      <c r="D13" s="781"/>
      <c r="E13" s="200" t="s">
        <v>130</v>
      </c>
      <c r="F13" s="782" t="s">
        <v>131</v>
      </c>
      <c r="G13" s="783"/>
      <c r="H13" s="205"/>
      <c r="I13" s="205"/>
      <c r="J13" s="205"/>
      <c r="K13" s="205"/>
    </row>
    <row r="14" spans="1:11" s="1" customFormat="1" ht="35.25" customHeight="1" x14ac:dyDescent="0.2">
      <c r="A14" s="208">
        <v>1</v>
      </c>
      <c r="B14" s="761" t="s">
        <v>132</v>
      </c>
      <c r="C14" s="761"/>
      <c r="D14" s="761"/>
      <c r="E14" s="191" t="s">
        <v>133</v>
      </c>
      <c r="F14" s="762"/>
      <c r="G14" s="763"/>
      <c r="H14" s="206"/>
      <c r="I14" s="206"/>
      <c r="J14" s="206"/>
      <c r="K14" s="206"/>
    </row>
    <row r="15" spans="1:11" s="1" customFormat="1" ht="35.25" customHeight="1" x14ac:dyDescent="0.2">
      <c r="A15" s="208">
        <v>2</v>
      </c>
      <c r="B15" s="761" t="s">
        <v>134</v>
      </c>
      <c r="C15" s="761"/>
      <c r="D15" s="761"/>
      <c r="E15" s="191" t="s">
        <v>133</v>
      </c>
      <c r="F15" s="762"/>
      <c r="G15" s="763"/>
    </row>
    <row r="16" spans="1:11" s="1" customFormat="1" ht="35.25" customHeight="1" x14ac:dyDescent="0.2">
      <c r="A16" s="208">
        <v>3</v>
      </c>
      <c r="B16" s="761" t="s">
        <v>135</v>
      </c>
      <c r="C16" s="761"/>
      <c r="D16" s="761"/>
      <c r="E16" s="191" t="s">
        <v>133</v>
      </c>
      <c r="F16" s="762"/>
      <c r="G16" s="763"/>
    </row>
    <row r="17" spans="1:11" s="1" customFormat="1" ht="35.25" customHeight="1" x14ac:dyDescent="0.2">
      <c r="A17" s="208">
        <v>4</v>
      </c>
      <c r="B17" s="761" t="s">
        <v>136</v>
      </c>
      <c r="C17" s="761"/>
      <c r="D17" s="761"/>
      <c r="E17" s="191" t="s">
        <v>133</v>
      </c>
      <c r="F17" s="784"/>
      <c r="G17" s="785"/>
    </row>
    <row r="18" spans="1:11" s="1" customFormat="1" ht="35.25" customHeight="1" x14ac:dyDescent="0.2">
      <c r="A18" s="208">
        <v>5</v>
      </c>
      <c r="B18" s="761" t="s">
        <v>137</v>
      </c>
      <c r="C18" s="761"/>
      <c r="D18" s="761"/>
      <c r="E18" s="191" t="s">
        <v>133</v>
      </c>
      <c r="F18" s="762"/>
      <c r="G18" s="763"/>
    </row>
    <row r="19" spans="1:11" s="1" customFormat="1" ht="35.25" customHeight="1" x14ac:dyDescent="0.2">
      <c r="A19" s="208">
        <v>6</v>
      </c>
      <c r="B19" s="761" t="s">
        <v>138</v>
      </c>
      <c r="C19" s="761"/>
      <c r="D19" s="761"/>
      <c r="E19" s="191" t="s">
        <v>133</v>
      </c>
      <c r="F19" s="762"/>
      <c r="G19" s="763"/>
    </row>
    <row r="20" spans="1:11" s="1" customFormat="1" ht="35.25" customHeight="1" x14ac:dyDescent="0.2">
      <c r="A20" s="208">
        <v>7</v>
      </c>
      <c r="B20" s="761" t="s">
        <v>139</v>
      </c>
      <c r="C20" s="761"/>
      <c r="D20" s="761"/>
      <c r="E20" s="191" t="s">
        <v>133</v>
      </c>
      <c r="F20" s="762"/>
      <c r="G20" s="763"/>
    </row>
    <row r="21" spans="1:11" s="1" customFormat="1" ht="35.25" customHeight="1" x14ac:dyDescent="0.2">
      <c r="A21" s="208">
        <v>8</v>
      </c>
      <c r="B21" s="761" t="s">
        <v>140</v>
      </c>
      <c r="C21" s="761"/>
      <c r="D21" s="761"/>
      <c r="E21" s="191" t="s">
        <v>133</v>
      </c>
      <c r="F21" s="762"/>
      <c r="G21" s="763"/>
    </row>
    <row r="22" spans="1:11" s="1" customFormat="1" ht="35.25" customHeight="1" x14ac:dyDescent="0.2">
      <c r="A22" s="208">
        <v>9</v>
      </c>
      <c r="B22" s="761" t="s">
        <v>141</v>
      </c>
      <c r="C22" s="761"/>
      <c r="D22" s="761"/>
      <c r="E22" s="191" t="s">
        <v>133</v>
      </c>
      <c r="F22" s="762"/>
      <c r="G22" s="763"/>
    </row>
    <row r="23" spans="1:11" s="1" customFormat="1" ht="35.25" customHeight="1" x14ac:dyDescent="0.2">
      <c r="A23" s="208">
        <v>10</v>
      </c>
      <c r="B23" s="761" t="s">
        <v>142</v>
      </c>
      <c r="C23" s="761"/>
      <c r="D23" s="761"/>
      <c r="E23" s="191" t="s">
        <v>133</v>
      </c>
      <c r="F23" s="762"/>
      <c r="G23" s="763"/>
    </row>
    <row r="24" spans="1:11" s="1" customFormat="1" ht="35.25" customHeight="1" x14ac:dyDescent="0.2">
      <c r="A24" s="208">
        <v>11</v>
      </c>
      <c r="B24" s="761" t="s">
        <v>143</v>
      </c>
      <c r="C24" s="761"/>
      <c r="D24" s="761"/>
      <c r="E24" s="191" t="s">
        <v>133</v>
      </c>
      <c r="F24" s="762"/>
      <c r="G24" s="763"/>
    </row>
    <row r="25" spans="1:11" s="194" customFormat="1" ht="35.25" customHeight="1" x14ac:dyDescent="0.2">
      <c r="A25" s="209">
        <v>12</v>
      </c>
      <c r="B25" s="761" t="s">
        <v>144</v>
      </c>
      <c r="C25" s="761"/>
      <c r="D25" s="761"/>
      <c r="E25" s="193" t="s">
        <v>133</v>
      </c>
      <c r="F25" s="762"/>
      <c r="G25" s="763"/>
    </row>
    <row r="26" spans="1:11" s="1" customFormat="1" ht="35.25" customHeight="1" x14ac:dyDescent="0.2">
      <c r="A26" s="208">
        <v>13</v>
      </c>
      <c r="B26" s="761" t="s">
        <v>145</v>
      </c>
      <c r="C26" s="761"/>
      <c r="D26" s="761"/>
      <c r="E26" s="191" t="s">
        <v>133</v>
      </c>
      <c r="F26" s="762"/>
      <c r="G26" s="763"/>
    </row>
    <row r="27" spans="1:11" s="1" customFormat="1" ht="35.25" customHeight="1" x14ac:dyDescent="0.2">
      <c r="A27" s="208">
        <v>14</v>
      </c>
      <c r="B27" s="761" t="s">
        <v>146</v>
      </c>
      <c r="C27" s="761"/>
      <c r="D27" s="761"/>
      <c r="E27" s="191" t="s">
        <v>133</v>
      </c>
      <c r="F27" s="762"/>
      <c r="G27" s="763"/>
    </row>
    <row r="28" spans="1:11" s="1" customFormat="1" ht="54.75" customHeight="1" thickBot="1" x14ac:dyDescent="0.25">
      <c r="A28" s="210">
        <v>15</v>
      </c>
      <c r="B28" s="764" t="s">
        <v>147</v>
      </c>
      <c r="C28" s="764"/>
      <c r="D28" s="764"/>
      <c r="E28" s="211" t="s">
        <v>133</v>
      </c>
      <c r="F28" s="765"/>
      <c r="G28" s="766"/>
    </row>
    <row r="29" spans="1:11" s="198" customFormat="1" ht="21" customHeight="1" thickBot="1" x14ac:dyDescent="0.25">
      <c r="B29" s="195"/>
      <c r="C29" s="196"/>
      <c r="D29" s="196"/>
      <c r="E29" s="195"/>
      <c r="F29" s="196"/>
      <c r="G29" s="196"/>
      <c r="H29" s="197"/>
      <c r="I29" s="197"/>
    </row>
    <row r="30" spans="1:11" s="219" customFormat="1" ht="15" customHeight="1" x14ac:dyDescent="0.2">
      <c r="A30" s="767" t="s">
        <v>148</v>
      </c>
      <c r="B30" s="768"/>
      <c r="C30" s="768"/>
      <c r="D30" s="768"/>
      <c r="E30" s="768"/>
      <c r="F30" s="768"/>
      <c r="G30" s="769"/>
      <c r="H30" s="222"/>
      <c r="I30" s="223"/>
      <c r="J30" s="223"/>
      <c r="K30" s="223"/>
    </row>
    <row r="31" spans="1:11" s="219" customFormat="1" ht="15" customHeight="1" x14ac:dyDescent="0.2">
      <c r="A31" s="220" t="s">
        <v>128</v>
      </c>
      <c r="B31" s="759" t="s">
        <v>129</v>
      </c>
      <c r="C31" s="759"/>
      <c r="D31" s="759"/>
      <c r="E31" s="221" t="s">
        <v>130</v>
      </c>
      <c r="F31" s="759" t="s">
        <v>131</v>
      </c>
      <c r="G31" s="760"/>
      <c r="H31" s="224"/>
      <c r="I31" s="225"/>
      <c r="J31" s="225"/>
      <c r="K31" s="225"/>
    </row>
    <row r="32" spans="1:11" s="1" customFormat="1" ht="55.5" customHeight="1" x14ac:dyDescent="0.2">
      <c r="A32" s="216">
        <v>1</v>
      </c>
      <c r="B32" s="754" t="s">
        <v>149</v>
      </c>
      <c r="C32" s="754"/>
      <c r="D32" s="754"/>
      <c r="E32" s="199" t="s">
        <v>150</v>
      </c>
      <c r="F32" s="755"/>
      <c r="G32" s="756"/>
      <c r="H32" s="226"/>
      <c r="I32" s="206"/>
      <c r="J32" s="206"/>
      <c r="K32" s="206"/>
    </row>
    <row r="33" spans="1:9" s="1" customFormat="1" ht="25.5" customHeight="1" x14ac:dyDescent="0.2">
      <c r="A33" s="216">
        <v>2</v>
      </c>
      <c r="B33" s="754" t="s">
        <v>151</v>
      </c>
      <c r="C33" s="754"/>
      <c r="D33" s="754"/>
      <c r="E33" s="199" t="s">
        <v>150</v>
      </c>
      <c r="F33" s="755"/>
      <c r="G33" s="756"/>
    </row>
    <row r="34" spans="1:9" s="1" customFormat="1" ht="25.5" customHeight="1" x14ac:dyDescent="0.2">
      <c r="A34" s="216">
        <v>3</v>
      </c>
      <c r="B34" s="754" t="s">
        <v>152</v>
      </c>
      <c r="C34" s="754"/>
      <c r="D34" s="754"/>
      <c r="E34" s="199" t="s">
        <v>150</v>
      </c>
      <c r="F34" s="755"/>
      <c r="G34" s="756"/>
    </row>
    <row r="35" spans="1:9" s="1" customFormat="1" ht="25.5" customHeight="1" x14ac:dyDescent="0.2">
      <c r="A35" s="216">
        <v>4</v>
      </c>
      <c r="B35" s="754" t="s">
        <v>153</v>
      </c>
      <c r="C35" s="754"/>
      <c r="D35" s="754"/>
      <c r="E35" s="199" t="s">
        <v>154</v>
      </c>
      <c r="F35" s="755"/>
      <c r="G35" s="756"/>
    </row>
    <row r="36" spans="1:9" s="1" customFormat="1" ht="25.5" customHeight="1" x14ac:dyDescent="0.2">
      <c r="A36" s="216">
        <v>5</v>
      </c>
      <c r="B36" s="754" t="s">
        <v>155</v>
      </c>
      <c r="C36" s="754"/>
      <c r="D36" s="754"/>
      <c r="E36" s="199" t="s">
        <v>154</v>
      </c>
      <c r="F36" s="757"/>
      <c r="G36" s="758"/>
    </row>
    <row r="37" spans="1:9" s="1" customFormat="1" ht="25.5" customHeight="1" thickBot="1" x14ac:dyDescent="0.25">
      <c r="A37" s="217">
        <v>6</v>
      </c>
      <c r="B37" s="748" t="s">
        <v>156</v>
      </c>
      <c r="C37" s="748"/>
      <c r="D37" s="748"/>
      <c r="E37" s="218" t="s">
        <v>154</v>
      </c>
      <c r="F37" s="749"/>
      <c r="G37" s="750"/>
    </row>
    <row r="38" spans="1:9" s="1" customFormat="1" thickBot="1" x14ac:dyDescent="0.25">
      <c r="A38" s="233"/>
      <c r="B38" s="234"/>
      <c r="C38" s="234"/>
      <c r="D38" s="234"/>
      <c r="E38" s="235"/>
      <c r="F38" s="235"/>
      <c r="G38" s="235"/>
    </row>
    <row r="39" spans="1:9" ht="15.75" thickBot="1" x14ac:dyDescent="0.3">
      <c r="B39" s="751" t="s">
        <v>162</v>
      </c>
      <c r="C39" s="752"/>
      <c r="D39" s="752"/>
      <c r="E39" s="752"/>
      <c r="F39" s="752"/>
      <c r="G39" s="753"/>
    </row>
    <row r="40" spans="1:9" ht="79.5" thickBot="1" x14ac:dyDescent="0.3">
      <c r="B40" s="2" t="s">
        <v>39</v>
      </c>
      <c r="C40" s="11" t="s">
        <v>92</v>
      </c>
      <c r="D40" s="11" t="s">
        <v>93</v>
      </c>
      <c r="E40" s="2" t="s">
        <v>94</v>
      </c>
      <c r="F40" s="2" t="s">
        <v>95</v>
      </c>
      <c r="G40" s="21" t="s">
        <v>96</v>
      </c>
    </row>
    <row r="41" spans="1:9" ht="15.75" thickBot="1" x14ac:dyDescent="0.3">
      <c r="B41" s="3" t="e">
        <f>'CARTA DE CONTROL'!#REF!</f>
        <v>#REF!</v>
      </c>
      <c r="C41" s="4" t="e">
        <f>'CARTA DE CONTROL'!#REF!</f>
        <v>#REF!</v>
      </c>
      <c r="D41" s="4" t="e">
        <f>'CARTA DE CONTROL'!#REF!</f>
        <v>#REF!</v>
      </c>
      <c r="E41" s="6" t="e">
        <f>'CARTA DE CONTROL'!#REF!</f>
        <v>#REF!</v>
      </c>
      <c r="F41" s="7" t="e">
        <f>-('CARTA DE CONTROL'!#REF!)</f>
        <v>#REF!</v>
      </c>
      <c r="G41" s="5" t="e">
        <f>IF(C41&lt;=0.4,IF(D41&gt;=-0.4,"PASS","NO PASS"))</f>
        <v>#REF!</v>
      </c>
    </row>
    <row r="42" spans="1:9" ht="15.75" thickBot="1" x14ac:dyDescent="0.3">
      <c r="B42" s="3" t="e">
        <f>'CARTA DE CONTROL'!#REF!</f>
        <v>#REF!</v>
      </c>
      <c r="C42" s="4" t="e">
        <f>'CARTA DE CONTROL'!#REF!</f>
        <v>#REF!</v>
      </c>
      <c r="D42" s="4" t="e">
        <f>'CARTA DE CONTROL'!#REF!</f>
        <v>#REF!</v>
      </c>
      <c r="E42" s="6" t="e">
        <f>'CARTA DE CONTROL'!#REF!</f>
        <v>#REF!</v>
      </c>
      <c r="F42" s="7" t="e">
        <f>-('CARTA DE CONTROL'!#REF!)</f>
        <v>#REF!</v>
      </c>
      <c r="G42" s="5" t="e">
        <f>IF(C42&lt;=0.4,IF(D42&gt;=-0.4,"PASS","NO PASS"))</f>
        <v>#REF!</v>
      </c>
    </row>
    <row r="43" spans="1:9" ht="15.75" thickBot="1" x14ac:dyDescent="0.3">
      <c r="B43" s="3" t="e">
        <f>'CARTA DE CONTROL'!#REF!</f>
        <v>#REF!</v>
      </c>
      <c r="C43" s="4" t="e">
        <f>'CARTA DE CONTROL'!#REF!</f>
        <v>#REF!</v>
      </c>
      <c r="D43" s="4" t="e">
        <f>'CARTA DE CONTROL'!#REF!</f>
        <v>#REF!</v>
      </c>
      <c r="E43" s="6" t="e">
        <f>'CARTA DE CONTROL'!#REF!</f>
        <v>#REF!</v>
      </c>
      <c r="F43" s="7" t="e">
        <f>-('CARTA DE CONTROL'!#REF!)</f>
        <v>#REF!</v>
      </c>
      <c r="G43" s="5" t="e">
        <f>IF(C43&lt;=0.4,IF(D43&gt;=-0.4,"PASS","NO PASS"))</f>
        <v>#REF!</v>
      </c>
    </row>
    <row r="44" spans="1:9" ht="15.75" thickBot="1" x14ac:dyDescent="0.3">
      <c r="B44" s="3" t="e">
        <f>'CARTA DE CONTROL'!#REF!</f>
        <v>#REF!</v>
      </c>
      <c r="C44" s="4" t="e">
        <f>'CARTA DE CONTROL'!#REF!</f>
        <v>#REF!</v>
      </c>
      <c r="D44" s="4" t="e">
        <f>'CARTA DE CONTROL'!#REF!</f>
        <v>#REF!</v>
      </c>
      <c r="E44" s="6" t="e">
        <f>'CARTA DE CONTROL'!#REF!</f>
        <v>#REF!</v>
      </c>
      <c r="F44" s="7" t="e">
        <f>-('CARTA DE CONTROL'!#REF!)</f>
        <v>#REF!</v>
      </c>
      <c r="G44" s="5" t="e">
        <f>IF(C44&lt;=0.4,IF(D44&gt;=-0.4,"PASS","NO PASS"))</f>
        <v>#REF!</v>
      </c>
    </row>
    <row r="45" spans="1:9" x14ac:dyDescent="0.25">
      <c r="B45" s="1"/>
      <c r="C45" s="1"/>
      <c r="D45" s="1"/>
      <c r="E45" s="1"/>
      <c r="F45" s="1"/>
      <c r="G45" s="1"/>
      <c r="H45" s="1"/>
      <c r="I45" s="1"/>
    </row>
    <row r="46" spans="1:9" x14ac:dyDescent="0.25">
      <c r="B46" s="1"/>
      <c r="C46" s="1"/>
      <c r="D46" s="1"/>
      <c r="E46" s="1"/>
    </row>
    <row r="47" spans="1:9" x14ac:dyDescent="0.25">
      <c r="B47" s="1"/>
      <c r="C47" s="1"/>
      <c r="D47" s="1"/>
      <c r="E47" s="1"/>
    </row>
    <row r="48" spans="1:9" x14ac:dyDescent="0.25">
      <c r="B48" s="1"/>
      <c r="C48" s="1"/>
      <c r="D48" s="1"/>
      <c r="E48" s="1"/>
    </row>
    <row r="49" spans="2:9" x14ac:dyDescent="0.25">
      <c r="B49" s="1"/>
      <c r="C49" s="1"/>
      <c r="D49" s="1"/>
      <c r="E49" s="1"/>
      <c r="F49" s="1"/>
      <c r="G49" s="1"/>
      <c r="H49" s="1"/>
      <c r="I49" s="1"/>
    </row>
    <row r="50" spans="2:9" x14ac:dyDescent="0.25">
      <c r="B50" s="1"/>
      <c r="C50" s="1"/>
      <c r="D50" s="1"/>
      <c r="E50" s="1"/>
      <c r="F50" s="1"/>
      <c r="G50" s="1"/>
      <c r="H50" s="1"/>
      <c r="I50" s="1"/>
    </row>
    <row r="51" spans="2:9" x14ac:dyDescent="0.25">
      <c r="B51" s="1"/>
      <c r="C51" s="1"/>
      <c r="D51" s="1"/>
      <c r="E51" s="1"/>
      <c r="F51" s="1"/>
      <c r="G51" s="1"/>
      <c r="H51" s="1"/>
      <c r="I51" s="1"/>
    </row>
    <row r="52" spans="2:9" x14ac:dyDescent="0.25">
      <c r="B52" s="1"/>
      <c r="C52" s="1"/>
      <c r="D52" s="1"/>
      <c r="E52" s="1"/>
      <c r="F52" s="1"/>
      <c r="G52" s="1"/>
      <c r="H52" s="1"/>
      <c r="I52" s="1"/>
    </row>
    <row r="53" spans="2:9" x14ac:dyDescent="0.25">
      <c r="B53" s="1"/>
      <c r="C53" s="1"/>
      <c r="D53" s="1"/>
      <c r="E53" s="1"/>
      <c r="F53" s="1"/>
      <c r="G53" s="1"/>
      <c r="H53" s="1"/>
      <c r="I53" s="1"/>
    </row>
    <row r="54" spans="2:9" x14ac:dyDescent="0.25">
      <c r="B54" s="1"/>
      <c r="C54" s="1"/>
      <c r="D54" s="1"/>
      <c r="E54" s="1"/>
      <c r="F54" s="1"/>
      <c r="G54" s="1"/>
      <c r="H54" s="1"/>
      <c r="I54" s="1"/>
    </row>
    <row r="55" spans="2:9" x14ac:dyDescent="0.25">
      <c r="B55" s="1"/>
      <c r="C55" s="1"/>
      <c r="D55" s="1"/>
      <c r="E55" s="1"/>
      <c r="F55" s="1"/>
      <c r="G55" s="1"/>
      <c r="H55" s="1"/>
      <c r="I55" s="1"/>
    </row>
    <row r="56" spans="2:9" x14ac:dyDescent="0.25">
      <c r="B56" s="1"/>
      <c r="C56" s="1"/>
      <c r="D56" s="1"/>
      <c r="E56" s="1"/>
      <c r="F56" s="1"/>
      <c r="G56" s="1"/>
      <c r="H56" s="1"/>
      <c r="I56" s="1"/>
    </row>
    <row r="57" spans="2:9" x14ac:dyDescent="0.25">
      <c r="B57" s="1"/>
      <c r="C57" s="1"/>
      <c r="D57" s="1"/>
      <c r="E57" s="1"/>
      <c r="F57" s="1"/>
      <c r="G57" s="1"/>
      <c r="H57" s="1"/>
      <c r="I57" s="1"/>
    </row>
    <row r="58" spans="2:9" x14ac:dyDescent="0.25">
      <c r="B58" s="1"/>
      <c r="C58" s="1"/>
      <c r="D58" s="1"/>
      <c r="E58" s="1"/>
      <c r="F58" s="1"/>
      <c r="G58" s="1"/>
      <c r="H58" s="1"/>
      <c r="I58" s="1"/>
    </row>
    <row r="62" spans="2:9" ht="15.75" thickBot="1" x14ac:dyDescent="0.3"/>
    <row r="63" spans="2:9" ht="15.75" thickBot="1" x14ac:dyDescent="0.3">
      <c r="C63" s="751" t="s">
        <v>83</v>
      </c>
      <c r="D63" s="752"/>
      <c r="E63" s="752"/>
      <c r="F63" s="753"/>
    </row>
    <row r="64" spans="2:9" ht="45.75" thickBot="1" x14ac:dyDescent="0.3">
      <c r="C64" s="2" t="s">
        <v>39</v>
      </c>
      <c r="D64" s="10" t="s">
        <v>84</v>
      </c>
      <c r="E64" s="2" t="s">
        <v>85</v>
      </c>
      <c r="F64" s="21" t="s">
        <v>86</v>
      </c>
    </row>
    <row r="65" spans="2:6" ht="15.75" thickBot="1" x14ac:dyDescent="0.3">
      <c r="B65" s="232"/>
      <c r="C65" s="3" t="e">
        <f>'CARTA DE CONTROL'!#REF!</f>
        <v>#REF!</v>
      </c>
      <c r="D65" s="4" t="e">
        <f>'CARTA DE CONTROL'!#REF!</f>
        <v>#REF!</v>
      </c>
      <c r="E65" s="6" t="e">
        <f>'CARTA DE CONTROL'!#REF!</f>
        <v>#REF!</v>
      </c>
      <c r="F65" s="5" t="e">
        <f>IF(D65&lt;=0.02,IF(D65&gt;=-0.02,"PASS","NO PASS"))</f>
        <v>#REF!</v>
      </c>
    </row>
    <row r="66" spans="2:6" ht="15.75" thickBot="1" x14ac:dyDescent="0.3">
      <c r="C66" s="3" t="e">
        <f>'CARTA DE CONTROL'!#REF!</f>
        <v>#REF!</v>
      </c>
      <c r="D66" s="4" t="e">
        <f>'CARTA DE CONTROL'!#REF!</f>
        <v>#REF!</v>
      </c>
      <c r="E66" s="6" t="e">
        <f>'CARTA DE CONTROL'!#REF!</f>
        <v>#REF!</v>
      </c>
      <c r="F66" s="5" t="e">
        <f>IF(D66&lt;=0.02,IF(D66&gt;=-0.02,"PASS","NO PASS"))</f>
        <v>#REF!</v>
      </c>
    </row>
    <row r="67" spans="2:6" ht="15.75" thickBot="1" x14ac:dyDescent="0.3">
      <c r="C67" s="3" t="e">
        <f>'CARTA DE CONTROL'!#REF!</f>
        <v>#REF!</v>
      </c>
      <c r="D67" s="4" t="e">
        <f>'CARTA DE CONTROL'!#REF!</f>
        <v>#REF!</v>
      </c>
      <c r="E67" s="6" t="e">
        <f>'CARTA DE CONTROL'!#REF!</f>
        <v>#REF!</v>
      </c>
      <c r="F67" s="5" t="e">
        <f>IF(D67&lt;=0.02,IF(D67&gt;=-0.02,"PASS","NO PASS"))</f>
        <v>#REF!</v>
      </c>
    </row>
    <row r="68" spans="2:6" ht="15.75" thickBot="1" x14ac:dyDescent="0.3">
      <c r="C68" s="3" t="e">
        <f>'CARTA DE CONTROL'!#REF!</f>
        <v>#REF!</v>
      </c>
      <c r="D68" s="4" t="e">
        <f>'CARTA DE CONTROL'!#REF!</f>
        <v>#REF!</v>
      </c>
      <c r="E68" s="6" t="e">
        <f>'CARTA DE CONTROL'!#REF!</f>
        <v>#REF!</v>
      </c>
      <c r="F68" s="5" t="e">
        <f>IF(D68&lt;=0.02,IF(D68&gt;=-0.02,"PASS","NO PASS"))</f>
        <v>#REF!</v>
      </c>
    </row>
    <row r="80" spans="2:6" ht="15.75" thickBot="1" x14ac:dyDescent="0.3"/>
    <row r="81" spans="3:7" ht="15.75" thickBot="1" x14ac:dyDescent="0.3">
      <c r="C81" s="751" t="s">
        <v>87</v>
      </c>
      <c r="D81" s="752"/>
      <c r="E81" s="752"/>
      <c r="F81" s="753"/>
      <c r="G81" s="230"/>
    </row>
    <row r="82" spans="3:7" ht="45.75" thickBot="1" x14ac:dyDescent="0.3">
      <c r="C82" s="2" t="s">
        <v>39</v>
      </c>
      <c r="D82" s="10" t="s">
        <v>88</v>
      </c>
      <c r="E82" s="2" t="s">
        <v>85</v>
      </c>
      <c r="F82" s="21" t="s">
        <v>86</v>
      </c>
    </row>
    <row r="83" spans="3:7" ht="15.75" thickBot="1" x14ac:dyDescent="0.3">
      <c r="C83" s="3" t="e">
        <f>'CARTA DE CONTROL'!#REF!</f>
        <v>#REF!</v>
      </c>
      <c r="D83" s="4" t="e">
        <f>'CARTA DE CONTROL'!#REF!</f>
        <v>#REF!</v>
      </c>
      <c r="E83" s="6" t="e">
        <f>'CARTA DE CONTROL'!#REF!</f>
        <v>#REF!</v>
      </c>
      <c r="F83" s="5" t="e">
        <f>IF(D83&lt;=0.02,IF(D83&gt;=-0.02,"PASS","NO PASS"))</f>
        <v>#REF!</v>
      </c>
    </row>
    <row r="84" spans="3:7" ht="15.75" thickBot="1" x14ac:dyDescent="0.3">
      <c r="C84" s="3" t="e">
        <f>'CARTA DE CONTROL'!#REF!</f>
        <v>#REF!</v>
      </c>
      <c r="D84" s="4" t="e">
        <f>'CARTA DE CONTROL'!#REF!</f>
        <v>#REF!</v>
      </c>
      <c r="E84" s="6" t="e">
        <f>'CARTA DE CONTROL'!#REF!</f>
        <v>#REF!</v>
      </c>
      <c r="F84" s="5" t="e">
        <f t="shared" ref="F84:F86" si="0">IF(D84&lt;=0.02,IF(D84&gt;=-0.02,"PASS","NO PASS"))</f>
        <v>#REF!</v>
      </c>
    </row>
    <row r="85" spans="3:7" ht="15.75" thickBot="1" x14ac:dyDescent="0.3">
      <c r="C85" s="3" t="e">
        <f>'CARTA DE CONTROL'!#REF!</f>
        <v>#REF!</v>
      </c>
      <c r="D85" s="4" t="e">
        <f>'CARTA DE CONTROL'!#REF!</f>
        <v>#REF!</v>
      </c>
      <c r="E85" s="6" t="e">
        <f>'CARTA DE CONTROL'!#REF!</f>
        <v>#REF!</v>
      </c>
      <c r="F85" s="5" t="e">
        <f t="shared" si="0"/>
        <v>#REF!</v>
      </c>
    </row>
    <row r="86" spans="3:7" ht="15.75" thickBot="1" x14ac:dyDescent="0.3">
      <c r="C86" s="3" t="e">
        <f>'CARTA DE CONTROL'!#REF!</f>
        <v>#REF!</v>
      </c>
      <c r="D86" s="4" t="e">
        <f>'CARTA DE CONTROL'!#REF!</f>
        <v>#REF!</v>
      </c>
      <c r="E86" s="6" t="e">
        <f>'CARTA DE CONTROL'!#REF!</f>
        <v>#REF!</v>
      </c>
      <c r="F86" s="5" t="e">
        <f t="shared" si="0"/>
        <v>#REF!</v>
      </c>
    </row>
  </sheetData>
  <mergeCells count="55">
    <mergeCell ref="C63:F63"/>
    <mergeCell ref="C81:F81"/>
    <mergeCell ref="C7:E7"/>
    <mergeCell ref="C8:E8"/>
    <mergeCell ref="C9:E9"/>
    <mergeCell ref="C10:E10"/>
    <mergeCell ref="A12:G12"/>
    <mergeCell ref="B13:D13"/>
    <mergeCell ref="F13:G13"/>
    <mergeCell ref="B14:D14"/>
    <mergeCell ref="F14:G14"/>
    <mergeCell ref="B15:D15"/>
    <mergeCell ref="F15:G15"/>
    <mergeCell ref="B16:D16"/>
    <mergeCell ref="F16:G16"/>
    <mergeCell ref="B17:D17"/>
    <mergeCell ref="F17:G17"/>
    <mergeCell ref="B18:D18"/>
    <mergeCell ref="F18:G18"/>
    <mergeCell ref="B19:D19"/>
    <mergeCell ref="F19:G19"/>
    <mergeCell ref="B20:D20"/>
    <mergeCell ref="F20:G20"/>
    <mergeCell ref="B21:D21"/>
    <mergeCell ref="F21:G21"/>
    <mergeCell ref="B22:D22"/>
    <mergeCell ref="F22:G22"/>
    <mergeCell ref="B23:D23"/>
    <mergeCell ref="F23:G23"/>
    <mergeCell ref="B24:D24"/>
    <mergeCell ref="F24:G24"/>
    <mergeCell ref="B36:D36"/>
    <mergeCell ref="F36:G36"/>
    <mergeCell ref="B25:D25"/>
    <mergeCell ref="F25:G25"/>
    <mergeCell ref="B26:D26"/>
    <mergeCell ref="F26:G26"/>
    <mergeCell ref="B27:D27"/>
    <mergeCell ref="F27:G27"/>
    <mergeCell ref="B37:D37"/>
    <mergeCell ref="F37:G37"/>
    <mergeCell ref="B28:D28"/>
    <mergeCell ref="F28:G28"/>
    <mergeCell ref="B39:G39"/>
    <mergeCell ref="A30:G30"/>
    <mergeCell ref="B31:D31"/>
    <mergeCell ref="F31:G31"/>
    <mergeCell ref="B32:D32"/>
    <mergeCell ref="F32:G32"/>
    <mergeCell ref="B33:D33"/>
    <mergeCell ref="F33:G33"/>
    <mergeCell ref="B34:D34"/>
    <mergeCell ref="F34:G34"/>
    <mergeCell ref="B35:D35"/>
    <mergeCell ref="F35:G35"/>
  </mergeCells>
  <conditionalFormatting sqref="G41:G44">
    <cfRule type="cellIs" dxfId="33" priority="17" operator="lessThan">
      <formula>$I$73</formula>
    </cfRule>
    <cfRule type="cellIs" dxfId="32" priority="18" operator="lessThan">
      <formula>0.05</formula>
    </cfRule>
  </conditionalFormatting>
  <conditionalFormatting sqref="F65">
    <cfRule type="cellIs" dxfId="31" priority="15" operator="lessThan">
      <formula>$I$71</formula>
    </cfRule>
    <cfRule type="cellIs" dxfId="30" priority="16" operator="lessThan">
      <formula>0.05</formula>
    </cfRule>
  </conditionalFormatting>
  <conditionalFormatting sqref="F83">
    <cfRule type="cellIs" dxfId="29" priority="13" operator="lessThan">
      <formula>$I$71</formula>
    </cfRule>
    <cfRule type="cellIs" dxfId="28" priority="14" operator="lessThan">
      <formula>0.05</formula>
    </cfRule>
  </conditionalFormatting>
  <conditionalFormatting sqref="F66">
    <cfRule type="cellIs" dxfId="27" priority="7" operator="lessThan">
      <formula>$I$71</formula>
    </cfRule>
    <cfRule type="cellIs" dxfId="26" priority="8" operator="lessThan">
      <formula>0.05</formula>
    </cfRule>
  </conditionalFormatting>
  <conditionalFormatting sqref="F67">
    <cfRule type="cellIs" dxfId="25" priority="5" operator="lessThan">
      <formula>$I$71</formula>
    </cfRule>
    <cfRule type="cellIs" dxfId="24" priority="6" operator="lessThan">
      <formula>0.05</formula>
    </cfRule>
  </conditionalFormatting>
  <conditionalFormatting sqref="F68">
    <cfRule type="cellIs" dxfId="23" priority="3" operator="lessThan">
      <formula>$I$71</formula>
    </cfRule>
    <cfRule type="cellIs" dxfId="22" priority="4" operator="lessThan">
      <formula>0.05</formula>
    </cfRule>
  </conditionalFormatting>
  <conditionalFormatting sqref="F84:F86">
    <cfRule type="cellIs" dxfId="21" priority="1" operator="lessThan">
      <formula>$I$71</formula>
    </cfRule>
    <cfRule type="cellIs" dxfId="20" priority="2" operator="lessThan">
      <formula>0.05</formula>
    </cfRule>
  </conditionalFormatting>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5"/>
  <sheetViews>
    <sheetView topLeftCell="C1" zoomScale="160" zoomScaleNormal="160" workbookViewId="0">
      <selection activeCell="D69" sqref="D69"/>
    </sheetView>
  </sheetViews>
  <sheetFormatPr baseColWidth="10" defaultRowHeight="15" x14ac:dyDescent="0.25"/>
  <cols>
    <col min="1" max="1" width="4.28515625" customWidth="1"/>
    <col min="2" max="2" width="16.5703125" customWidth="1"/>
    <col min="3" max="3" width="22.85546875" customWidth="1"/>
    <col min="4" max="4" width="21.7109375" customWidth="1"/>
    <col min="5" max="5" width="21" customWidth="1"/>
    <col min="6" max="6" width="22.7109375" customWidth="1"/>
    <col min="9" max="9" width="13" customWidth="1"/>
  </cols>
  <sheetData>
    <row r="1" spans="1:11" ht="15" customHeight="1" x14ac:dyDescent="0.25">
      <c r="E1" s="214"/>
    </row>
    <row r="2" spans="1:11" ht="15" customHeight="1" x14ac:dyDescent="0.25">
      <c r="B2" s="189"/>
      <c r="C2" s="189"/>
      <c r="D2" s="189"/>
      <c r="E2" s="215"/>
      <c r="F2" s="189"/>
      <c r="G2" s="189"/>
      <c r="H2" s="189"/>
    </row>
    <row r="3" spans="1:11" ht="15" customHeight="1" x14ac:dyDescent="0.25">
      <c r="B3" s="189"/>
      <c r="C3" s="189"/>
      <c r="D3" s="189"/>
      <c r="E3" s="215"/>
      <c r="F3" s="189"/>
      <c r="G3" s="189"/>
      <c r="H3" s="189"/>
    </row>
    <row r="4" spans="1:11" ht="15" customHeight="1" x14ac:dyDescent="0.25">
      <c r="B4" s="189"/>
      <c r="C4" s="189"/>
      <c r="D4" s="189"/>
      <c r="E4" s="215"/>
      <c r="F4" s="189"/>
      <c r="G4" s="189"/>
      <c r="H4" s="189"/>
    </row>
    <row r="5" spans="1:11" ht="15" customHeight="1" x14ac:dyDescent="0.25">
      <c r="B5" s="189"/>
      <c r="C5" s="189"/>
      <c r="D5" s="189"/>
      <c r="E5" s="215"/>
      <c r="F5" s="189"/>
      <c r="G5" s="189"/>
      <c r="H5" s="189"/>
    </row>
    <row r="6" spans="1:11" ht="15" customHeight="1" x14ac:dyDescent="0.25">
      <c r="B6" s="189"/>
      <c r="C6" s="189"/>
      <c r="D6" s="189"/>
      <c r="E6" s="215"/>
      <c r="F6" s="189"/>
      <c r="G6" s="189"/>
      <c r="H6" s="189"/>
    </row>
    <row r="7" spans="1:11" x14ac:dyDescent="0.25">
      <c r="B7" s="231" t="s">
        <v>157</v>
      </c>
      <c r="C7" s="770" t="e">
        <f>'CARTA DE CONTROL'!#REF!</f>
        <v>#REF!</v>
      </c>
      <c r="D7" s="771"/>
      <c r="E7" s="772"/>
    </row>
    <row r="8" spans="1:11" x14ac:dyDescent="0.25">
      <c r="B8" s="231" t="s">
        <v>158</v>
      </c>
      <c r="C8" s="770" t="e">
        <f>'CARTA DE CONTROL'!#REF!</f>
        <v>#REF!</v>
      </c>
      <c r="D8" s="771"/>
      <c r="E8" s="772"/>
    </row>
    <row r="9" spans="1:11" x14ac:dyDescent="0.25">
      <c r="B9" s="231" t="s">
        <v>159</v>
      </c>
      <c r="C9" s="770" t="e">
        <f>'CARTA DE CONTROL'!#REF!</f>
        <v>#REF!</v>
      </c>
      <c r="D9" s="771"/>
      <c r="E9" s="772"/>
    </row>
    <row r="10" spans="1:11" x14ac:dyDescent="0.25">
      <c r="B10" s="231" t="s">
        <v>160</v>
      </c>
      <c r="C10" s="773" t="e">
        <f>'CARTA DE CONTROL'!#REF!</f>
        <v>#REF!</v>
      </c>
      <c r="D10" s="774"/>
      <c r="E10" s="775"/>
    </row>
    <row r="11" spans="1:11" ht="15" customHeight="1" thickBot="1" x14ac:dyDescent="0.3">
      <c r="B11" s="189"/>
      <c r="C11" s="189"/>
      <c r="D11" s="189"/>
      <c r="E11" s="215"/>
      <c r="F11" s="189"/>
      <c r="G11" s="189"/>
      <c r="H11" s="202"/>
      <c r="I11" s="203"/>
      <c r="J11" s="203"/>
      <c r="K11" s="203"/>
    </row>
    <row r="12" spans="1:11" s="190" customFormat="1" ht="34.5" customHeight="1" x14ac:dyDescent="0.2">
      <c r="A12" s="776" t="s">
        <v>127</v>
      </c>
      <c r="B12" s="777"/>
      <c r="C12" s="777"/>
      <c r="D12" s="777"/>
      <c r="E12" s="777"/>
      <c r="F12" s="777"/>
      <c r="G12" s="778"/>
      <c r="H12" s="204"/>
      <c r="I12" s="204"/>
      <c r="J12" s="204"/>
      <c r="K12" s="204"/>
    </row>
    <row r="13" spans="1:11" s="190" customFormat="1" ht="15" customHeight="1" x14ac:dyDescent="0.2">
      <c r="A13" s="207" t="s">
        <v>128</v>
      </c>
      <c r="B13" s="779" t="s">
        <v>129</v>
      </c>
      <c r="C13" s="780"/>
      <c r="D13" s="781"/>
      <c r="E13" s="200" t="s">
        <v>130</v>
      </c>
      <c r="F13" s="782" t="s">
        <v>131</v>
      </c>
      <c r="G13" s="783"/>
      <c r="H13" s="205"/>
      <c r="I13" s="205"/>
      <c r="J13" s="205"/>
      <c r="K13" s="205"/>
    </row>
    <row r="14" spans="1:11" s="1" customFormat="1" ht="35.25" customHeight="1" x14ac:dyDescent="0.2">
      <c r="A14" s="208">
        <v>1</v>
      </c>
      <c r="B14" s="761" t="s">
        <v>132</v>
      </c>
      <c r="C14" s="761"/>
      <c r="D14" s="761"/>
      <c r="E14" s="191" t="s">
        <v>133</v>
      </c>
      <c r="F14" s="762"/>
      <c r="G14" s="763"/>
      <c r="H14" s="206"/>
      <c r="I14" s="206"/>
      <c r="J14" s="206"/>
      <c r="K14" s="206"/>
    </row>
    <row r="15" spans="1:11" s="1" customFormat="1" ht="35.25" customHeight="1" x14ac:dyDescent="0.2">
      <c r="A15" s="208">
        <v>2</v>
      </c>
      <c r="B15" s="761" t="s">
        <v>134</v>
      </c>
      <c r="C15" s="761"/>
      <c r="D15" s="761"/>
      <c r="E15" s="191" t="s">
        <v>133</v>
      </c>
      <c r="F15" s="762"/>
      <c r="G15" s="763"/>
    </row>
    <row r="16" spans="1:11" s="1" customFormat="1" ht="35.25" customHeight="1" x14ac:dyDescent="0.2">
      <c r="A16" s="208">
        <v>3</v>
      </c>
      <c r="B16" s="761" t="s">
        <v>135</v>
      </c>
      <c r="C16" s="761"/>
      <c r="D16" s="761"/>
      <c r="E16" s="191" t="s">
        <v>133</v>
      </c>
      <c r="F16" s="762"/>
      <c r="G16" s="763"/>
    </row>
    <row r="17" spans="1:11" s="1" customFormat="1" ht="35.25" customHeight="1" x14ac:dyDescent="0.2">
      <c r="A17" s="208">
        <v>4</v>
      </c>
      <c r="B17" s="761" t="s">
        <v>136</v>
      </c>
      <c r="C17" s="761"/>
      <c r="D17" s="761"/>
      <c r="E17" s="191" t="s">
        <v>133</v>
      </c>
      <c r="F17" s="784"/>
      <c r="G17" s="785"/>
    </row>
    <row r="18" spans="1:11" s="1" customFormat="1" ht="35.25" customHeight="1" x14ac:dyDescent="0.2">
      <c r="A18" s="208">
        <v>5</v>
      </c>
      <c r="B18" s="761" t="s">
        <v>137</v>
      </c>
      <c r="C18" s="761"/>
      <c r="D18" s="761"/>
      <c r="E18" s="191" t="s">
        <v>133</v>
      </c>
      <c r="F18" s="762"/>
      <c r="G18" s="763"/>
    </row>
    <row r="19" spans="1:11" s="1" customFormat="1" ht="35.25" customHeight="1" x14ac:dyDescent="0.2">
      <c r="A19" s="208">
        <v>6</v>
      </c>
      <c r="B19" s="761" t="s">
        <v>138</v>
      </c>
      <c r="C19" s="761"/>
      <c r="D19" s="761"/>
      <c r="E19" s="191" t="s">
        <v>133</v>
      </c>
      <c r="F19" s="762"/>
      <c r="G19" s="763"/>
    </row>
    <row r="20" spans="1:11" s="1" customFormat="1" ht="35.25" customHeight="1" x14ac:dyDescent="0.2">
      <c r="A20" s="208">
        <v>7</v>
      </c>
      <c r="B20" s="761" t="s">
        <v>139</v>
      </c>
      <c r="C20" s="761"/>
      <c r="D20" s="761"/>
      <c r="E20" s="191" t="s">
        <v>133</v>
      </c>
      <c r="F20" s="762"/>
      <c r="G20" s="763"/>
    </row>
    <row r="21" spans="1:11" s="1" customFormat="1" ht="35.25" customHeight="1" x14ac:dyDescent="0.2">
      <c r="A21" s="208">
        <v>8</v>
      </c>
      <c r="B21" s="761" t="s">
        <v>140</v>
      </c>
      <c r="C21" s="761"/>
      <c r="D21" s="761"/>
      <c r="E21" s="191" t="s">
        <v>133</v>
      </c>
      <c r="F21" s="762"/>
      <c r="G21" s="763"/>
    </row>
    <row r="22" spans="1:11" s="1" customFormat="1" ht="35.25" customHeight="1" x14ac:dyDescent="0.2">
      <c r="A22" s="208">
        <v>9</v>
      </c>
      <c r="B22" s="761" t="s">
        <v>141</v>
      </c>
      <c r="C22" s="761"/>
      <c r="D22" s="761"/>
      <c r="E22" s="191" t="s">
        <v>133</v>
      </c>
      <c r="F22" s="762"/>
      <c r="G22" s="763"/>
    </row>
    <row r="23" spans="1:11" s="1" customFormat="1" ht="35.25" customHeight="1" x14ac:dyDescent="0.2">
      <c r="A23" s="208">
        <v>10</v>
      </c>
      <c r="B23" s="761" t="s">
        <v>142</v>
      </c>
      <c r="C23" s="761"/>
      <c r="D23" s="761"/>
      <c r="E23" s="191" t="s">
        <v>133</v>
      </c>
      <c r="F23" s="762"/>
      <c r="G23" s="763"/>
    </row>
    <row r="24" spans="1:11" s="1" customFormat="1" ht="35.25" customHeight="1" x14ac:dyDescent="0.2">
      <c r="A24" s="208">
        <v>11</v>
      </c>
      <c r="B24" s="761" t="s">
        <v>143</v>
      </c>
      <c r="C24" s="761"/>
      <c r="D24" s="761"/>
      <c r="E24" s="191" t="s">
        <v>133</v>
      </c>
      <c r="F24" s="762"/>
      <c r="G24" s="763"/>
    </row>
    <row r="25" spans="1:11" s="194" customFormat="1" ht="35.25" customHeight="1" x14ac:dyDescent="0.2">
      <c r="A25" s="209">
        <v>12</v>
      </c>
      <c r="B25" s="761" t="s">
        <v>144</v>
      </c>
      <c r="C25" s="761"/>
      <c r="D25" s="761"/>
      <c r="E25" s="193" t="s">
        <v>133</v>
      </c>
      <c r="F25" s="762"/>
      <c r="G25" s="763"/>
    </row>
    <row r="26" spans="1:11" s="1" customFormat="1" ht="35.25" customHeight="1" x14ac:dyDescent="0.2">
      <c r="A26" s="208">
        <v>13</v>
      </c>
      <c r="B26" s="761" t="s">
        <v>145</v>
      </c>
      <c r="C26" s="761"/>
      <c r="D26" s="761"/>
      <c r="E26" s="191" t="s">
        <v>133</v>
      </c>
      <c r="F26" s="762"/>
      <c r="G26" s="763"/>
    </row>
    <row r="27" spans="1:11" s="1" customFormat="1" ht="35.25" customHeight="1" x14ac:dyDescent="0.2">
      <c r="A27" s="208">
        <v>14</v>
      </c>
      <c r="B27" s="761" t="s">
        <v>146</v>
      </c>
      <c r="C27" s="761"/>
      <c r="D27" s="761"/>
      <c r="E27" s="191" t="s">
        <v>133</v>
      </c>
      <c r="F27" s="762"/>
      <c r="G27" s="763"/>
    </row>
    <row r="28" spans="1:11" s="1" customFormat="1" ht="54.75" customHeight="1" thickBot="1" x14ac:dyDescent="0.25">
      <c r="A28" s="210">
        <v>15</v>
      </c>
      <c r="B28" s="764" t="s">
        <v>147</v>
      </c>
      <c r="C28" s="764"/>
      <c r="D28" s="764"/>
      <c r="E28" s="211" t="s">
        <v>133</v>
      </c>
      <c r="F28" s="765"/>
      <c r="G28" s="766"/>
    </row>
    <row r="29" spans="1:11" s="198" customFormat="1" ht="21" customHeight="1" thickBot="1" x14ac:dyDescent="0.25">
      <c r="B29" s="195"/>
      <c r="C29" s="196"/>
      <c r="D29" s="196"/>
      <c r="E29" s="195"/>
      <c r="F29" s="196"/>
      <c r="G29" s="196"/>
      <c r="H29" s="197"/>
      <c r="I29" s="197"/>
    </row>
    <row r="30" spans="1:11" s="219" customFormat="1" ht="15" customHeight="1" x14ac:dyDescent="0.2">
      <c r="A30" s="767" t="s">
        <v>148</v>
      </c>
      <c r="B30" s="768"/>
      <c r="C30" s="768"/>
      <c r="D30" s="768"/>
      <c r="E30" s="768"/>
      <c r="F30" s="768"/>
      <c r="G30" s="769"/>
      <c r="H30" s="222"/>
      <c r="I30" s="223"/>
      <c r="J30" s="223"/>
      <c r="K30" s="223"/>
    </row>
    <row r="31" spans="1:11" s="219" customFormat="1" ht="15" customHeight="1" x14ac:dyDescent="0.2">
      <c r="A31" s="220" t="s">
        <v>128</v>
      </c>
      <c r="B31" s="759" t="s">
        <v>129</v>
      </c>
      <c r="C31" s="759"/>
      <c r="D31" s="759"/>
      <c r="E31" s="221" t="s">
        <v>130</v>
      </c>
      <c r="F31" s="759" t="s">
        <v>131</v>
      </c>
      <c r="G31" s="760"/>
      <c r="H31" s="224"/>
      <c r="I31" s="225"/>
      <c r="J31" s="225"/>
      <c r="K31" s="225"/>
    </row>
    <row r="32" spans="1:11" s="1" customFormat="1" ht="55.5" customHeight="1" x14ac:dyDescent="0.2">
      <c r="A32" s="216">
        <v>1</v>
      </c>
      <c r="B32" s="754" t="s">
        <v>149</v>
      </c>
      <c r="C32" s="754"/>
      <c r="D32" s="754"/>
      <c r="E32" s="199" t="s">
        <v>150</v>
      </c>
      <c r="F32" s="755"/>
      <c r="G32" s="756"/>
      <c r="H32" s="226"/>
      <c r="I32" s="206"/>
      <c r="J32" s="206"/>
      <c r="K32" s="206"/>
    </row>
    <row r="33" spans="1:9" s="1" customFormat="1" ht="25.5" customHeight="1" x14ac:dyDescent="0.2">
      <c r="A33" s="216">
        <v>2</v>
      </c>
      <c r="B33" s="754" t="s">
        <v>151</v>
      </c>
      <c r="C33" s="754"/>
      <c r="D33" s="754"/>
      <c r="E33" s="199" t="s">
        <v>150</v>
      </c>
      <c r="F33" s="755"/>
      <c r="G33" s="756"/>
    </row>
    <row r="34" spans="1:9" s="1" customFormat="1" ht="25.5" customHeight="1" x14ac:dyDescent="0.2">
      <c r="A34" s="216">
        <v>3</v>
      </c>
      <c r="B34" s="754" t="s">
        <v>152</v>
      </c>
      <c r="C34" s="754"/>
      <c r="D34" s="754"/>
      <c r="E34" s="199" t="s">
        <v>150</v>
      </c>
      <c r="F34" s="755"/>
      <c r="G34" s="756"/>
    </row>
    <row r="35" spans="1:9" s="1" customFormat="1" ht="25.5" customHeight="1" x14ac:dyDescent="0.2">
      <c r="A35" s="216">
        <v>4</v>
      </c>
      <c r="B35" s="754" t="s">
        <v>153</v>
      </c>
      <c r="C35" s="754"/>
      <c r="D35" s="754"/>
      <c r="E35" s="199" t="s">
        <v>154</v>
      </c>
      <c r="F35" s="755"/>
      <c r="G35" s="756"/>
    </row>
    <row r="36" spans="1:9" s="1" customFormat="1" ht="25.5" customHeight="1" x14ac:dyDescent="0.2">
      <c r="A36" s="216">
        <v>5</v>
      </c>
      <c r="B36" s="754" t="s">
        <v>155</v>
      </c>
      <c r="C36" s="754"/>
      <c r="D36" s="754"/>
      <c r="E36" s="199" t="s">
        <v>154</v>
      </c>
      <c r="F36" s="757"/>
      <c r="G36" s="758"/>
    </row>
    <row r="37" spans="1:9" s="1" customFormat="1" ht="25.5" customHeight="1" thickBot="1" x14ac:dyDescent="0.25">
      <c r="A37" s="217">
        <v>6</v>
      </c>
      <c r="B37" s="748" t="s">
        <v>156</v>
      </c>
      <c r="C37" s="748"/>
      <c r="D37" s="748"/>
      <c r="E37" s="218" t="s">
        <v>154</v>
      </c>
      <c r="F37" s="749"/>
      <c r="G37" s="750"/>
    </row>
    <row r="38" spans="1:9" ht="15.75" thickBot="1" x14ac:dyDescent="0.3"/>
    <row r="39" spans="1:9" ht="79.5" thickBot="1" x14ac:dyDescent="0.3">
      <c r="B39" s="2" t="s">
        <v>39</v>
      </c>
      <c r="C39" s="11" t="s">
        <v>92</v>
      </c>
      <c r="D39" s="11" t="s">
        <v>93</v>
      </c>
      <c r="E39" s="2" t="s">
        <v>94</v>
      </c>
      <c r="F39" s="2" t="s">
        <v>95</v>
      </c>
      <c r="G39" s="21" t="s">
        <v>96</v>
      </c>
    </row>
    <row r="40" spans="1:9" ht="15.75" thickBot="1" x14ac:dyDescent="0.3">
      <c r="B40" s="3" t="e">
        <f>'CARTA DE CONTROL'!#REF!</f>
        <v>#REF!</v>
      </c>
      <c r="C40" s="4" t="e">
        <f>'CARTA DE CONTROL'!#REF!</f>
        <v>#REF!</v>
      </c>
      <c r="D40" s="4" t="e">
        <f>'CARTA DE CONTROL'!#REF!</f>
        <v>#REF!</v>
      </c>
      <c r="E40" s="6" t="e">
        <f>'CARTA DE CONTROL'!#REF!</f>
        <v>#REF!</v>
      </c>
      <c r="F40" s="7" t="e">
        <f>-('CARTA DE CONTROL'!#REF!)</f>
        <v>#REF!</v>
      </c>
      <c r="G40" s="5" t="e">
        <f>IF(C40&lt;=100,IF(D40&gt;=-100,"PASS","NO PASS"))</f>
        <v>#REF!</v>
      </c>
    </row>
    <row r="41" spans="1:9" ht="15.75" thickBot="1" x14ac:dyDescent="0.3">
      <c r="B41" s="3" t="e">
        <f>'CARTA DE CONTROL'!#REF!</f>
        <v>#REF!</v>
      </c>
      <c r="C41" s="4" t="e">
        <f>'CARTA DE CONTROL'!#REF!</f>
        <v>#REF!</v>
      </c>
      <c r="D41" s="4" t="e">
        <f>'CARTA DE CONTROL'!#REF!</f>
        <v>#REF!</v>
      </c>
      <c r="E41" s="6" t="e">
        <f>'CARTA DE CONTROL'!#REF!</f>
        <v>#REF!</v>
      </c>
      <c r="F41" s="7" t="e">
        <f>-('CARTA DE CONTROL'!#REF!)</f>
        <v>#REF!</v>
      </c>
      <c r="G41" s="5" t="e">
        <f>IF(C41&lt;=200,IF(D41&gt;=-200,"PASS","NO PASS"))</f>
        <v>#REF!</v>
      </c>
    </row>
    <row r="42" spans="1:9" ht="15.75" thickBot="1" x14ac:dyDescent="0.3">
      <c r="B42" s="3" t="e">
        <f>'CARTA DE CONTROL'!#REF!</f>
        <v>#REF!</v>
      </c>
      <c r="C42" s="4" t="e">
        <f>'CARTA DE CONTROL'!#REF!</f>
        <v>#REF!</v>
      </c>
      <c r="D42" s="4" t="e">
        <f>'CARTA DE CONTROL'!#REF!</f>
        <v>#REF!</v>
      </c>
      <c r="E42" s="6" t="e">
        <f>'CARTA DE CONTROL'!#REF!</f>
        <v>#REF!</v>
      </c>
      <c r="F42" s="7" t="e">
        <f>-('CARTA DE CONTROL'!#REF!)</f>
        <v>#REF!</v>
      </c>
      <c r="G42" s="5" t="e">
        <f>IF(C42&lt;=100,IF(D42&gt;=-100,"PASS","NO PASS"))</f>
        <v>#REF!</v>
      </c>
    </row>
    <row r="43" spans="1:9" ht="15.75" thickBot="1" x14ac:dyDescent="0.3">
      <c r="B43" s="3" t="e">
        <f>'CARTA DE CONTROL'!#REF!</f>
        <v>#REF!</v>
      </c>
      <c r="C43" s="4" t="e">
        <f>'CARTA DE CONTROL'!#REF!</f>
        <v>#REF!</v>
      </c>
      <c r="D43" s="4" t="e">
        <f>'CARTA DE CONTROL'!#REF!</f>
        <v>#REF!</v>
      </c>
      <c r="E43" s="6" t="e">
        <f>'CARTA DE CONTROL'!#REF!</f>
        <v>#REF!</v>
      </c>
      <c r="F43" s="7" t="e">
        <f>-('CARTA DE CONTROL'!#REF!)</f>
        <v>#REF!</v>
      </c>
      <c r="G43" s="5" t="e">
        <f>IF(C43&lt;=200,IF(D43&gt;=-200,"PASS","NO PASS"))</f>
        <v>#REF!</v>
      </c>
    </row>
    <row r="44" spans="1:9" x14ac:dyDescent="0.25">
      <c r="B44" s="1"/>
      <c r="C44" s="1"/>
      <c r="D44" s="1"/>
      <c r="E44" s="1"/>
      <c r="F44" s="1"/>
      <c r="G44" s="1"/>
      <c r="H44" s="1"/>
      <c r="I44" s="1"/>
    </row>
    <row r="45" spans="1:9" x14ac:dyDescent="0.25">
      <c r="B45" s="1"/>
      <c r="C45" s="1"/>
      <c r="D45" s="1"/>
      <c r="E45" s="1"/>
    </row>
    <row r="46" spans="1:9" x14ac:dyDescent="0.25">
      <c r="B46" s="1"/>
      <c r="C46" s="1"/>
      <c r="D46" s="1"/>
      <c r="E46" s="1"/>
    </row>
    <row r="47" spans="1:9" x14ac:dyDescent="0.25">
      <c r="B47" s="1"/>
      <c r="C47" s="1"/>
      <c r="D47" s="1"/>
      <c r="E47" s="1"/>
    </row>
    <row r="48" spans="1:9" x14ac:dyDescent="0.25">
      <c r="B48" s="1"/>
      <c r="C48" s="1"/>
      <c r="D48" s="1"/>
      <c r="E48" s="1"/>
      <c r="F48" s="1"/>
      <c r="G48" s="1"/>
      <c r="H48" s="1"/>
      <c r="I48" s="1"/>
    </row>
    <row r="49" spans="2:9" x14ac:dyDescent="0.25">
      <c r="B49" s="1"/>
      <c r="C49" s="1"/>
      <c r="D49" s="1"/>
      <c r="E49" s="1"/>
      <c r="F49" s="1"/>
      <c r="G49" s="1"/>
      <c r="H49" s="1"/>
      <c r="I49" s="1"/>
    </row>
    <row r="50" spans="2:9" x14ac:dyDescent="0.25">
      <c r="B50" s="1"/>
      <c r="C50" s="1"/>
      <c r="D50" s="1"/>
      <c r="E50" s="1"/>
      <c r="F50" s="1"/>
      <c r="G50" s="1"/>
      <c r="H50" s="1"/>
      <c r="I50" s="1"/>
    </row>
    <row r="51" spans="2:9" x14ac:dyDescent="0.25">
      <c r="B51" s="1"/>
      <c r="C51" s="1"/>
      <c r="D51" s="1"/>
      <c r="E51" s="1"/>
      <c r="F51" s="1"/>
      <c r="G51" s="1"/>
      <c r="H51" s="1"/>
      <c r="I51" s="1"/>
    </row>
    <row r="52" spans="2:9" x14ac:dyDescent="0.25">
      <c r="B52" s="1"/>
      <c r="C52" s="1"/>
      <c r="D52" s="1"/>
      <c r="E52" s="1"/>
      <c r="F52" s="1"/>
      <c r="G52" s="1"/>
      <c r="H52" s="1"/>
      <c r="I52" s="1"/>
    </row>
    <row r="53" spans="2:9" x14ac:dyDescent="0.25">
      <c r="B53" s="1"/>
      <c r="C53" s="1"/>
      <c r="D53" s="1"/>
      <c r="E53" s="1"/>
      <c r="F53" s="1"/>
      <c r="G53" s="1"/>
      <c r="H53" s="1"/>
      <c r="I53" s="1"/>
    </row>
    <row r="54" spans="2:9" x14ac:dyDescent="0.25">
      <c r="B54" s="1"/>
      <c r="C54" s="1"/>
      <c r="D54" s="1"/>
      <c r="E54" s="1"/>
      <c r="F54" s="1"/>
      <c r="G54" s="1"/>
      <c r="H54" s="1"/>
      <c r="I54" s="1"/>
    </row>
    <row r="55" spans="2:9" x14ac:dyDescent="0.25">
      <c r="B55" s="1"/>
      <c r="C55" s="1"/>
      <c r="D55" s="1"/>
      <c r="E55" s="1"/>
      <c r="F55" s="1"/>
      <c r="G55" s="1"/>
      <c r="H55" s="1"/>
      <c r="I55" s="1"/>
    </row>
    <row r="56" spans="2:9" x14ac:dyDescent="0.25">
      <c r="B56" s="1"/>
      <c r="C56" s="1"/>
      <c r="D56" s="1"/>
      <c r="E56" s="1"/>
      <c r="F56" s="1"/>
      <c r="G56" s="1"/>
      <c r="H56" s="1"/>
      <c r="I56" s="1"/>
    </row>
    <row r="57" spans="2:9" x14ac:dyDescent="0.25">
      <c r="B57" s="1"/>
      <c r="C57" s="1"/>
      <c r="D57" s="1"/>
      <c r="E57" s="1"/>
      <c r="F57" s="1"/>
      <c r="G57" s="1"/>
      <c r="H57" s="1"/>
      <c r="I57" s="1"/>
    </row>
    <row r="62" spans="2:9" ht="15.75" thickBot="1" x14ac:dyDescent="0.3"/>
    <row r="63" spans="2:9" ht="15.75" thickBot="1" x14ac:dyDescent="0.3">
      <c r="C63" s="789" t="s">
        <v>83</v>
      </c>
      <c r="D63" s="790"/>
      <c r="E63" s="790"/>
      <c r="F63" s="791"/>
    </row>
    <row r="64" spans="2:9" ht="45.75" thickBot="1" x14ac:dyDescent="0.3">
      <c r="C64" s="2" t="s">
        <v>39</v>
      </c>
      <c r="D64" s="10" t="s">
        <v>84</v>
      </c>
      <c r="E64" s="2" t="s">
        <v>85</v>
      </c>
      <c r="F64" s="21" t="s">
        <v>86</v>
      </c>
    </row>
    <row r="65" spans="3:6" ht="15.75" thickBot="1" x14ac:dyDescent="0.3">
      <c r="C65" s="3" t="e">
        <f>'CARTA DE CONTROL'!#REF!</f>
        <v>#REF!</v>
      </c>
      <c r="D65" s="4" t="e">
        <f>'CARTA DE CONTROL'!#REF!</f>
        <v>#REF!</v>
      </c>
      <c r="E65" s="6" t="e">
        <f>'CARTA DE CONTROL'!#REF!</f>
        <v>#REF!</v>
      </c>
      <c r="F65" s="5" t="e">
        <f>IF(D65&lt;=16,IF(D65&gt;=-16,"PASS","NO PASS"))</f>
        <v>#REF!</v>
      </c>
    </row>
    <row r="66" spans="3:6" ht="15.75" thickBot="1" x14ac:dyDescent="0.3">
      <c r="C66" s="3" t="e">
        <f>'CARTA DE CONTROL'!#REF!</f>
        <v>#REF!</v>
      </c>
      <c r="D66" s="4" t="e">
        <f>'CARTA DE CONTROL'!#REF!</f>
        <v>#REF!</v>
      </c>
      <c r="E66" s="6" t="e">
        <f>'CARTA DE CONTROL'!#REF!</f>
        <v>#REF!</v>
      </c>
      <c r="F66" s="5" t="e">
        <f>IF(D66&lt;=24,IF(D66&gt;=-24,"PASS","NO PASS"))</f>
        <v>#REF!</v>
      </c>
    </row>
    <row r="67" spans="3:6" ht="15.75" thickBot="1" x14ac:dyDescent="0.3">
      <c r="C67" s="3" t="e">
        <f>'CARTA DE CONTROL'!#REF!</f>
        <v>#REF!</v>
      </c>
      <c r="D67" s="4" t="e">
        <f>'CARTA DE CONTROL'!#REF!</f>
        <v>#REF!</v>
      </c>
      <c r="E67" s="6" t="e">
        <f>'CARTA DE CONTROL'!#REF!</f>
        <v>#REF!</v>
      </c>
      <c r="F67" s="5" t="e">
        <f>IF(D67&lt;=16,IF(D67&gt;=-16,"PASS","NO PASS"))</f>
        <v>#REF!</v>
      </c>
    </row>
    <row r="68" spans="3:6" ht="15.75" thickBot="1" x14ac:dyDescent="0.3">
      <c r="C68" s="3" t="e">
        <f>'CARTA DE CONTROL'!#REF!</f>
        <v>#REF!</v>
      </c>
      <c r="D68" s="4" t="e">
        <f>'CARTA DE CONTROL'!#REF!</f>
        <v>#REF!</v>
      </c>
      <c r="E68" s="6" t="e">
        <f>'CARTA DE CONTROL'!#REF!</f>
        <v>#REF!</v>
      </c>
      <c r="F68" s="5" t="e">
        <f>IF(D68&lt;=24,IF(D68&gt;=-24,"PASS","NO PASS"))</f>
        <v>#REF!</v>
      </c>
    </row>
    <row r="79" spans="3:6" ht="15.75" thickBot="1" x14ac:dyDescent="0.3"/>
    <row r="80" spans="3:6" ht="15.75" thickBot="1" x14ac:dyDescent="0.3">
      <c r="C80" s="751" t="s">
        <v>87</v>
      </c>
      <c r="D80" s="752"/>
      <c r="E80" s="752"/>
      <c r="F80" s="753"/>
    </row>
    <row r="81" spans="3:6" ht="45.75" thickBot="1" x14ac:dyDescent="0.3">
      <c r="C81" s="2" t="s">
        <v>39</v>
      </c>
      <c r="D81" s="10" t="s">
        <v>88</v>
      </c>
      <c r="E81" s="2" t="s">
        <v>85</v>
      </c>
      <c r="F81" s="21" t="s">
        <v>86</v>
      </c>
    </row>
    <row r="82" spans="3:6" ht="15.75" thickBot="1" x14ac:dyDescent="0.3">
      <c r="C82" s="3" t="e">
        <f>'CARTA DE CONTROL'!#REF!</f>
        <v>#REF!</v>
      </c>
      <c r="D82" s="4" t="e">
        <f>'CARTA DE CONTROL'!#REF!</f>
        <v>#REF!</v>
      </c>
      <c r="E82" s="6" t="e">
        <f>'CARTA DE CONTROL'!#REF!</f>
        <v>#REF!</v>
      </c>
      <c r="F82" s="5" t="e">
        <f>IF(D82&lt;=20,IF(D82&gt;=-20,"PASS","NO PASS"))</f>
        <v>#REF!</v>
      </c>
    </row>
    <row r="83" spans="3:6" ht="15.75" thickBot="1" x14ac:dyDescent="0.3">
      <c r="C83" s="3" t="e">
        <f>'CARTA DE CONTROL'!#REF!</f>
        <v>#REF!</v>
      </c>
      <c r="D83" s="4" t="e">
        <f>'CARTA DE CONTROL'!#REF!</f>
        <v>#REF!</v>
      </c>
      <c r="E83" s="6" t="e">
        <f>'CARTA DE CONTROL'!#REF!</f>
        <v>#REF!</v>
      </c>
      <c r="F83" s="5" t="e">
        <f>IF(D83&lt;=40,IF(D83&gt;=-40,"PASS","NO PASS"))</f>
        <v>#REF!</v>
      </c>
    </row>
    <row r="84" spans="3:6" ht="15.75" thickBot="1" x14ac:dyDescent="0.3">
      <c r="C84" s="3" t="e">
        <f>'CARTA DE CONTROL'!#REF!</f>
        <v>#REF!</v>
      </c>
      <c r="D84" s="4" t="e">
        <f>'CARTA DE CONTROL'!#REF!</f>
        <v>#REF!</v>
      </c>
      <c r="E84" s="6" t="e">
        <f>'CARTA DE CONTROL'!#REF!</f>
        <v>#REF!</v>
      </c>
      <c r="F84" s="5" t="e">
        <f>IF(D84&lt;=20,IF(D84&gt;=-20,"PASS","NO PASS"))</f>
        <v>#REF!</v>
      </c>
    </row>
    <row r="85" spans="3:6" ht="15.75" thickBot="1" x14ac:dyDescent="0.3">
      <c r="C85" s="3" t="e">
        <f>'CARTA DE CONTROL'!#REF!</f>
        <v>#REF!</v>
      </c>
      <c r="D85" s="4" t="e">
        <f>'CARTA DE CONTROL'!#REF!</f>
        <v>#REF!</v>
      </c>
      <c r="E85" s="6" t="e">
        <f>'CARTA DE CONTROL'!#REF!</f>
        <v>#REF!</v>
      </c>
      <c r="F85" s="5" t="e">
        <f>IF(D85&lt;=40,IF(D85&gt;=-40,"PASS","NO PASS"))</f>
        <v>#REF!</v>
      </c>
    </row>
  </sheetData>
  <mergeCells count="54">
    <mergeCell ref="C63:F63"/>
    <mergeCell ref="C80:F80"/>
    <mergeCell ref="C7:E7"/>
    <mergeCell ref="C8:E8"/>
    <mergeCell ref="C9:E9"/>
    <mergeCell ref="C10:E10"/>
    <mergeCell ref="A12:G12"/>
    <mergeCell ref="B13:D13"/>
    <mergeCell ref="F13:G13"/>
    <mergeCell ref="B14:D14"/>
    <mergeCell ref="F14:G14"/>
    <mergeCell ref="B15:D15"/>
    <mergeCell ref="F15:G15"/>
    <mergeCell ref="B16:D16"/>
    <mergeCell ref="F16:G16"/>
    <mergeCell ref="B17:D17"/>
    <mergeCell ref="F17:G17"/>
    <mergeCell ref="B18:D18"/>
    <mergeCell ref="F18:G18"/>
    <mergeCell ref="B19:D19"/>
    <mergeCell ref="F19:G19"/>
    <mergeCell ref="B20:D20"/>
    <mergeCell ref="F20:G20"/>
    <mergeCell ref="B21:D21"/>
    <mergeCell ref="F21:G21"/>
    <mergeCell ref="B22:D22"/>
    <mergeCell ref="F22:G22"/>
    <mergeCell ref="B23:D23"/>
    <mergeCell ref="F23:G23"/>
    <mergeCell ref="B24:D24"/>
    <mergeCell ref="F24:G24"/>
    <mergeCell ref="B25:D25"/>
    <mergeCell ref="F25:G25"/>
    <mergeCell ref="B26:D26"/>
    <mergeCell ref="F26:G26"/>
    <mergeCell ref="B27:D27"/>
    <mergeCell ref="F27:G27"/>
    <mergeCell ref="B28:D28"/>
    <mergeCell ref="F28:G28"/>
    <mergeCell ref="A30:G30"/>
    <mergeCell ref="B31:D31"/>
    <mergeCell ref="F31:G31"/>
    <mergeCell ref="B32:D32"/>
    <mergeCell ref="F32:G32"/>
    <mergeCell ref="B36:D36"/>
    <mergeCell ref="F36:G36"/>
    <mergeCell ref="B37:D37"/>
    <mergeCell ref="F37:G37"/>
    <mergeCell ref="B33:D33"/>
    <mergeCell ref="F33:G33"/>
    <mergeCell ref="B34:D34"/>
    <mergeCell ref="F34:G34"/>
    <mergeCell ref="B35:D35"/>
    <mergeCell ref="F35:G35"/>
  </mergeCells>
  <conditionalFormatting sqref="F65:F68">
    <cfRule type="cellIs" dxfId="19" priority="28" operator="lessThan">
      <formula>$I$82</formula>
    </cfRule>
    <cfRule type="cellIs" dxfId="18" priority="29" operator="lessThan">
      <formula>0.05</formula>
    </cfRule>
  </conditionalFormatting>
  <conditionalFormatting sqref="F84:F85">
    <cfRule type="cellIs" dxfId="17" priority="20" operator="lessThan">
      <formula>$I$82</formula>
    </cfRule>
    <cfRule type="cellIs" dxfId="16" priority="21" operator="lessThan">
      <formula>0.05</formula>
    </cfRule>
  </conditionalFormatting>
  <conditionalFormatting sqref="G40:G43">
    <cfRule type="cellIs" dxfId="15" priority="54" operator="lessThan">
      <formula>$G$80</formula>
    </cfRule>
    <cfRule type="cellIs" dxfId="14" priority="55" operator="lessThan">
      <formula>0.05</formula>
    </cfRule>
  </conditionalFormatting>
  <conditionalFormatting sqref="G40:G43">
    <cfRule type="cellIs" dxfId="13" priority="56" operator="between">
      <formula>$G$80</formula>
      <formula>$H$80</formula>
    </cfRule>
  </conditionalFormatting>
  <conditionalFormatting sqref="F82:F83">
    <cfRule type="cellIs" dxfId="12" priority="1" operator="lessThan">
      <formula>$I$82</formula>
    </cfRule>
    <cfRule type="cellIs" dxfId="11" priority="2" operator="lessThan">
      <formula>0.05</formula>
    </cfRule>
  </conditionalFormatting>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7"/>
  <sheetViews>
    <sheetView topLeftCell="C1" zoomScale="115" zoomScaleNormal="115" workbookViewId="0">
      <selection activeCell="D85" sqref="D85"/>
    </sheetView>
  </sheetViews>
  <sheetFormatPr baseColWidth="10" defaultRowHeight="15" x14ac:dyDescent="0.25"/>
  <cols>
    <col min="2" max="2" width="16.5703125" customWidth="1"/>
    <col min="3" max="3" width="22.85546875" customWidth="1"/>
    <col min="4" max="4" width="21.7109375" customWidth="1"/>
    <col min="5" max="5" width="21" customWidth="1"/>
    <col min="6" max="6" width="22.7109375" customWidth="1"/>
    <col min="9" max="9" width="13.28515625" customWidth="1"/>
  </cols>
  <sheetData>
    <row r="1" spans="1:11" ht="15" customHeight="1" x14ac:dyDescent="0.25">
      <c r="E1" s="214"/>
    </row>
    <row r="2" spans="1:11" ht="15" customHeight="1" x14ac:dyDescent="0.25">
      <c r="B2" s="189"/>
      <c r="C2" s="189"/>
      <c r="D2" s="189"/>
      <c r="E2" s="215"/>
      <c r="F2" s="189"/>
      <c r="G2" s="189"/>
      <c r="H2" s="189"/>
    </row>
    <row r="3" spans="1:11" ht="15" customHeight="1" x14ac:dyDescent="0.25">
      <c r="B3" s="189"/>
      <c r="C3" s="189"/>
      <c r="D3" s="189"/>
      <c r="E3" s="215"/>
      <c r="F3" s="189"/>
      <c r="G3" s="189"/>
      <c r="H3" s="189"/>
    </row>
    <row r="4" spans="1:11" ht="15" customHeight="1" x14ac:dyDescent="0.25">
      <c r="B4" s="189"/>
      <c r="C4" s="189"/>
      <c r="D4" s="189"/>
      <c r="E4" s="215"/>
      <c r="F4" s="189"/>
      <c r="G4" s="189"/>
      <c r="H4" s="189"/>
    </row>
    <row r="5" spans="1:11" ht="15" customHeight="1" x14ac:dyDescent="0.25">
      <c r="B5" s="189"/>
      <c r="C5" s="189"/>
      <c r="D5" s="189"/>
      <c r="E5" s="215"/>
      <c r="F5" s="189"/>
      <c r="G5" s="189"/>
      <c r="H5" s="189"/>
    </row>
    <row r="6" spans="1:11" ht="15" customHeight="1" x14ac:dyDescent="0.25">
      <c r="B6" s="189"/>
      <c r="C6" s="189"/>
      <c r="D6" s="189"/>
      <c r="E6" s="215"/>
      <c r="F6" s="189"/>
      <c r="G6" s="189"/>
      <c r="H6" s="189"/>
    </row>
    <row r="7" spans="1:11" x14ac:dyDescent="0.25">
      <c r="B7" s="231" t="s">
        <v>157</v>
      </c>
      <c r="C7" s="770" t="e">
        <f>'CARTA DE CONTROL'!#REF!</f>
        <v>#REF!</v>
      </c>
      <c r="D7" s="771"/>
      <c r="E7" s="772"/>
    </row>
    <row r="8" spans="1:11" x14ac:dyDescent="0.25">
      <c r="B8" s="231" t="s">
        <v>158</v>
      </c>
      <c r="C8" s="770" t="e">
        <f>'CARTA DE CONTROL'!#REF!</f>
        <v>#REF!</v>
      </c>
      <c r="D8" s="771"/>
      <c r="E8" s="772"/>
    </row>
    <row r="9" spans="1:11" x14ac:dyDescent="0.25">
      <c r="B9" s="231" t="s">
        <v>159</v>
      </c>
      <c r="C9" s="770" t="e">
        <f>'CARTA DE CONTROL'!#REF!</f>
        <v>#REF!</v>
      </c>
      <c r="D9" s="771"/>
      <c r="E9" s="772"/>
    </row>
    <row r="10" spans="1:11" x14ac:dyDescent="0.25">
      <c r="B10" s="231" t="s">
        <v>160</v>
      </c>
      <c r="C10" s="773" t="e">
        <f>'CARTA DE CONTROL'!#REF!</f>
        <v>#REF!</v>
      </c>
      <c r="D10" s="774"/>
      <c r="E10" s="775"/>
    </row>
    <row r="11" spans="1:11" ht="15" customHeight="1" thickBot="1" x14ac:dyDescent="0.3">
      <c r="B11" s="189"/>
      <c r="C11" s="189"/>
      <c r="D11" s="189"/>
      <c r="E11" s="215"/>
      <c r="F11" s="189"/>
      <c r="G11" s="189"/>
      <c r="H11" s="202"/>
      <c r="I11" s="203"/>
      <c r="J11" s="203"/>
      <c r="K11" s="203"/>
    </row>
    <row r="12" spans="1:11" s="190" customFormat="1" ht="34.5" customHeight="1" x14ac:dyDescent="0.2">
      <c r="A12" s="776" t="s">
        <v>127</v>
      </c>
      <c r="B12" s="777"/>
      <c r="C12" s="777"/>
      <c r="D12" s="777"/>
      <c r="E12" s="777"/>
      <c r="F12" s="777"/>
      <c r="G12" s="778"/>
      <c r="H12" s="204"/>
      <c r="I12" s="204"/>
      <c r="J12" s="204"/>
      <c r="K12" s="204"/>
    </row>
    <row r="13" spans="1:11" s="190" customFormat="1" ht="15" customHeight="1" x14ac:dyDescent="0.2">
      <c r="A13" s="207" t="s">
        <v>128</v>
      </c>
      <c r="B13" s="779" t="s">
        <v>129</v>
      </c>
      <c r="C13" s="780"/>
      <c r="D13" s="781"/>
      <c r="E13" s="200" t="s">
        <v>130</v>
      </c>
      <c r="F13" s="782" t="s">
        <v>131</v>
      </c>
      <c r="G13" s="783"/>
      <c r="H13" s="205"/>
      <c r="I13" s="205"/>
      <c r="J13" s="205"/>
      <c r="K13" s="205"/>
    </row>
    <row r="14" spans="1:11" s="1" customFormat="1" ht="35.25" customHeight="1" x14ac:dyDescent="0.2">
      <c r="A14" s="208">
        <v>1</v>
      </c>
      <c r="B14" s="761" t="s">
        <v>132</v>
      </c>
      <c r="C14" s="761"/>
      <c r="D14" s="761"/>
      <c r="E14" s="191" t="s">
        <v>133</v>
      </c>
      <c r="F14" s="762"/>
      <c r="G14" s="763"/>
      <c r="H14" s="206"/>
      <c r="I14" s="206"/>
      <c r="J14" s="206"/>
      <c r="K14" s="206"/>
    </row>
    <row r="15" spans="1:11" s="1" customFormat="1" ht="35.25" customHeight="1" x14ac:dyDescent="0.2">
      <c r="A15" s="208">
        <v>2</v>
      </c>
      <c r="B15" s="761" t="s">
        <v>134</v>
      </c>
      <c r="C15" s="761"/>
      <c r="D15" s="761"/>
      <c r="E15" s="191" t="s">
        <v>133</v>
      </c>
      <c r="F15" s="762"/>
      <c r="G15" s="763"/>
    </row>
    <row r="16" spans="1:11" s="1" customFormat="1" ht="35.25" customHeight="1" x14ac:dyDescent="0.2">
      <c r="A16" s="208">
        <v>3</v>
      </c>
      <c r="B16" s="761" t="s">
        <v>135</v>
      </c>
      <c r="C16" s="761"/>
      <c r="D16" s="761"/>
      <c r="E16" s="191" t="s">
        <v>133</v>
      </c>
      <c r="F16" s="762"/>
      <c r="G16" s="763"/>
    </row>
    <row r="17" spans="1:11" s="1" customFormat="1" ht="35.25" customHeight="1" x14ac:dyDescent="0.2">
      <c r="A17" s="208">
        <v>4</v>
      </c>
      <c r="B17" s="761" t="s">
        <v>136</v>
      </c>
      <c r="C17" s="761"/>
      <c r="D17" s="761"/>
      <c r="E17" s="191" t="s">
        <v>133</v>
      </c>
      <c r="F17" s="784"/>
      <c r="G17" s="785"/>
    </row>
    <row r="18" spans="1:11" s="1" customFormat="1" ht="35.25" customHeight="1" x14ac:dyDescent="0.2">
      <c r="A18" s="208">
        <v>5</v>
      </c>
      <c r="B18" s="761" t="s">
        <v>137</v>
      </c>
      <c r="C18" s="761"/>
      <c r="D18" s="761"/>
      <c r="E18" s="191" t="s">
        <v>133</v>
      </c>
      <c r="F18" s="762"/>
      <c r="G18" s="763"/>
    </row>
    <row r="19" spans="1:11" s="1" customFormat="1" ht="35.25" customHeight="1" x14ac:dyDescent="0.2">
      <c r="A19" s="208">
        <v>6</v>
      </c>
      <c r="B19" s="761" t="s">
        <v>138</v>
      </c>
      <c r="C19" s="761"/>
      <c r="D19" s="761"/>
      <c r="E19" s="191" t="s">
        <v>133</v>
      </c>
      <c r="F19" s="762"/>
      <c r="G19" s="763"/>
    </row>
    <row r="20" spans="1:11" s="1" customFormat="1" ht="35.25" customHeight="1" x14ac:dyDescent="0.2">
      <c r="A20" s="208">
        <v>7</v>
      </c>
      <c r="B20" s="761" t="s">
        <v>139</v>
      </c>
      <c r="C20" s="761"/>
      <c r="D20" s="761"/>
      <c r="E20" s="191" t="s">
        <v>133</v>
      </c>
      <c r="F20" s="762"/>
      <c r="G20" s="763"/>
    </row>
    <row r="21" spans="1:11" s="1" customFormat="1" ht="35.25" customHeight="1" x14ac:dyDescent="0.2">
      <c r="A21" s="208">
        <v>8</v>
      </c>
      <c r="B21" s="761" t="s">
        <v>140</v>
      </c>
      <c r="C21" s="761"/>
      <c r="D21" s="761"/>
      <c r="E21" s="191" t="s">
        <v>133</v>
      </c>
      <c r="F21" s="762"/>
      <c r="G21" s="763"/>
    </row>
    <row r="22" spans="1:11" s="1" customFormat="1" ht="35.25" customHeight="1" x14ac:dyDescent="0.2">
      <c r="A22" s="208">
        <v>9</v>
      </c>
      <c r="B22" s="761" t="s">
        <v>141</v>
      </c>
      <c r="C22" s="761"/>
      <c r="D22" s="761"/>
      <c r="E22" s="191" t="s">
        <v>133</v>
      </c>
      <c r="F22" s="762"/>
      <c r="G22" s="763"/>
    </row>
    <row r="23" spans="1:11" s="1" customFormat="1" ht="35.25" customHeight="1" x14ac:dyDescent="0.2">
      <c r="A23" s="208">
        <v>10</v>
      </c>
      <c r="B23" s="761" t="s">
        <v>142</v>
      </c>
      <c r="C23" s="761"/>
      <c r="D23" s="761"/>
      <c r="E23" s="191" t="s">
        <v>133</v>
      </c>
      <c r="F23" s="762"/>
      <c r="G23" s="763"/>
    </row>
    <row r="24" spans="1:11" s="1" customFormat="1" ht="35.25" customHeight="1" x14ac:dyDescent="0.2">
      <c r="A24" s="208">
        <v>11</v>
      </c>
      <c r="B24" s="761" t="s">
        <v>143</v>
      </c>
      <c r="C24" s="761"/>
      <c r="D24" s="761"/>
      <c r="E24" s="191" t="s">
        <v>133</v>
      </c>
      <c r="F24" s="762"/>
      <c r="G24" s="763"/>
    </row>
    <row r="25" spans="1:11" s="194" customFormat="1" ht="35.25" customHeight="1" x14ac:dyDescent="0.2">
      <c r="A25" s="209">
        <v>12</v>
      </c>
      <c r="B25" s="761" t="s">
        <v>144</v>
      </c>
      <c r="C25" s="761"/>
      <c r="D25" s="761"/>
      <c r="E25" s="193" t="s">
        <v>133</v>
      </c>
      <c r="F25" s="762"/>
      <c r="G25" s="763"/>
    </row>
    <row r="26" spans="1:11" s="1" customFormat="1" ht="35.25" customHeight="1" x14ac:dyDescent="0.2">
      <c r="A26" s="208">
        <v>13</v>
      </c>
      <c r="B26" s="761" t="s">
        <v>145</v>
      </c>
      <c r="C26" s="761"/>
      <c r="D26" s="761"/>
      <c r="E26" s="191" t="s">
        <v>133</v>
      </c>
      <c r="F26" s="762"/>
      <c r="G26" s="763"/>
    </row>
    <row r="27" spans="1:11" s="1" customFormat="1" ht="35.25" customHeight="1" x14ac:dyDescent="0.2">
      <c r="A27" s="208">
        <v>14</v>
      </c>
      <c r="B27" s="761" t="s">
        <v>146</v>
      </c>
      <c r="C27" s="761"/>
      <c r="D27" s="761"/>
      <c r="E27" s="191" t="s">
        <v>133</v>
      </c>
      <c r="F27" s="762"/>
      <c r="G27" s="763"/>
    </row>
    <row r="28" spans="1:11" s="1" customFormat="1" ht="54.75" customHeight="1" thickBot="1" x14ac:dyDescent="0.25">
      <c r="A28" s="210">
        <v>15</v>
      </c>
      <c r="B28" s="764" t="s">
        <v>147</v>
      </c>
      <c r="C28" s="764"/>
      <c r="D28" s="764"/>
      <c r="E28" s="211" t="s">
        <v>133</v>
      </c>
      <c r="F28" s="765"/>
      <c r="G28" s="766"/>
    </row>
    <row r="29" spans="1:11" s="198" customFormat="1" ht="21" customHeight="1" thickBot="1" x14ac:dyDescent="0.25">
      <c r="B29" s="195"/>
      <c r="C29" s="196"/>
      <c r="D29" s="196"/>
      <c r="E29" s="195"/>
      <c r="F29" s="196"/>
      <c r="G29" s="196"/>
      <c r="H29" s="197"/>
      <c r="I29" s="197"/>
    </row>
    <row r="30" spans="1:11" s="219" customFormat="1" ht="15" customHeight="1" x14ac:dyDescent="0.2">
      <c r="A30" s="767" t="s">
        <v>148</v>
      </c>
      <c r="B30" s="768"/>
      <c r="C30" s="768"/>
      <c r="D30" s="768"/>
      <c r="E30" s="768"/>
      <c r="F30" s="768"/>
      <c r="G30" s="769"/>
      <c r="H30" s="222"/>
      <c r="I30" s="223"/>
      <c r="J30" s="223"/>
      <c r="K30" s="223"/>
    </row>
    <row r="31" spans="1:11" s="219" customFormat="1" ht="15" customHeight="1" x14ac:dyDescent="0.2">
      <c r="A31" s="220" t="s">
        <v>128</v>
      </c>
      <c r="B31" s="759" t="s">
        <v>129</v>
      </c>
      <c r="C31" s="759"/>
      <c r="D31" s="759"/>
      <c r="E31" s="221" t="s">
        <v>130</v>
      </c>
      <c r="F31" s="759" t="s">
        <v>131</v>
      </c>
      <c r="G31" s="760"/>
      <c r="H31" s="224"/>
      <c r="I31" s="225"/>
      <c r="J31" s="225"/>
      <c r="K31" s="225"/>
    </row>
    <row r="32" spans="1:11" s="1" customFormat="1" ht="55.5" customHeight="1" x14ac:dyDescent="0.2">
      <c r="A32" s="216">
        <v>1</v>
      </c>
      <c r="B32" s="754" t="s">
        <v>149</v>
      </c>
      <c r="C32" s="754"/>
      <c r="D32" s="754"/>
      <c r="E32" s="199" t="s">
        <v>150</v>
      </c>
      <c r="F32" s="755"/>
      <c r="G32" s="756"/>
      <c r="H32" s="226"/>
      <c r="I32" s="206"/>
      <c r="J32" s="206"/>
      <c r="K32" s="206"/>
    </row>
    <row r="33" spans="1:9" s="1" customFormat="1" ht="25.5" customHeight="1" x14ac:dyDescent="0.2">
      <c r="A33" s="216">
        <v>2</v>
      </c>
      <c r="B33" s="754" t="s">
        <v>151</v>
      </c>
      <c r="C33" s="754"/>
      <c r="D33" s="754"/>
      <c r="E33" s="199" t="s">
        <v>150</v>
      </c>
      <c r="F33" s="755"/>
      <c r="G33" s="756"/>
    </row>
    <row r="34" spans="1:9" s="1" customFormat="1" ht="25.5" customHeight="1" x14ac:dyDescent="0.2">
      <c r="A34" s="216">
        <v>3</v>
      </c>
      <c r="B34" s="754" t="s">
        <v>152</v>
      </c>
      <c r="C34" s="754"/>
      <c r="D34" s="754"/>
      <c r="E34" s="199" t="s">
        <v>150</v>
      </c>
      <c r="F34" s="755"/>
      <c r="G34" s="756"/>
    </row>
    <row r="35" spans="1:9" s="1" customFormat="1" ht="25.5" customHeight="1" x14ac:dyDescent="0.2">
      <c r="A35" s="216">
        <v>4</v>
      </c>
      <c r="B35" s="754" t="s">
        <v>153</v>
      </c>
      <c r="C35" s="754"/>
      <c r="D35" s="754"/>
      <c r="E35" s="199" t="s">
        <v>154</v>
      </c>
      <c r="F35" s="755"/>
      <c r="G35" s="756"/>
    </row>
    <row r="36" spans="1:9" s="1" customFormat="1" ht="25.5" customHeight="1" x14ac:dyDescent="0.2">
      <c r="A36" s="216">
        <v>5</v>
      </c>
      <c r="B36" s="754" t="s">
        <v>155</v>
      </c>
      <c r="C36" s="754"/>
      <c r="D36" s="754"/>
      <c r="E36" s="199" t="s">
        <v>154</v>
      </c>
      <c r="F36" s="757"/>
      <c r="G36" s="758"/>
    </row>
    <row r="37" spans="1:9" s="1" customFormat="1" ht="25.5" customHeight="1" thickBot="1" x14ac:dyDescent="0.25">
      <c r="A37" s="217">
        <v>6</v>
      </c>
      <c r="B37" s="748" t="s">
        <v>156</v>
      </c>
      <c r="C37" s="748"/>
      <c r="D37" s="748"/>
      <c r="E37" s="218" t="s">
        <v>154</v>
      </c>
      <c r="F37" s="749"/>
      <c r="G37" s="750"/>
    </row>
    <row r="38" spans="1:9" ht="15.75" thickBot="1" x14ac:dyDescent="0.3"/>
    <row r="39" spans="1:9" ht="79.5" thickBot="1" x14ac:dyDescent="0.3">
      <c r="B39" s="2" t="s">
        <v>39</v>
      </c>
      <c r="C39" s="11" t="s">
        <v>92</v>
      </c>
      <c r="D39" s="11" t="s">
        <v>93</v>
      </c>
      <c r="E39" s="2" t="s">
        <v>94</v>
      </c>
      <c r="F39" s="2" t="s">
        <v>95</v>
      </c>
      <c r="G39" s="21" t="s">
        <v>96</v>
      </c>
    </row>
    <row r="40" spans="1:9" ht="15.75" thickBot="1" x14ac:dyDescent="0.3">
      <c r="B40" s="3" t="e">
        <f>'CARTA DE CONTROL'!#REF!</f>
        <v>#REF!</v>
      </c>
      <c r="C40" s="4" t="e">
        <f>'CARTA DE CONTROL'!#REF!</f>
        <v>#REF!</v>
      </c>
      <c r="D40" s="4" t="e">
        <f>'CARTA DE CONTROL'!#REF!</f>
        <v>#REF!</v>
      </c>
      <c r="E40" s="6" t="e">
        <f>'CARTA DE CONTROL'!#REF!</f>
        <v>#REF!</v>
      </c>
      <c r="F40" s="7" t="e">
        <f>-('CARTA DE CONTROL'!#REF!)</f>
        <v>#REF!</v>
      </c>
      <c r="G40" s="5" t="e">
        <f>IF(C40&lt;=0.5,IF(D40&gt;=-0.5,"PASS","NO PASS"))</f>
        <v>#REF!</v>
      </c>
    </row>
    <row r="41" spans="1:9" ht="15.75" thickBot="1" x14ac:dyDescent="0.3">
      <c r="B41" s="3" t="e">
        <f>'CARTA DE CONTROL'!#REF!</f>
        <v>#REF!</v>
      </c>
      <c r="C41" s="4" t="e">
        <f>'CARTA DE CONTROL'!#REF!</f>
        <v>#REF!</v>
      </c>
      <c r="D41" s="4" t="e">
        <f>'CARTA DE CONTROL'!#REF!</f>
        <v>#REF!</v>
      </c>
      <c r="E41" s="6" t="e">
        <f>'CARTA DE CONTROL'!#REF!</f>
        <v>#REF!</v>
      </c>
      <c r="F41" s="7" t="e">
        <f>-('CARTA DE CONTROL'!#REF!)</f>
        <v>#REF!</v>
      </c>
      <c r="G41" s="5" t="e">
        <f>IF(C41&lt;=1,IF(D41&gt;=-1,"PASS","NO PASS"))</f>
        <v>#REF!</v>
      </c>
    </row>
    <row r="42" spans="1:9" ht="15.75" thickBot="1" x14ac:dyDescent="0.3">
      <c r="B42" s="3" t="e">
        <f>'CARTA DE CONTROL'!#REF!</f>
        <v>#REF!</v>
      </c>
      <c r="C42" s="4" t="e">
        <f>'CARTA DE CONTROL'!#REF!</f>
        <v>#REF!</v>
      </c>
      <c r="D42" s="4" t="e">
        <f>'CARTA DE CONTROL'!#REF!</f>
        <v>#REF!</v>
      </c>
      <c r="E42" s="6" t="e">
        <f>'CARTA DE CONTROL'!#REF!</f>
        <v>#REF!</v>
      </c>
      <c r="F42" s="7" t="e">
        <f>-('CARTA DE CONTROL'!#REF!)</f>
        <v>#REF!</v>
      </c>
      <c r="G42" s="5" t="e">
        <f>IF(C42&lt;=0.5,IF(D42&gt;=-0.5,"PASS","NO PASS"))</f>
        <v>#REF!</v>
      </c>
    </row>
    <row r="43" spans="1:9" ht="15.75" thickBot="1" x14ac:dyDescent="0.3">
      <c r="B43" s="3" t="e">
        <f>'CARTA DE CONTROL'!#REF!</f>
        <v>#REF!</v>
      </c>
      <c r="C43" s="4" t="e">
        <f>'CARTA DE CONTROL'!#REF!</f>
        <v>#REF!</v>
      </c>
      <c r="D43" s="4" t="e">
        <f>'CARTA DE CONTROL'!#REF!</f>
        <v>#REF!</v>
      </c>
      <c r="E43" s="6" t="e">
        <f>'CARTA DE CONTROL'!#REF!</f>
        <v>#REF!</v>
      </c>
      <c r="F43" s="7" t="e">
        <f>-('CARTA DE CONTROL'!#REF!)</f>
        <v>#REF!</v>
      </c>
      <c r="G43" s="5" t="e">
        <f>IF(C43&lt;=1,IF(D43&gt;=-1,"PASS","NO PASS"))</f>
        <v>#REF!</v>
      </c>
    </row>
    <row r="44" spans="1:9" x14ac:dyDescent="0.25">
      <c r="B44" s="1"/>
      <c r="C44" s="1"/>
      <c r="D44" s="1"/>
      <c r="E44" s="1"/>
      <c r="F44" s="1"/>
      <c r="G44" s="1"/>
      <c r="H44" s="1"/>
      <c r="I44" s="1"/>
    </row>
    <row r="45" spans="1:9" x14ac:dyDescent="0.25">
      <c r="B45" s="1"/>
      <c r="C45" s="1"/>
      <c r="D45" s="1"/>
      <c r="E45" s="1"/>
    </row>
    <row r="46" spans="1:9" x14ac:dyDescent="0.25">
      <c r="B46" s="1"/>
      <c r="C46" s="1"/>
      <c r="D46" s="1"/>
      <c r="E46" s="1"/>
    </row>
    <row r="47" spans="1:9" x14ac:dyDescent="0.25">
      <c r="B47" s="1"/>
      <c r="C47" s="1"/>
      <c r="D47" s="1"/>
      <c r="E47" s="1"/>
    </row>
    <row r="48" spans="1:9" x14ac:dyDescent="0.25">
      <c r="B48" s="1"/>
      <c r="C48" s="1"/>
      <c r="D48" s="1"/>
      <c r="E48" s="1"/>
      <c r="F48" s="1"/>
      <c r="G48" s="1"/>
      <c r="H48" s="1"/>
      <c r="I48" s="1"/>
    </row>
    <row r="49" spans="2:9" x14ac:dyDescent="0.25">
      <c r="B49" s="1"/>
      <c r="C49" s="1"/>
      <c r="D49" s="1"/>
      <c r="E49" s="1"/>
      <c r="F49" s="1"/>
      <c r="G49" s="1"/>
      <c r="H49" s="1"/>
      <c r="I49" s="1"/>
    </row>
    <row r="50" spans="2:9" x14ac:dyDescent="0.25">
      <c r="B50" s="1"/>
      <c r="C50" s="1"/>
      <c r="D50" s="1"/>
      <c r="E50" s="1"/>
      <c r="F50" s="1"/>
      <c r="G50" s="1"/>
      <c r="H50" s="1"/>
      <c r="I50" s="1"/>
    </row>
    <row r="51" spans="2:9" x14ac:dyDescent="0.25">
      <c r="B51" s="1"/>
      <c r="C51" s="1"/>
      <c r="D51" s="1"/>
      <c r="E51" s="1"/>
      <c r="F51" s="1"/>
      <c r="G51" s="1"/>
      <c r="H51" s="1"/>
      <c r="I51" s="1"/>
    </row>
    <row r="52" spans="2:9" x14ac:dyDescent="0.25">
      <c r="B52" s="1"/>
      <c r="C52" s="1"/>
      <c r="D52" s="1"/>
      <c r="E52" s="1"/>
      <c r="F52" s="1"/>
      <c r="G52" s="1"/>
      <c r="H52" s="1"/>
      <c r="I52" s="1"/>
    </row>
    <row r="53" spans="2:9" x14ac:dyDescent="0.25">
      <c r="B53" s="1"/>
      <c r="C53" s="1"/>
      <c r="D53" s="1"/>
      <c r="E53" s="1"/>
      <c r="F53" s="1"/>
      <c r="G53" s="1"/>
      <c r="H53" s="1"/>
      <c r="I53" s="1"/>
    </row>
    <row r="54" spans="2:9" x14ac:dyDescent="0.25">
      <c r="B54" s="1"/>
      <c r="C54" s="1"/>
      <c r="D54" s="1"/>
      <c r="E54" s="1"/>
      <c r="F54" s="1"/>
      <c r="G54" s="1"/>
      <c r="H54" s="1"/>
      <c r="I54" s="1"/>
    </row>
    <row r="55" spans="2:9" x14ac:dyDescent="0.25">
      <c r="B55" s="1"/>
      <c r="C55" s="1"/>
      <c r="D55" s="1"/>
      <c r="E55" s="1"/>
      <c r="F55" s="1"/>
      <c r="G55" s="1"/>
      <c r="H55" s="1"/>
      <c r="I55" s="1"/>
    </row>
    <row r="56" spans="2:9" x14ac:dyDescent="0.25">
      <c r="B56" s="1"/>
      <c r="C56" s="1"/>
      <c r="D56" s="1"/>
      <c r="E56" s="1"/>
      <c r="F56" s="1"/>
      <c r="G56" s="1"/>
      <c r="H56" s="1"/>
      <c r="I56" s="1"/>
    </row>
    <row r="57" spans="2:9" x14ac:dyDescent="0.25">
      <c r="B57" s="1"/>
      <c r="C57" s="1"/>
      <c r="D57" s="1"/>
      <c r="E57" s="1"/>
      <c r="F57" s="1"/>
      <c r="G57" s="1"/>
      <c r="H57" s="1"/>
      <c r="I57" s="1"/>
    </row>
    <row r="62" spans="2:9" ht="15.75" thickBot="1" x14ac:dyDescent="0.3"/>
    <row r="63" spans="2:9" ht="15.75" thickBot="1" x14ac:dyDescent="0.3">
      <c r="C63" s="751" t="s">
        <v>83</v>
      </c>
      <c r="D63" s="752"/>
      <c r="E63" s="752"/>
      <c r="F63" s="753"/>
    </row>
    <row r="64" spans="2:9" ht="45.75" thickBot="1" x14ac:dyDescent="0.3">
      <c r="C64" s="2" t="s">
        <v>39</v>
      </c>
      <c r="D64" s="10" t="s">
        <v>84</v>
      </c>
      <c r="E64" s="2" t="s">
        <v>85</v>
      </c>
      <c r="F64" s="21" t="s">
        <v>86</v>
      </c>
    </row>
    <row r="65" spans="3:6" ht="15.75" thickBot="1" x14ac:dyDescent="0.3">
      <c r="C65" s="3" t="e">
        <f>'CARTA DE CONTROL'!#REF!</f>
        <v>#REF!</v>
      </c>
      <c r="D65" s="4" t="e">
        <f>'CARTA DE CONTROL'!#REF!</f>
        <v>#REF!</v>
      </c>
      <c r="E65" s="6" t="e">
        <f>'CARTA DE CONTROL'!#REF!</f>
        <v>#REF!</v>
      </c>
      <c r="F65" s="5" t="e">
        <f>IF(D65&lt;=0.3,IF(D65&gt;=-0.3,"PASS","NO PASS"))</f>
        <v>#REF!</v>
      </c>
    </row>
    <row r="66" spans="3:6" ht="15.75" thickBot="1" x14ac:dyDescent="0.3">
      <c r="C66" s="3" t="e">
        <f>'CARTA DE CONTROL'!#REF!</f>
        <v>#REF!</v>
      </c>
      <c r="D66" s="4" t="e">
        <f>'CARTA DE CONTROL'!#REF!</f>
        <v>#REF!</v>
      </c>
      <c r="E66" s="6" t="e">
        <f>'CARTA DE CONTROL'!#REF!</f>
        <v>#REF!</v>
      </c>
      <c r="F66" s="5" t="e">
        <f>IF(D66&lt;=0.6,IF(D66&gt;=-0.6,"PASS","NO PASS"))</f>
        <v>#REF!</v>
      </c>
    </row>
    <row r="67" spans="3:6" ht="15.75" thickBot="1" x14ac:dyDescent="0.3">
      <c r="C67" s="3" t="e">
        <f>'CARTA DE CONTROL'!#REF!</f>
        <v>#REF!</v>
      </c>
      <c r="D67" s="4" t="e">
        <f>'CARTA DE CONTROL'!#REF!</f>
        <v>#REF!</v>
      </c>
      <c r="E67" s="6" t="e">
        <f>'CARTA DE CONTROL'!#REF!</f>
        <v>#REF!</v>
      </c>
      <c r="F67" s="5" t="e">
        <f>IF(D67&lt;=0.3,IF(D67&gt;=-0.3,"PASS","NO PASS"))</f>
        <v>#REF!</v>
      </c>
    </row>
    <row r="68" spans="3:6" ht="15.75" thickBot="1" x14ac:dyDescent="0.3">
      <c r="C68" s="3" t="e">
        <f>'CARTA DE CONTROL'!#REF!</f>
        <v>#REF!</v>
      </c>
      <c r="D68" s="4" t="e">
        <f>'CARTA DE CONTROL'!#REF!</f>
        <v>#REF!</v>
      </c>
      <c r="E68" s="6" t="e">
        <f>'CARTA DE CONTROL'!#REF!</f>
        <v>#REF!</v>
      </c>
      <c r="F68" s="5" t="e">
        <f>IF(D68&lt;=0.6,IF(D68&gt;=-0.6,"PASS","NO PASS"))</f>
        <v>#REF!</v>
      </c>
    </row>
    <row r="81" spans="3:6" ht="15.75" thickBot="1" x14ac:dyDescent="0.3"/>
    <row r="82" spans="3:6" ht="15.75" thickBot="1" x14ac:dyDescent="0.3">
      <c r="C82" s="227" t="s">
        <v>87</v>
      </c>
      <c r="D82" s="228"/>
      <c r="E82" s="228"/>
      <c r="F82" s="229"/>
    </row>
    <row r="83" spans="3:6" ht="45.75" thickBot="1" x14ac:dyDescent="0.3">
      <c r="C83" s="2" t="s">
        <v>39</v>
      </c>
      <c r="D83" s="10" t="s">
        <v>88</v>
      </c>
      <c r="E83" s="2" t="s">
        <v>119</v>
      </c>
      <c r="F83" s="21" t="s">
        <v>86</v>
      </c>
    </row>
    <row r="84" spans="3:6" ht="15.75" thickBot="1" x14ac:dyDescent="0.3">
      <c r="C84" s="3" t="e">
        <f>'CARTA DE CONTROL'!#REF!</f>
        <v>#REF!</v>
      </c>
      <c r="D84" s="4" t="e">
        <f>'CARTA DE CONTROL'!#REF!</f>
        <v>#REF!</v>
      </c>
      <c r="E84" s="6" t="e">
        <f>'CARTA DE CONTROL'!#REF!</f>
        <v>#REF!</v>
      </c>
      <c r="F84" s="5" t="e">
        <f>IF(D84&lt;=0.4,IF(D84&gt;=-0.4,"PASS","NO PASS"))</f>
        <v>#REF!</v>
      </c>
    </row>
    <row r="85" spans="3:6" ht="15.75" thickBot="1" x14ac:dyDescent="0.3">
      <c r="C85" s="3" t="e">
        <f>'CARTA DE CONTROL'!#REF!</f>
        <v>#REF!</v>
      </c>
      <c r="D85" s="4" t="e">
        <f>'CARTA DE CONTROL'!#REF!</f>
        <v>#REF!</v>
      </c>
      <c r="E85" s="6" t="e">
        <f>'CARTA DE CONTROL'!#REF!</f>
        <v>#REF!</v>
      </c>
      <c r="F85" s="5" t="e">
        <f>IF(D85&lt;=1,IF(D85&gt;=-1,"PASS","NO PASS"))</f>
        <v>#REF!</v>
      </c>
    </row>
    <row r="86" spans="3:6" ht="15.75" thickBot="1" x14ac:dyDescent="0.3">
      <c r="C86" s="3" t="e">
        <f>'CARTA DE CONTROL'!#REF!</f>
        <v>#REF!</v>
      </c>
      <c r="D86" s="4" t="e">
        <f>'CARTA DE CONTROL'!#REF!</f>
        <v>#REF!</v>
      </c>
      <c r="E86" s="6" t="e">
        <f>'CARTA DE CONTROL'!#REF!</f>
        <v>#REF!</v>
      </c>
      <c r="F86" s="5" t="e">
        <f>IF(D86&lt;=0.4,IF(D86&gt;=-0.4,"PASS","NO PASS"))</f>
        <v>#REF!</v>
      </c>
    </row>
    <row r="87" spans="3:6" ht="15.75" thickBot="1" x14ac:dyDescent="0.3">
      <c r="C87" s="3" t="e">
        <f>'CARTA DE CONTROL'!#REF!</f>
        <v>#REF!</v>
      </c>
      <c r="D87" s="4" t="e">
        <f>'CARTA DE CONTROL'!#REF!</f>
        <v>#REF!</v>
      </c>
      <c r="E87" s="6" t="e">
        <f>'CARTA DE CONTROL'!#REF!</f>
        <v>#REF!</v>
      </c>
      <c r="F87" s="5" t="e">
        <f>IF(D87&lt;=1,IF(D87&gt;=-1,"PASS","NO PASS"))</f>
        <v>#REF!</v>
      </c>
    </row>
  </sheetData>
  <mergeCells count="53">
    <mergeCell ref="C63:F63"/>
    <mergeCell ref="C7:E7"/>
    <mergeCell ref="C8:E8"/>
    <mergeCell ref="C9:E9"/>
    <mergeCell ref="C10:E10"/>
    <mergeCell ref="A12:G12"/>
    <mergeCell ref="B13:D13"/>
    <mergeCell ref="F13:G13"/>
    <mergeCell ref="B14:D14"/>
    <mergeCell ref="F14:G14"/>
    <mergeCell ref="B15:D15"/>
    <mergeCell ref="F15:G15"/>
    <mergeCell ref="B16:D16"/>
    <mergeCell ref="F16:G16"/>
    <mergeCell ref="B17:D17"/>
    <mergeCell ref="F17:G17"/>
    <mergeCell ref="B18:D18"/>
    <mergeCell ref="F18:G18"/>
    <mergeCell ref="B19:D19"/>
    <mergeCell ref="F19:G19"/>
    <mergeCell ref="B20:D20"/>
    <mergeCell ref="F20:G20"/>
    <mergeCell ref="B21:D21"/>
    <mergeCell ref="F21:G21"/>
    <mergeCell ref="B22:D22"/>
    <mergeCell ref="F22:G22"/>
    <mergeCell ref="B23:D23"/>
    <mergeCell ref="F23:G23"/>
    <mergeCell ref="B24:D24"/>
    <mergeCell ref="F24:G24"/>
    <mergeCell ref="B25:D25"/>
    <mergeCell ref="F25:G25"/>
    <mergeCell ref="B26:D26"/>
    <mergeCell ref="F26:G26"/>
    <mergeCell ref="B27:D27"/>
    <mergeCell ref="F27:G27"/>
    <mergeCell ref="B28:D28"/>
    <mergeCell ref="F28:G28"/>
    <mergeCell ref="A30:G30"/>
    <mergeCell ref="B31:D31"/>
    <mergeCell ref="F31:G31"/>
    <mergeCell ref="B32:D32"/>
    <mergeCell ref="F32:G32"/>
    <mergeCell ref="B36:D36"/>
    <mergeCell ref="F36:G36"/>
    <mergeCell ref="B37:D37"/>
    <mergeCell ref="F37:G37"/>
    <mergeCell ref="B33:D33"/>
    <mergeCell ref="F33:G33"/>
    <mergeCell ref="B34:D34"/>
    <mergeCell ref="F34:G34"/>
    <mergeCell ref="B35:D35"/>
    <mergeCell ref="F35:G35"/>
  </mergeCells>
  <conditionalFormatting sqref="F84 F65:F68">
    <cfRule type="cellIs" dxfId="10" priority="13" operator="lessThan">
      <formula>$I$85</formula>
    </cfRule>
    <cfRule type="cellIs" dxfId="9" priority="14" operator="lessThan">
      <formula>0.05</formula>
    </cfRule>
  </conditionalFormatting>
  <conditionalFormatting sqref="F85">
    <cfRule type="cellIs" dxfId="8" priority="5" operator="lessThan">
      <formula>$I$85</formula>
    </cfRule>
    <cfRule type="cellIs" dxfId="7" priority="6" operator="lessThan">
      <formula>0.05</formula>
    </cfRule>
  </conditionalFormatting>
  <conditionalFormatting sqref="G40:G43">
    <cfRule type="cellIs" dxfId="6" priority="66" operator="lessThan">
      <formula>$G$82</formula>
    </cfRule>
    <cfRule type="cellIs" dxfId="5" priority="67" operator="lessThan">
      <formula>0.05</formula>
    </cfRule>
  </conditionalFormatting>
  <conditionalFormatting sqref="G40:G43">
    <cfRule type="cellIs" dxfId="4" priority="68" operator="between">
      <formula>$G$82</formula>
      <formula>$H$82</formula>
    </cfRule>
  </conditionalFormatting>
  <conditionalFormatting sqref="F86">
    <cfRule type="cellIs" dxfId="3" priority="3" operator="lessThan">
      <formula>$I$85</formula>
    </cfRule>
    <cfRule type="cellIs" dxfId="2" priority="4" operator="lessThan">
      <formula>0.05</formula>
    </cfRule>
  </conditionalFormatting>
  <conditionalFormatting sqref="F87">
    <cfRule type="cellIs" dxfId="1" priority="1" operator="lessThan">
      <formula>$I$85</formula>
    </cfRule>
    <cfRule type="cellIs" dxfId="0" priority="2" operator="lessThan">
      <formula>0.05</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6"/>
  <sheetViews>
    <sheetView topLeftCell="A49" zoomScaleNormal="100" workbookViewId="0">
      <selection activeCell="G95" sqref="G95"/>
    </sheetView>
  </sheetViews>
  <sheetFormatPr baseColWidth="10" defaultRowHeight="15" x14ac:dyDescent="0.25"/>
  <cols>
    <col min="1" max="1" width="4.28515625" customWidth="1"/>
    <col min="2" max="2" width="22.85546875" customWidth="1"/>
    <col min="3" max="3" width="21.7109375" customWidth="1"/>
    <col min="4" max="4" width="21" customWidth="1"/>
    <col min="5" max="5" width="22.7109375" customWidth="1"/>
    <col min="8" max="8" width="12.7109375" customWidth="1"/>
  </cols>
  <sheetData>
    <row r="1" spans="1:11" ht="15" customHeight="1" x14ac:dyDescent="0.25">
      <c r="E1" s="214"/>
    </row>
    <row r="2" spans="1:11" ht="15" customHeight="1" x14ac:dyDescent="0.25">
      <c r="B2" s="189"/>
      <c r="C2" s="189"/>
      <c r="D2" s="189"/>
      <c r="E2" s="215"/>
      <c r="F2" s="189"/>
      <c r="G2" s="189"/>
      <c r="H2" s="189"/>
    </row>
    <row r="3" spans="1:11" ht="15" customHeight="1" x14ac:dyDescent="0.25">
      <c r="B3" s="189"/>
      <c r="C3" s="189"/>
      <c r="D3" s="189"/>
      <c r="E3" s="215"/>
      <c r="F3" s="189"/>
      <c r="G3" s="189"/>
      <c r="H3" s="189"/>
    </row>
    <row r="4" spans="1:11" ht="15" customHeight="1" x14ac:dyDescent="0.25">
      <c r="B4" s="189"/>
      <c r="C4" s="189"/>
      <c r="D4" s="189"/>
      <c r="E4" s="215"/>
      <c r="F4" s="189"/>
      <c r="G4" s="189"/>
      <c r="H4" s="189"/>
    </row>
    <row r="5" spans="1:11" ht="15" customHeight="1" x14ac:dyDescent="0.25">
      <c r="B5" s="189"/>
      <c r="C5" s="189"/>
      <c r="D5" s="189"/>
      <c r="E5" s="215"/>
      <c r="F5" s="189"/>
      <c r="G5" s="189"/>
      <c r="H5" s="189"/>
    </row>
    <row r="6" spans="1:11" ht="15" customHeight="1" x14ac:dyDescent="0.25">
      <c r="B6" s="189"/>
      <c r="C6" s="189"/>
      <c r="D6" s="189"/>
      <c r="E6" s="215"/>
      <c r="F6" s="189"/>
      <c r="G6" s="189"/>
      <c r="H6" s="189"/>
    </row>
    <row r="7" spans="1:11" x14ac:dyDescent="0.25">
      <c r="B7" s="231" t="s">
        <v>157</v>
      </c>
      <c r="C7" s="770" t="str">
        <f>'CARTA DE CONTROL'!B10</f>
        <v xml:space="preserve">ANALIZADOR DE GASES </v>
      </c>
      <c r="D7" s="771"/>
      <c r="E7" s="772"/>
    </row>
    <row r="8" spans="1:11" x14ac:dyDescent="0.25">
      <c r="B8" s="231" t="s">
        <v>158</v>
      </c>
      <c r="C8" s="770" t="str">
        <f>'CARTA DE CONTROL'!D10</f>
        <v>ACTIA</v>
      </c>
      <c r="D8" s="771"/>
      <c r="E8" s="772"/>
    </row>
    <row r="9" spans="1:11" x14ac:dyDescent="0.25">
      <c r="B9" s="231" t="s">
        <v>159</v>
      </c>
      <c r="C9" s="770" t="str">
        <f>'CARTA DE CONTROL'!E10</f>
        <v>AT505</v>
      </c>
      <c r="D9" s="771"/>
      <c r="E9" s="772"/>
    </row>
    <row r="10" spans="1:11" x14ac:dyDescent="0.25">
      <c r="B10" s="231" t="s">
        <v>160</v>
      </c>
      <c r="C10" s="773" t="str">
        <f>'CARTA DE CONTROL'!F10</f>
        <v>018/18</v>
      </c>
      <c r="D10" s="774"/>
      <c r="E10" s="775"/>
    </row>
    <row r="11" spans="1:11" ht="15" customHeight="1" thickBot="1" x14ac:dyDescent="0.3">
      <c r="B11" s="189"/>
      <c r="C11" s="189"/>
      <c r="D11" s="189"/>
      <c r="E11" s="215"/>
      <c r="F11" s="189"/>
      <c r="G11" s="189"/>
      <c r="H11" s="202"/>
      <c r="I11" s="203"/>
      <c r="J11" s="203"/>
      <c r="K11" s="203"/>
    </row>
    <row r="12" spans="1:11" s="190" customFormat="1" ht="34.5" customHeight="1" x14ac:dyDescent="0.2">
      <c r="A12" s="776" t="s">
        <v>127</v>
      </c>
      <c r="B12" s="777"/>
      <c r="C12" s="777"/>
      <c r="D12" s="777"/>
      <c r="E12" s="777"/>
      <c r="F12" s="777"/>
      <c r="G12" s="778"/>
      <c r="H12" s="204"/>
      <c r="I12" s="204"/>
      <c r="J12" s="204"/>
      <c r="K12" s="204"/>
    </row>
    <row r="13" spans="1:11" s="190" customFormat="1" ht="15" customHeight="1" x14ac:dyDescent="0.2">
      <c r="A13" s="207" t="s">
        <v>128</v>
      </c>
      <c r="B13" s="779" t="s">
        <v>129</v>
      </c>
      <c r="C13" s="780"/>
      <c r="D13" s="781"/>
      <c r="E13" s="200" t="s">
        <v>130</v>
      </c>
      <c r="F13" s="782" t="s">
        <v>131</v>
      </c>
      <c r="G13" s="783"/>
      <c r="H13" s="205"/>
      <c r="I13" s="205"/>
      <c r="J13" s="205"/>
      <c r="K13" s="205"/>
    </row>
    <row r="14" spans="1:11" s="1" customFormat="1" ht="35.25" customHeight="1" x14ac:dyDescent="0.2">
      <c r="A14" s="208">
        <v>1</v>
      </c>
      <c r="B14" s="761" t="s">
        <v>132</v>
      </c>
      <c r="C14" s="761"/>
      <c r="D14" s="761"/>
      <c r="E14" s="191" t="s">
        <v>133</v>
      </c>
      <c r="F14" s="762"/>
      <c r="G14" s="763"/>
      <c r="H14" s="206"/>
      <c r="I14" s="206"/>
      <c r="J14" s="206"/>
      <c r="K14" s="206"/>
    </row>
    <row r="15" spans="1:11" s="1" customFormat="1" ht="35.25" customHeight="1" x14ac:dyDescent="0.2">
      <c r="A15" s="208">
        <v>2</v>
      </c>
      <c r="B15" s="761" t="s">
        <v>134</v>
      </c>
      <c r="C15" s="761"/>
      <c r="D15" s="761"/>
      <c r="E15" s="191" t="s">
        <v>133</v>
      </c>
      <c r="F15" s="762"/>
      <c r="G15" s="763"/>
    </row>
    <row r="16" spans="1:11" s="1" customFormat="1" ht="35.25" customHeight="1" x14ac:dyDescent="0.2">
      <c r="A16" s="208">
        <v>3</v>
      </c>
      <c r="B16" s="761" t="s">
        <v>135</v>
      </c>
      <c r="C16" s="761"/>
      <c r="D16" s="761"/>
      <c r="E16" s="191" t="s">
        <v>133</v>
      </c>
      <c r="F16" s="762"/>
      <c r="G16" s="763"/>
    </row>
    <row r="17" spans="1:11" s="1" customFormat="1" ht="35.25" customHeight="1" x14ac:dyDescent="0.2">
      <c r="A17" s="208">
        <v>4</v>
      </c>
      <c r="B17" s="761" t="s">
        <v>136</v>
      </c>
      <c r="C17" s="761"/>
      <c r="D17" s="761"/>
      <c r="E17" s="191" t="s">
        <v>133</v>
      </c>
      <c r="F17" s="784"/>
      <c r="G17" s="785"/>
    </row>
    <row r="18" spans="1:11" s="1" customFormat="1" ht="35.25" customHeight="1" x14ac:dyDescent="0.2">
      <c r="A18" s="208">
        <v>5</v>
      </c>
      <c r="B18" s="761" t="s">
        <v>137</v>
      </c>
      <c r="C18" s="761"/>
      <c r="D18" s="761"/>
      <c r="E18" s="191" t="s">
        <v>133</v>
      </c>
      <c r="F18" s="762"/>
      <c r="G18" s="763"/>
    </row>
    <row r="19" spans="1:11" s="1" customFormat="1" ht="35.25" customHeight="1" x14ac:dyDescent="0.2">
      <c r="A19" s="208">
        <v>6</v>
      </c>
      <c r="B19" s="761" t="s">
        <v>138</v>
      </c>
      <c r="C19" s="761"/>
      <c r="D19" s="761"/>
      <c r="E19" s="191" t="s">
        <v>133</v>
      </c>
      <c r="F19" s="762"/>
      <c r="G19" s="763"/>
    </row>
    <row r="20" spans="1:11" s="1" customFormat="1" ht="35.25" customHeight="1" x14ac:dyDescent="0.2">
      <c r="A20" s="208">
        <v>7</v>
      </c>
      <c r="B20" s="761" t="s">
        <v>139</v>
      </c>
      <c r="C20" s="761"/>
      <c r="D20" s="761"/>
      <c r="E20" s="191" t="s">
        <v>133</v>
      </c>
      <c r="F20" s="762"/>
      <c r="G20" s="763"/>
    </row>
    <row r="21" spans="1:11" s="1" customFormat="1" ht="35.25" customHeight="1" x14ac:dyDescent="0.2">
      <c r="A21" s="208">
        <v>8</v>
      </c>
      <c r="B21" s="761" t="s">
        <v>140</v>
      </c>
      <c r="C21" s="761"/>
      <c r="D21" s="761"/>
      <c r="E21" s="191" t="s">
        <v>133</v>
      </c>
      <c r="F21" s="762"/>
      <c r="G21" s="763"/>
    </row>
    <row r="22" spans="1:11" s="1" customFormat="1" ht="35.25" customHeight="1" x14ac:dyDescent="0.2">
      <c r="A22" s="208">
        <v>9</v>
      </c>
      <c r="B22" s="761" t="s">
        <v>141</v>
      </c>
      <c r="C22" s="761"/>
      <c r="D22" s="761"/>
      <c r="E22" s="191" t="s">
        <v>133</v>
      </c>
      <c r="F22" s="762"/>
      <c r="G22" s="763"/>
    </row>
    <row r="23" spans="1:11" s="1" customFormat="1" ht="35.25" customHeight="1" x14ac:dyDescent="0.2">
      <c r="A23" s="208">
        <v>10</v>
      </c>
      <c r="B23" s="761" t="s">
        <v>142</v>
      </c>
      <c r="C23" s="761"/>
      <c r="D23" s="761"/>
      <c r="E23" s="191" t="s">
        <v>133</v>
      </c>
      <c r="F23" s="762"/>
      <c r="G23" s="763"/>
    </row>
    <row r="24" spans="1:11" s="1" customFormat="1" ht="35.25" customHeight="1" x14ac:dyDescent="0.2">
      <c r="A24" s="208">
        <v>11</v>
      </c>
      <c r="B24" s="761" t="s">
        <v>143</v>
      </c>
      <c r="C24" s="761"/>
      <c r="D24" s="761"/>
      <c r="E24" s="191" t="s">
        <v>133</v>
      </c>
      <c r="F24" s="762"/>
      <c r="G24" s="763"/>
    </row>
    <row r="25" spans="1:11" s="194" customFormat="1" ht="35.25" customHeight="1" x14ac:dyDescent="0.2">
      <c r="A25" s="209">
        <v>12</v>
      </c>
      <c r="B25" s="761" t="s">
        <v>144</v>
      </c>
      <c r="C25" s="761"/>
      <c r="D25" s="761"/>
      <c r="E25" s="193" t="s">
        <v>133</v>
      </c>
      <c r="F25" s="762"/>
      <c r="G25" s="763"/>
    </row>
    <row r="26" spans="1:11" s="1" customFormat="1" ht="35.25" customHeight="1" x14ac:dyDescent="0.2">
      <c r="A26" s="208">
        <v>13</v>
      </c>
      <c r="B26" s="761" t="s">
        <v>145</v>
      </c>
      <c r="C26" s="761"/>
      <c r="D26" s="761"/>
      <c r="E26" s="191" t="s">
        <v>133</v>
      </c>
      <c r="F26" s="762"/>
      <c r="G26" s="763"/>
    </row>
    <row r="27" spans="1:11" s="1" customFormat="1" ht="35.25" customHeight="1" x14ac:dyDescent="0.2">
      <c r="A27" s="208">
        <v>14</v>
      </c>
      <c r="B27" s="761" t="s">
        <v>146</v>
      </c>
      <c r="C27" s="761"/>
      <c r="D27" s="761"/>
      <c r="E27" s="191" t="s">
        <v>133</v>
      </c>
      <c r="F27" s="762"/>
      <c r="G27" s="763"/>
    </row>
    <row r="28" spans="1:11" s="1" customFormat="1" ht="54.75" customHeight="1" thickBot="1" x14ac:dyDescent="0.25">
      <c r="A28" s="210">
        <v>15</v>
      </c>
      <c r="B28" s="764" t="s">
        <v>147</v>
      </c>
      <c r="C28" s="764"/>
      <c r="D28" s="764"/>
      <c r="E28" s="211" t="s">
        <v>133</v>
      </c>
      <c r="F28" s="765"/>
      <c r="G28" s="766"/>
    </row>
    <row r="29" spans="1:11" s="198" customFormat="1" ht="21" customHeight="1" thickBot="1" x14ac:dyDescent="0.25">
      <c r="B29" s="195"/>
      <c r="C29" s="196"/>
      <c r="D29" s="196"/>
      <c r="E29" s="195"/>
      <c r="F29" s="196"/>
      <c r="G29" s="196"/>
      <c r="H29" s="197"/>
      <c r="I29" s="197"/>
    </row>
    <row r="30" spans="1:11" s="219" customFormat="1" ht="15" customHeight="1" x14ac:dyDescent="0.2">
      <c r="A30" s="767" t="s">
        <v>148</v>
      </c>
      <c r="B30" s="768"/>
      <c r="C30" s="768"/>
      <c r="D30" s="768"/>
      <c r="E30" s="768"/>
      <c r="F30" s="768"/>
      <c r="G30" s="769"/>
      <c r="H30" s="222"/>
      <c r="I30" s="223"/>
      <c r="J30" s="223"/>
      <c r="K30" s="223"/>
    </row>
    <row r="31" spans="1:11" s="219" customFormat="1" ht="15" customHeight="1" x14ac:dyDescent="0.2">
      <c r="A31" s="220" t="s">
        <v>128</v>
      </c>
      <c r="B31" s="759" t="s">
        <v>129</v>
      </c>
      <c r="C31" s="759"/>
      <c r="D31" s="759"/>
      <c r="E31" s="221" t="s">
        <v>130</v>
      </c>
      <c r="F31" s="759" t="s">
        <v>131</v>
      </c>
      <c r="G31" s="760"/>
      <c r="H31" s="224"/>
      <c r="I31" s="225"/>
      <c r="J31" s="225"/>
      <c r="K31" s="225"/>
    </row>
    <row r="32" spans="1:11" s="1" customFormat="1" ht="55.5" customHeight="1" x14ac:dyDescent="0.2">
      <c r="A32" s="216">
        <v>1</v>
      </c>
      <c r="B32" s="754" t="s">
        <v>149</v>
      </c>
      <c r="C32" s="754"/>
      <c r="D32" s="754"/>
      <c r="E32" s="199" t="s">
        <v>150</v>
      </c>
      <c r="F32" s="755"/>
      <c r="G32" s="756"/>
      <c r="H32" s="226"/>
      <c r="I32" s="206"/>
      <c r="J32" s="206"/>
      <c r="K32" s="206"/>
    </row>
    <row r="33" spans="1:8" s="1" customFormat="1" ht="25.5" customHeight="1" x14ac:dyDescent="0.2">
      <c r="A33" s="216">
        <v>2</v>
      </c>
      <c r="B33" s="754" t="s">
        <v>151</v>
      </c>
      <c r="C33" s="754"/>
      <c r="D33" s="754"/>
      <c r="E33" s="199" t="s">
        <v>150</v>
      </c>
      <c r="F33" s="755"/>
      <c r="G33" s="756"/>
    </row>
    <row r="34" spans="1:8" s="1" customFormat="1" ht="25.5" customHeight="1" x14ac:dyDescent="0.2">
      <c r="A34" s="216">
        <v>3</v>
      </c>
      <c r="B34" s="754" t="s">
        <v>152</v>
      </c>
      <c r="C34" s="754"/>
      <c r="D34" s="754"/>
      <c r="E34" s="199" t="s">
        <v>150</v>
      </c>
      <c r="F34" s="755"/>
      <c r="G34" s="756"/>
    </row>
    <row r="35" spans="1:8" s="1" customFormat="1" ht="25.5" customHeight="1" x14ac:dyDescent="0.2">
      <c r="A35" s="216">
        <v>4</v>
      </c>
      <c r="B35" s="754" t="s">
        <v>153</v>
      </c>
      <c r="C35" s="754"/>
      <c r="D35" s="754"/>
      <c r="E35" s="199" t="s">
        <v>154</v>
      </c>
      <c r="F35" s="755"/>
      <c r="G35" s="756"/>
    </row>
    <row r="36" spans="1:8" s="1" customFormat="1" ht="25.5" customHeight="1" x14ac:dyDescent="0.2">
      <c r="A36" s="216">
        <v>5</v>
      </c>
      <c r="B36" s="754" t="s">
        <v>155</v>
      </c>
      <c r="C36" s="754"/>
      <c r="D36" s="754"/>
      <c r="E36" s="199" t="s">
        <v>154</v>
      </c>
      <c r="F36" s="757"/>
      <c r="G36" s="758"/>
    </row>
    <row r="37" spans="1:8" s="1" customFormat="1" ht="25.5" customHeight="1" thickBot="1" x14ac:dyDescent="0.25">
      <c r="A37" s="217">
        <v>6</v>
      </c>
      <c r="B37" s="748" t="s">
        <v>156</v>
      </c>
      <c r="C37" s="748"/>
      <c r="D37" s="748"/>
      <c r="E37" s="218" t="s">
        <v>154</v>
      </c>
      <c r="F37" s="749"/>
      <c r="G37" s="750"/>
    </row>
    <row r="39" spans="1:8" ht="15.75" thickBot="1" x14ac:dyDescent="0.3"/>
    <row r="40" spans="1:8" ht="79.5" thickBot="1" x14ac:dyDescent="0.3">
      <c r="B40" s="2" t="s">
        <v>39</v>
      </c>
      <c r="C40" s="11" t="s">
        <v>92</v>
      </c>
      <c r="D40" s="11" t="s">
        <v>93</v>
      </c>
      <c r="E40" s="2" t="s">
        <v>94</v>
      </c>
      <c r="F40" s="2" t="s">
        <v>95</v>
      </c>
      <c r="G40" s="21" t="s">
        <v>96</v>
      </c>
    </row>
    <row r="41" spans="1:8" ht="15.75" thickBot="1" x14ac:dyDescent="0.3">
      <c r="B41" s="3">
        <f>'CARTA DE CONTROL'!R14</f>
        <v>5.98</v>
      </c>
      <c r="C41" s="4">
        <f>'CARTA DE CONTROL'!AR14</f>
        <v>0.12</v>
      </c>
      <c r="D41" s="4">
        <f>'CARTA DE CONTROL'!AT14</f>
        <v>0.12</v>
      </c>
      <c r="E41" s="6">
        <f>'CARTA DE CONTROL'!I14</f>
        <v>0.6</v>
      </c>
      <c r="F41" s="7">
        <f>-('CARTA DE CONTROL'!I14)</f>
        <v>-0.6</v>
      </c>
      <c r="G41" s="5" t="str">
        <f>IF(C41&lt;=0.4,IF(D41&gt;=-0.4,"PASS","NO PASS"))</f>
        <v>PASS</v>
      </c>
    </row>
    <row r="42" spans="1:8" ht="15.75" thickBot="1" x14ac:dyDescent="0.3">
      <c r="B42" s="3">
        <f>'CARTA DE CONTROL'!R15</f>
        <v>10.5</v>
      </c>
      <c r="C42" s="4">
        <f>'CARTA DE CONTROL'!AR15</f>
        <v>0.29999999999999966</v>
      </c>
      <c r="D42" s="4">
        <f>'CARTA DE CONTROL'!AT15</f>
        <v>0.29999999999999966</v>
      </c>
      <c r="E42" s="6">
        <f>'CARTA DE CONTROL'!I15</f>
        <v>0.6</v>
      </c>
      <c r="F42" s="7">
        <f>-('CARTA DE CONTROL'!I15)</f>
        <v>-0.6</v>
      </c>
      <c r="G42" s="5" t="str">
        <f>IF(C42&lt;=0.8,IF(D42&gt;=-0.8,"PASS","NO PASS"))</f>
        <v>PASS</v>
      </c>
    </row>
    <row r="43" spans="1:8" ht="15.75" thickBot="1" x14ac:dyDescent="0.3">
      <c r="B43" s="3">
        <f>'CARTA DE CONTROL'!R16</f>
        <v>13.02</v>
      </c>
      <c r="C43" s="4">
        <f>'CARTA DE CONTROL'!AR16</f>
        <v>0.15</v>
      </c>
      <c r="D43" s="4">
        <f>'CARTA DE CONTROL'!AT16</f>
        <v>0.15</v>
      </c>
      <c r="E43" s="6">
        <f>'CARTA DE CONTROL'!I16</f>
        <v>0.6</v>
      </c>
      <c r="F43" s="7">
        <f>-('CARTA DE CONTROL'!I16)</f>
        <v>-0.6</v>
      </c>
      <c r="G43" s="5" t="str">
        <f>IF(C43&lt;=0.4,IF(D43&gt;=-0.4,"PASS","NO PASS"))</f>
        <v>PASS</v>
      </c>
    </row>
    <row r="44" spans="1:8" ht="15.75" thickBot="1" x14ac:dyDescent="0.3">
      <c r="B44" s="3">
        <f>'CARTA DE CONTROL'!R17</f>
        <v>0</v>
      </c>
      <c r="C44" s="4">
        <f>'CARTA DE CONTROL'!AR17</f>
        <v>5.8000000000000003E-2</v>
      </c>
      <c r="D44" s="4">
        <f>'CARTA DE CONTROL'!AT17</f>
        <v>5.8000000000000003E-2</v>
      </c>
      <c r="E44" s="6">
        <f>'CARTA DE CONTROL'!I17</f>
        <v>0.6</v>
      </c>
      <c r="F44" s="7">
        <f>-('CARTA DE CONTROL'!I17)</f>
        <v>-0.6</v>
      </c>
      <c r="G44" s="5" t="str">
        <f>IF(C44&lt;=0.8,IF(D44&gt;=-0.8,"PASS","NO PASS"))</f>
        <v>PASS</v>
      </c>
    </row>
    <row r="45" spans="1:8" ht="15.75" thickBot="1" x14ac:dyDescent="0.3">
      <c r="A45" s="1"/>
      <c r="B45" s="3">
        <f>'CARTA DE CONTROL'!R30</f>
        <v>5.98</v>
      </c>
      <c r="C45" s="4">
        <f>'CARTA DE CONTROL'!AR30</f>
        <v>0.12</v>
      </c>
      <c r="D45" s="4">
        <f>'CARTA DE CONTROL'!AT30</f>
        <v>0.12</v>
      </c>
      <c r="E45" s="6">
        <f>'CARTA DE CONTROL'!I30</f>
        <v>0.6</v>
      </c>
      <c r="F45" s="7">
        <f>-('CARTA DE CONTROL'!I30)</f>
        <v>-0.6</v>
      </c>
      <c r="G45" s="5" t="str">
        <f t="shared" ref="G45" si="0">IF(C45&lt;=0.8,IF(D45&gt;=-0.8,"PASS","NO PASS"))</f>
        <v>PASS</v>
      </c>
      <c r="H45" s="1"/>
    </row>
    <row r="46" spans="1:8" ht="15.75" thickBot="1" x14ac:dyDescent="0.3">
      <c r="A46" s="1"/>
      <c r="B46" s="3">
        <f>'CARTA DE CONTROL'!R31</f>
        <v>10.5</v>
      </c>
      <c r="C46" s="4">
        <f>'CARTA DE CONTROL'!AR31</f>
        <v>0.2</v>
      </c>
      <c r="D46" s="4">
        <f>'CARTA DE CONTROL'!AT31</f>
        <v>0.2</v>
      </c>
      <c r="E46" s="6">
        <f>'CARTA DE CONTROL'!I31</f>
        <v>0.6</v>
      </c>
      <c r="F46" s="7">
        <f>-('CARTA DE CONTROL'!I31)</f>
        <v>-0.6</v>
      </c>
      <c r="G46" s="5" t="str">
        <f t="shared" ref="G46:G48" si="1">IF(C46&lt;=0.8,IF(D46&gt;=-0.8,"PASS","NO PASS"))</f>
        <v>PASS</v>
      </c>
    </row>
    <row r="47" spans="1:8" ht="15.75" thickBot="1" x14ac:dyDescent="0.3">
      <c r="A47" s="1"/>
      <c r="B47" s="3">
        <f>'CARTA DE CONTROL'!R32</f>
        <v>13.02</v>
      </c>
      <c r="C47" s="4">
        <f>'CARTA DE CONTROL'!AR32</f>
        <v>0.15</v>
      </c>
      <c r="D47" s="4">
        <f>'CARTA DE CONTROL'!AT32</f>
        <v>0.15</v>
      </c>
      <c r="E47" s="6">
        <f>'CARTA DE CONTROL'!I32</f>
        <v>0.6</v>
      </c>
      <c r="F47" s="7">
        <f>-('CARTA DE CONTROL'!I32)</f>
        <v>-0.6</v>
      </c>
      <c r="G47" s="5" t="str">
        <f t="shared" si="1"/>
        <v>PASS</v>
      </c>
    </row>
    <row r="48" spans="1:8" ht="15.75" thickBot="1" x14ac:dyDescent="0.3">
      <c r="A48" s="1"/>
      <c r="B48" s="3">
        <f>'CARTA DE CONTROL'!R33</f>
        <v>0</v>
      </c>
      <c r="C48" s="4">
        <f>'CARTA DE CONTROL'!AR33</f>
        <v>5.8000000000000003E-2</v>
      </c>
      <c r="D48" s="4">
        <f>'CARTA DE CONTROL'!AT33</f>
        <v>5.8000000000000003E-2</v>
      </c>
      <c r="E48" s="6">
        <f>'CARTA DE CONTROL'!I33</f>
        <v>0.6</v>
      </c>
      <c r="F48" s="7">
        <f>-('CARTA DE CONTROL'!I33)</f>
        <v>-0.6</v>
      </c>
      <c r="G48" s="5" t="str">
        <f t="shared" si="1"/>
        <v>PASS</v>
      </c>
    </row>
    <row r="49" spans="1:8" x14ac:dyDescent="0.25">
      <c r="A49" s="1"/>
      <c r="B49" s="1"/>
      <c r="C49" s="1"/>
      <c r="D49" s="1"/>
      <c r="E49" s="1"/>
      <c r="F49" s="1"/>
      <c r="G49" s="1"/>
      <c r="H49" s="1"/>
    </row>
    <row r="50" spans="1:8" x14ac:dyDescent="0.25">
      <c r="A50" s="1"/>
      <c r="B50" s="1"/>
      <c r="C50" s="1"/>
      <c r="D50" s="1"/>
      <c r="E50" s="1"/>
      <c r="F50" s="1"/>
      <c r="G50" s="1"/>
      <c r="H50" s="1"/>
    </row>
    <row r="51" spans="1:8" x14ac:dyDescent="0.25">
      <c r="A51" s="1"/>
      <c r="B51" s="1"/>
      <c r="C51" s="1"/>
      <c r="D51" s="1"/>
      <c r="E51" s="1"/>
      <c r="F51" s="1"/>
      <c r="G51" s="1"/>
      <c r="H51" s="1"/>
    </row>
    <row r="52" spans="1:8" x14ac:dyDescent="0.25">
      <c r="A52" s="1"/>
      <c r="B52" s="1"/>
      <c r="C52" s="1"/>
      <c r="D52" s="1"/>
      <c r="E52" s="1"/>
      <c r="F52" s="1"/>
      <c r="G52" s="1"/>
      <c r="H52" s="1"/>
    </row>
    <row r="53" spans="1:8" x14ac:dyDescent="0.25">
      <c r="A53" s="1"/>
      <c r="B53" s="1"/>
      <c r="C53" s="1"/>
      <c r="D53" s="1"/>
      <c r="E53" s="1"/>
      <c r="F53" s="1"/>
      <c r="G53" s="1"/>
      <c r="H53" s="1"/>
    </row>
    <row r="54" spans="1:8" x14ac:dyDescent="0.25">
      <c r="A54" s="1"/>
      <c r="B54" s="1"/>
      <c r="C54" s="1"/>
      <c r="D54" s="1"/>
      <c r="E54" s="1"/>
      <c r="F54" s="1"/>
      <c r="G54" s="1"/>
      <c r="H54" s="1"/>
    </row>
    <row r="55" spans="1:8" x14ac:dyDescent="0.25">
      <c r="A55" s="1"/>
      <c r="B55" s="1"/>
      <c r="C55" s="1"/>
      <c r="D55" s="1"/>
      <c r="E55" s="1"/>
      <c r="F55" s="1"/>
      <c r="G55" s="1"/>
      <c r="H55" s="1"/>
    </row>
    <row r="56" spans="1:8" x14ac:dyDescent="0.25">
      <c r="A56" s="1"/>
      <c r="B56" s="1"/>
      <c r="C56" s="1"/>
      <c r="D56" s="1"/>
      <c r="E56" s="1"/>
      <c r="F56" s="1"/>
      <c r="G56" s="1"/>
      <c r="H56" s="1"/>
    </row>
    <row r="57" spans="1:8" x14ac:dyDescent="0.25">
      <c r="A57" s="1"/>
      <c r="B57" s="1"/>
      <c r="C57" s="1"/>
      <c r="D57" s="1"/>
      <c r="E57" s="1"/>
      <c r="F57" s="1"/>
      <c r="G57" s="1"/>
      <c r="H57" s="1"/>
    </row>
    <row r="58" spans="1:8" x14ac:dyDescent="0.25">
      <c r="A58" s="1"/>
      <c r="B58" s="1"/>
      <c r="C58" s="1"/>
      <c r="D58" s="1"/>
      <c r="E58" s="1"/>
      <c r="F58" s="1"/>
      <c r="G58" s="1"/>
      <c r="H58" s="1"/>
    </row>
    <row r="59" spans="1:8" x14ac:dyDescent="0.25">
      <c r="A59" s="1"/>
      <c r="B59" s="1"/>
      <c r="C59" s="1"/>
      <c r="D59" s="1"/>
      <c r="E59" s="1"/>
      <c r="F59" s="1"/>
      <c r="G59" s="1"/>
      <c r="H59" s="1"/>
    </row>
    <row r="60" spans="1:8" x14ac:dyDescent="0.25">
      <c r="A60" s="1"/>
      <c r="B60" s="1"/>
      <c r="C60" s="1"/>
      <c r="D60" s="1"/>
      <c r="E60" s="1"/>
      <c r="F60" s="1"/>
      <c r="G60" s="1"/>
      <c r="H60" s="1"/>
    </row>
    <row r="61" spans="1:8" x14ac:dyDescent="0.25">
      <c r="A61" s="1"/>
      <c r="B61" s="1"/>
      <c r="C61" s="1"/>
      <c r="D61" s="1"/>
      <c r="E61" s="1"/>
      <c r="F61" s="1"/>
      <c r="G61" s="1"/>
      <c r="H61" s="1"/>
    </row>
    <row r="62" spans="1:8" x14ac:dyDescent="0.25">
      <c r="A62" s="1"/>
      <c r="B62" s="1"/>
      <c r="C62" s="1"/>
      <c r="D62" s="1"/>
      <c r="E62" s="1"/>
      <c r="F62" s="1"/>
      <c r="G62" s="1"/>
      <c r="H62" s="1"/>
    </row>
    <row r="63" spans="1:8" x14ac:dyDescent="0.25">
      <c r="A63" s="1"/>
      <c r="B63" s="1"/>
      <c r="C63" s="1"/>
      <c r="D63" s="1"/>
      <c r="E63" s="1"/>
      <c r="F63" s="1"/>
      <c r="G63" s="1"/>
      <c r="H63" s="1"/>
    </row>
    <row r="67" spans="2:5" ht="15.75" thickBot="1" x14ac:dyDescent="0.3"/>
    <row r="68" spans="2:5" ht="15.75" thickBot="1" x14ac:dyDescent="0.3">
      <c r="B68" s="751" t="s">
        <v>83</v>
      </c>
      <c r="C68" s="752"/>
      <c r="D68" s="752"/>
      <c r="E68" s="753"/>
    </row>
    <row r="69" spans="2:5" ht="45.75" thickBot="1" x14ac:dyDescent="0.3">
      <c r="B69" s="2" t="s">
        <v>39</v>
      </c>
      <c r="C69" s="10" t="s">
        <v>84</v>
      </c>
      <c r="D69" s="2" t="s">
        <v>85</v>
      </c>
      <c r="E69" s="21" t="s">
        <v>86</v>
      </c>
    </row>
    <row r="70" spans="2:5" ht="15.75" thickBot="1" x14ac:dyDescent="0.3">
      <c r="B70" s="3">
        <f>'CARTA DE CONTROL'!R14</f>
        <v>5.98</v>
      </c>
      <c r="C70" s="4">
        <f>'CARTA DE CONTROL'!AN14</f>
        <v>0</v>
      </c>
      <c r="D70" s="6">
        <f>'CARTA DE CONTROL'!M14</f>
        <v>0.2</v>
      </c>
      <c r="E70" s="5" t="str">
        <f>IF(C70&lt;=0.2,IF(C70&gt;=-0.2,"PASS","NO PASS"))</f>
        <v>PASS</v>
      </c>
    </row>
    <row r="71" spans="2:5" ht="15.75" thickBot="1" x14ac:dyDescent="0.3">
      <c r="B71" s="3">
        <f>'CARTA DE CONTROL'!R15</f>
        <v>10.5</v>
      </c>
      <c r="C71" s="4">
        <f>'CARTA DE CONTROL'!AN15</f>
        <v>0</v>
      </c>
      <c r="D71" s="6">
        <f>'CARTA DE CONTROL'!M15</f>
        <v>0.2</v>
      </c>
      <c r="E71" s="5" t="str">
        <f t="shared" ref="E71:E73" si="2">IF(C71&lt;=0.2,IF(C71&gt;=-0.2,"PASS","NO PASS"))</f>
        <v>PASS</v>
      </c>
    </row>
    <row r="72" spans="2:5" ht="15.75" thickBot="1" x14ac:dyDescent="0.3">
      <c r="B72" s="3">
        <f>'CARTA DE CONTROL'!R16</f>
        <v>13.02</v>
      </c>
      <c r="C72" s="4">
        <f>'CARTA DE CONTROL'!AN16</f>
        <v>0</v>
      </c>
      <c r="D72" s="6">
        <f>'CARTA DE CONTROL'!M16</f>
        <v>0.2</v>
      </c>
      <c r="E72" s="5" t="str">
        <f t="shared" si="2"/>
        <v>PASS</v>
      </c>
    </row>
    <row r="73" spans="2:5" ht="15.75" thickBot="1" x14ac:dyDescent="0.3">
      <c r="B73" s="3">
        <f>'CARTA DE CONTROL'!R17</f>
        <v>0</v>
      </c>
      <c r="C73" s="4">
        <f>'CARTA DE CONTROL'!AN17</f>
        <v>0</v>
      </c>
      <c r="D73" s="6">
        <f>'CARTA DE CONTROL'!M17</f>
        <v>0.2</v>
      </c>
      <c r="E73" s="5" t="str">
        <f t="shared" si="2"/>
        <v>PASS</v>
      </c>
    </row>
    <row r="86" spans="2:5" ht="15.75" thickBot="1" x14ac:dyDescent="0.3"/>
    <row r="87" spans="2:5" ht="15.75" thickBot="1" x14ac:dyDescent="0.3">
      <c r="B87" s="751" t="s">
        <v>87</v>
      </c>
      <c r="C87" s="752"/>
      <c r="D87" s="752"/>
      <c r="E87" s="753"/>
    </row>
    <row r="88" spans="2:5" ht="45.75" thickBot="1" x14ac:dyDescent="0.3">
      <c r="B88" s="2" t="s">
        <v>39</v>
      </c>
      <c r="C88" s="10" t="s">
        <v>88</v>
      </c>
      <c r="D88" s="2" t="s">
        <v>119</v>
      </c>
      <c r="E88" s="21" t="s">
        <v>86</v>
      </c>
    </row>
    <row r="89" spans="2:5" ht="15.75" thickBot="1" x14ac:dyDescent="0.3">
      <c r="B89" s="3">
        <f>'CARTA DE CONTROL'!R14</f>
        <v>5.98</v>
      </c>
      <c r="C89" s="4">
        <f>'CARTA DE CONTROL'!AO14</f>
        <v>0</v>
      </c>
      <c r="D89" s="6">
        <f>'CARTA DE CONTROL'!O14</f>
        <v>0.3</v>
      </c>
      <c r="E89" s="5" t="str">
        <f>IF(C89&lt;=0.3,IF(C89&gt;=-0.3,"PASS","NO PASS"))</f>
        <v>PASS</v>
      </c>
    </row>
    <row r="90" spans="2:5" ht="15.75" thickBot="1" x14ac:dyDescent="0.3">
      <c r="B90" s="3">
        <f>'CARTA DE CONTROL'!R15</f>
        <v>10.5</v>
      </c>
      <c r="C90" s="4">
        <f>'CARTA DE CONTROL'!AO15</f>
        <v>0</v>
      </c>
      <c r="D90" s="6">
        <f>'CARTA DE CONTROL'!O15</f>
        <v>0.3</v>
      </c>
      <c r="E90" s="5" t="str">
        <f t="shared" ref="E90:E92" si="3">IF(C90&lt;=0.3,IF(C90&gt;=-0.3,"PASS","NO PASS"))</f>
        <v>PASS</v>
      </c>
    </row>
    <row r="91" spans="2:5" ht="15.75" thickBot="1" x14ac:dyDescent="0.3">
      <c r="B91" s="3">
        <f>'CARTA DE CONTROL'!R16</f>
        <v>13.02</v>
      </c>
      <c r="C91" s="4">
        <f>'CARTA DE CONTROL'!AO16</f>
        <v>0</v>
      </c>
      <c r="D91" s="6">
        <f>'CARTA DE CONTROL'!O16</f>
        <v>0.3</v>
      </c>
      <c r="E91" s="5" t="str">
        <f t="shared" si="3"/>
        <v>PASS</v>
      </c>
    </row>
    <row r="92" spans="2:5" ht="15.75" thickBot="1" x14ac:dyDescent="0.3">
      <c r="B92" s="3">
        <f>'CARTA DE CONTROL'!R17</f>
        <v>0</v>
      </c>
      <c r="C92" s="4">
        <f>'CARTA DE CONTROL'!AO17</f>
        <v>0</v>
      </c>
      <c r="D92" s="6">
        <f>'CARTA DE CONTROL'!O17</f>
        <v>0.3</v>
      </c>
      <c r="E92" s="5" t="str">
        <f t="shared" si="3"/>
        <v>PASS</v>
      </c>
    </row>
    <row r="93" spans="2:5" ht="15.75" thickBot="1" x14ac:dyDescent="0.3">
      <c r="B93" s="3">
        <f>'CARTA DE CONTROL'!R30</f>
        <v>5.98</v>
      </c>
      <c r="C93" s="4">
        <f>'CARTA DE CONTROL'!AO30</f>
        <v>0</v>
      </c>
      <c r="D93" s="6">
        <f>'CARTA DE CONTROL'!O30</f>
        <v>0.3</v>
      </c>
      <c r="E93" s="5" t="str">
        <f>IF(C93&lt;=0.3,IF(C93&gt;=-0.3,"PASS","NO PASS"))</f>
        <v>PASS</v>
      </c>
    </row>
    <row r="94" spans="2:5" ht="15.75" thickBot="1" x14ac:dyDescent="0.3">
      <c r="B94" s="3">
        <f>'CARTA DE CONTROL'!R31</f>
        <v>10.5</v>
      </c>
      <c r="C94" s="4">
        <f>'CARTA DE CONTROL'!AO31</f>
        <v>0</v>
      </c>
      <c r="D94" s="6">
        <f>'CARTA DE CONTROL'!O31</f>
        <v>0.3</v>
      </c>
      <c r="E94" s="5" t="str">
        <f t="shared" ref="E94:E96" si="4">IF(C94&lt;=0.3,IF(C94&gt;=-0.3,"PASS","NO PASS"))</f>
        <v>PASS</v>
      </c>
    </row>
    <row r="95" spans="2:5" ht="15.75" thickBot="1" x14ac:dyDescent="0.3">
      <c r="B95" s="3">
        <f>'CARTA DE CONTROL'!R32</f>
        <v>13.02</v>
      </c>
      <c r="C95" s="4">
        <f>'CARTA DE CONTROL'!AO32</f>
        <v>0</v>
      </c>
      <c r="D95" s="6">
        <f>'CARTA DE CONTROL'!O32</f>
        <v>0.3</v>
      </c>
      <c r="E95" s="5" t="str">
        <f t="shared" si="4"/>
        <v>PASS</v>
      </c>
    </row>
    <row r="96" spans="2:5" ht="15.75" thickBot="1" x14ac:dyDescent="0.3">
      <c r="B96" s="3">
        <f>'CARTA DE CONTROL'!R33</f>
        <v>0</v>
      </c>
      <c r="C96" s="4">
        <f>'CARTA DE CONTROL'!AO33</f>
        <v>0</v>
      </c>
      <c r="D96" s="6">
        <f>'CARTA DE CONTROL'!O33</f>
        <v>0.3</v>
      </c>
      <c r="E96" s="5" t="str">
        <f t="shared" si="4"/>
        <v>PASS</v>
      </c>
    </row>
  </sheetData>
  <mergeCells count="54">
    <mergeCell ref="B68:E68"/>
    <mergeCell ref="B87:E87"/>
    <mergeCell ref="C7:E7"/>
    <mergeCell ref="C8:E8"/>
    <mergeCell ref="C9:E9"/>
    <mergeCell ref="C10:E10"/>
    <mergeCell ref="A12:G12"/>
    <mergeCell ref="B13:D13"/>
    <mergeCell ref="F13:G13"/>
    <mergeCell ref="B14:D14"/>
    <mergeCell ref="F14:G14"/>
    <mergeCell ref="B15:D15"/>
    <mergeCell ref="F15:G15"/>
    <mergeCell ref="B16:D16"/>
    <mergeCell ref="F16:G16"/>
    <mergeCell ref="B17:D17"/>
    <mergeCell ref="F17:G17"/>
    <mergeCell ref="B18:D18"/>
    <mergeCell ref="F18:G18"/>
    <mergeCell ref="B19:D19"/>
    <mergeCell ref="F19:G19"/>
    <mergeCell ref="B20:D20"/>
    <mergeCell ref="F20:G20"/>
    <mergeCell ref="B21:D21"/>
    <mergeCell ref="F21:G21"/>
    <mergeCell ref="B22:D22"/>
    <mergeCell ref="F22:G22"/>
    <mergeCell ref="B23:D23"/>
    <mergeCell ref="F23:G23"/>
    <mergeCell ref="B24:D24"/>
    <mergeCell ref="F24:G24"/>
    <mergeCell ref="B25:D25"/>
    <mergeCell ref="F25:G25"/>
    <mergeCell ref="B26:D26"/>
    <mergeCell ref="F26:G26"/>
    <mergeCell ref="B27:D27"/>
    <mergeCell ref="F27:G27"/>
    <mergeCell ref="B28:D28"/>
    <mergeCell ref="F28:G28"/>
    <mergeCell ref="A30:G30"/>
    <mergeCell ref="B31:D31"/>
    <mergeCell ref="F31:G31"/>
    <mergeCell ref="B32:D32"/>
    <mergeCell ref="F32:G32"/>
    <mergeCell ref="B36:D36"/>
    <mergeCell ref="F36:G36"/>
    <mergeCell ref="B37:D37"/>
    <mergeCell ref="F37:G37"/>
    <mergeCell ref="B33:D33"/>
    <mergeCell ref="F33:G33"/>
    <mergeCell ref="B34:D34"/>
    <mergeCell ref="F34:G34"/>
    <mergeCell ref="B35:D35"/>
    <mergeCell ref="F35:G35"/>
  </mergeCells>
  <conditionalFormatting sqref="E89 E70:E73 E93">
    <cfRule type="cellIs" dxfId="173" priority="19" operator="lessThan">
      <formula>$H$88</formula>
    </cfRule>
    <cfRule type="cellIs" dxfId="172" priority="20" operator="lessThan">
      <formula>0.05</formula>
    </cfRule>
  </conditionalFormatting>
  <conditionalFormatting sqref="G41:G48">
    <cfRule type="cellIs" dxfId="171" priority="81" operator="lessThan">
      <formula>$H$90</formula>
    </cfRule>
    <cfRule type="cellIs" dxfId="170" priority="82" operator="lessThan">
      <formula>0.05</formula>
    </cfRule>
  </conditionalFormatting>
  <conditionalFormatting sqref="E90:E92 E94:E96">
    <cfRule type="cellIs" dxfId="169" priority="1" operator="lessThan">
      <formula>$H$88</formula>
    </cfRule>
    <cfRule type="cellIs" dxfId="168" priority="2" operator="lessThan">
      <formula>0.05</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6"/>
  <sheetViews>
    <sheetView topLeftCell="A111" zoomScale="130" zoomScaleNormal="130" workbookViewId="0">
      <selection activeCell="D96" sqref="D96"/>
    </sheetView>
  </sheetViews>
  <sheetFormatPr baseColWidth="10" defaultRowHeight="15" x14ac:dyDescent="0.25"/>
  <cols>
    <col min="1" max="1" width="5.5703125" customWidth="1"/>
    <col min="2" max="2" width="22.85546875" customWidth="1"/>
    <col min="3" max="3" width="21.7109375" customWidth="1"/>
    <col min="4" max="4" width="21" customWidth="1"/>
    <col min="5" max="5" width="22.7109375" customWidth="1"/>
    <col min="8" max="8" width="13" customWidth="1"/>
  </cols>
  <sheetData>
    <row r="1" spans="1:11" ht="15" customHeight="1" x14ac:dyDescent="0.25">
      <c r="E1" s="214"/>
    </row>
    <row r="2" spans="1:11" ht="15" customHeight="1" x14ac:dyDescent="0.25">
      <c r="B2" s="189"/>
      <c r="C2" s="189"/>
      <c r="D2" s="189"/>
      <c r="E2" s="215"/>
      <c r="F2" s="189"/>
      <c r="G2" s="189"/>
      <c r="H2" s="189"/>
    </row>
    <row r="3" spans="1:11" ht="15" customHeight="1" x14ac:dyDescent="0.25">
      <c r="B3" s="189"/>
      <c r="C3" s="189"/>
      <c r="D3" s="189"/>
      <c r="E3" s="215"/>
      <c r="F3" s="189"/>
      <c r="G3" s="189"/>
      <c r="H3" s="189"/>
    </row>
    <row r="4" spans="1:11" ht="15" customHeight="1" x14ac:dyDescent="0.25">
      <c r="B4" s="189"/>
      <c r="C4" s="189"/>
      <c r="D4" s="189"/>
      <c r="E4" s="215"/>
      <c r="F4" s="189"/>
      <c r="G4" s="189"/>
      <c r="H4" s="189"/>
    </row>
    <row r="5" spans="1:11" ht="15" customHeight="1" x14ac:dyDescent="0.25">
      <c r="B5" s="189"/>
      <c r="C5" s="189"/>
      <c r="D5" s="189"/>
      <c r="E5" s="215"/>
      <c r="F5" s="189"/>
      <c r="G5" s="189"/>
      <c r="H5" s="189"/>
    </row>
    <row r="6" spans="1:11" ht="15" customHeight="1" x14ac:dyDescent="0.25">
      <c r="B6" s="189"/>
      <c r="C6" s="189"/>
      <c r="D6" s="189"/>
      <c r="E6" s="215"/>
      <c r="F6" s="189"/>
      <c r="G6" s="189"/>
      <c r="H6" s="189"/>
    </row>
    <row r="7" spans="1:11" x14ac:dyDescent="0.25">
      <c r="B7" s="231" t="s">
        <v>157</v>
      </c>
      <c r="C7" s="770" t="str">
        <f>'CARTA DE CONTROL'!B10</f>
        <v xml:space="preserve">ANALIZADOR DE GASES </v>
      </c>
      <c r="D7" s="771"/>
      <c r="E7" s="772"/>
    </row>
    <row r="8" spans="1:11" x14ac:dyDescent="0.25">
      <c r="B8" s="231" t="s">
        <v>158</v>
      </c>
      <c r="C8" s="770" t="str">
        <f>'CARTA DE CONTROL'!D10</f>
        <v>ACTIA</v>
      </c>
      <c r="D8" s="771"/>
      <c r="E8" s="772"/>
    </row>
    <row r="9" spans="1:11" x14ac:dyDescent="0.25">
      <c r="B9" s="231" t="s">
        <v>159</v>
      </c>
      <c r="C9" s="770" t="str">
        <f>'CARTA DE CONTROL'!E10</f>
        <v>AT505</v>
      </c>
      <c r="D9" s="771"/>
      <c r="E9" s="772"/>
    </row>
    <row r="10" spans="1:11" x14ac:dyDescent="0.25">
      <c r="B10" s="231" t="s">
        <v>160</v>
      </c>
      <c r="C10" s="773" t="str">
        <f>'CARTA DE CONTROL'!F10</f>
        <v>018/18</v>
      </c>
      <c r="D10" s="774"/>
      <c r="E10" s="775"/>
    </row>
    <row r="11" spans="1:11" ht="15" customHeight="1" thickBot="1" x14ac:dyDescent="0.3">
      <c r="B11" s="189"/>
      <c r="C11" s="189"/>
      <c r="D11" s="189"/>
      <c r="E11" s="215"/>
      <c r="F11" s="189"/>
      <c r="G11" s="189"/>
      <c r="H11" s="202"/>
      <c r="I11" s="203"/>
      <c r="J11" s="203"/>
      <c r="K11" s="203"/>
    </row>
    <row r="12" spans="1:11" s="190" customFormat="1" ht="34.5" customHeight="1" x14ac:dyDescent="0.2">
      <c r="A12" s="776" t="s">
        <v>127</v>
      </c>
      <c r="B12" s="777"/>
      <c r="C12" s="777"/>
      <c r="D12" s="777"/>
      <c r="E12" s="777"/>
      <c r="F12" s="777"/>
      <c r="G12" s="778"/>
      <c r="H12" s="204"/>
      <c r="I12" s="204"/>
      <c r="J12" s="204"/>
      <c r="K12" s="204"/>
    </row>
    <row r="13" spans="1:11" s="190" customFormat="1" ht="15" customHeight="1" x14ac:dyDescent="0.2">
      <c r="A13" s="207" t="s">
        <v>128</v>
      </c>
      <c r="B13" s="779" t="s">
        <v>129</v>
      </c>
      <c r="C13" s="780"/>
      <c r="D13" s="781"/>
      <c r="E13" s="201" t="s">
        <v>130</v>
      </c>
      <c r="F13" s="782" t="s">
        <v>131</v>
      </c>
      <c r="G13" s="783"/>
      <c r="H13" s="205"/>
      <c r="I13" s="205"/>
      <c r="J13" s="205"/>
      <c r="K13" s="205"/>
    </row>
    <row r="14" spans="1:11" s="1" customFormat="1" ht="35.25" customHeight="1" x14ac:dyDescent="0.2">
      <c r="A14" s="208">
        <v>1</v>
      </c>
      <c r="B14" s="761" t="s">
        <v>132</v>
      </c>
      <c r="C14" s="761"/>
      <c r="D14" s="761"/>
      <c r="E14" s="192" t="s">
        <v>133</v>
      </c>
      <c r="F14" s="762"/>
      <c r="G14" s="763"/>
      <c r="H14" s="206"/>
      <c r="I14" s="206"/>
      <c r="J14" s="206"/>
      <c r="K14" s="206"/>
    </row>
    <row r="15" spans="1:11" s="1" customFormat="1" ht="35.25" customHeight="1" x14ac:dyDescent="0.2">
      <c r="A15" s="208">
        <v>2</v>
      </c>
      <c r="B15" s="761" t="s">
        <v>134</v>
      </c>
      <c r="C15" s="761"/>
      <c r="D15" s="761"/>
      <c r="E15" s="192" t="s">
        <v>133</v>
      </c>
      <c r="F15" s="762"/>
      <c r="G15" s="763"/>
    </row>
    <row r="16" spans="1:11" s="1" customFormat="1" ht="35.25" customHeight="1" x14ac:dyDescent="0.2">
      <c r="A16" s="208">
        <v>3</v>
      </c>
      <c r="B16" s="761" t="s">
        <v>135</v>
      </c>
      <c r="C16" s="761"/>
      <c r="D16" s="761"/>
      <c r="E16" s="192" t="s">
        <v>133</v>
      </c>
      <c r="F16" s="762"/>
      <c r="G16" s="763"/>
    </row>
    <row r="17" spans="1:11" s="1" customFormat="1" ht="35.25" customHeight="1" x14ac:dyDescent="0.2">
      <c r="A17" s="208">
        <v>4</v>
      </c>
      <c r="B17" s="761" t="s">
        <v>136</v>
      </c>
      <c r="C17" s="761"/>
      <c r="D17" s="761"/>
      <c r="E17" s="192" t="s">
        <v>133</v>
      </c>
      <c r="F17" s="784"/>
      <c r="G17" s="785"/>
    </row>
    <row r="18" spans="1:11" s="1" customFormat="1" ht="35.25" customHeight="1" x14ac:dyDescent="0.2">
      <c r="A18" s="208">
        <v>5</v>
      </c>
      <c r="B18" s="761" t="s">
        <v>137</v>
      </c>
      <c r="C18" s="761"/>
      <c r="D18" s="761"/>
      <c r="E18" s="192" t="s">
        <v>133</v>
      </c>
      <c r="F18" s="762"/>
      <c r="G18" s="763"/>
    </row>
    <row r="19" spans="1:11" s="1" customFormat="1" ht="35.25" customHeight="1" x14ac:dyDescent="0.2">
      <c r="A19" s="208">
        <v>6</v>
      </c>
      <c r="B19" s="761" t="s">
        <v>138</v>
      </c>
      <c r="C19" s="761"/>
      <c r="D19" s="761"/>
      <c r="E19" s="192" t="s">
        <v>133</v>
      </c>
      <c r="F19" s="762"/>
      <c r="G19" s="763"/>
    </row>
    <row r="20" spans="1:11" s="1" customFormat="1" ht="35.25" customHeight="1" x14ac:dyDescent="0.2">
      <c r="A20" s="208">
        <v>7</v>
      </c>
      <c r="B20" s="761" t="s">
        <v>139</v>
      </c>
      <c r="C20" s="761"/>
      <c r="D20" s="761"/>
      <c r="E20" s="192" t="s">
        <v>133</v>
      </c>
      <c r="F20" s="762"/>
      <c r="G20" s="763"/>
    </row>
    <row r="21" spans="1:11" s="1" customFormat="1" ht="35.25" customHeight="1" x14ac:dyDescent="0.2">
      <c r="A21" s="208">
        <v>8</v>
      </c>
      <c r="B21" s="761" t="s">
        <v>140</v>
      </c>
      <c r="C21" s="761"/>
      <c r="D21" s="761"/>
      <c r="E21" s="192" t="s">
        <v>133</v>
      </c>
      <c r="F21" s="762"/>
      <c r="G21" s="763"/>
    </row>
    <row r="22" spans="1:11" s="1" customFormat="1" ht="35.25" customHeight="1" x14ac:dyDescent="0.2">
      <c r="A22" s="208">
        <v>9</v>
      </c>
      <c r="B22" s="761" t="s">
        <v>141</v>
      </c>
      <c r="C22" s="761"/>
      <c r="D22" s="761"/>
      <c r="E22" s="192" t="s">
        <v>133</v>
      </c>
      <c r="F22" s="762"/>
      <c r="G22" s="763"/>
    </row>
    <row r="23" spans="1:11" s="1" customFormat="1" ht="35.25" customHeight="1" x14ac:dyDescent="0.2">
      <c r="A23" s="208">
        <v>10</v>
      </c>
      <c r="B23" s="761" t="s">
        <v>142</v>
      </c>
      <c r="C23" s="761"/>
      <c r="D23" s="761"/>
      <c r="E23" s="192" t="s">
        <v>133</v>
      </c>
      <c r="F23" s="762"/>
      <c r="G23" s="763"/>
    </row>
    <row r="24" spans="1:11" s="1" customFormat="1" ht="35.25" customHeight="1" x14ac:dyDescent="0.2">
      <c r="A24" s="208">
        <v>11</v>
      </c>
      <c r="B24" s="761" t="s">
        <v>143</v>
      </c>
      <c r="C24" s="761"/>
      <c r="D24" s="761"/>
      <c r="E24" s="192" t="s">
        <v>133</v>
      </c>
      <c r="F24" s="762"/>
      <c r="G24" s="763"/>
    </row>
    <row r="25" spans="1:11" s="194" customFormat="1" ht="35.25" customHeight="1" x14ac:dyDescent="0.2">
      <c r="A25" s="209">
        <v>12</v>
      </c>
      <c r="B25" s="761" t="s">
        <v>144</v>
      </c>
      <c r="C25" s="761"/>
      <c r="D25" s="761"/>
      <c r="E25" s="193" t="s">
        <v>133</v>
      </c>
      <c r="F25" s="762"/>
      <c r="G25" s="763"/>
    </row>
    <row r="26" spans="1:11" s="1" customFormat="1" ht="35.25" customHeight="1" x14ac:dyDescent="0.2">
      <c r="A26" s="208">
        <v>13</v>
      </c>
      <c r="B26" s="761" t="s">
        <v>145</v>
      </c>
      <c r="C26" s="761"/>
      <c r="D26" s="761"/>
      <c r="E26" s="192" t="s">
        <v>133</v>
      </c>
      <c r="F26" s="762"/>
      <c r="G26" s="763"/>
    </row>
    <row r="27" spans="1:11" s="1" customFormat="1" ht="35.25" customHeight="1" x14ac:dyDescent="0.2">
      <c r="A27" s="208">
        <v>14</v>
      </c>
      <c r="B27" s="761" t="s">
        <v>146</v>
      </c>
      <c r="C27" s="761"/>
      <c r="D27" s="761"/>
      <c r="E27" s="192" t="s">
        <v>133</v>
      </c>
      <c r="F27" s="762"/>
      <c r="G27" s="763"/>
    </row>
    <row r="28" spans="1:11" s="1" customFormat="1" ht="54.75" customHeight="1" thickBot="1" x14ac:dyDescent="0.25">
      <c r="A28" s="210">
        <v>15</v>
      </c>
      <c r="B28" s="764" t="s">
        <v>147</v>
      </c>
      <c r="C28" s="764"/>
      <c r="D28" s="764"/>
      <c r="E28" s="212" t="s">
        <v>133</v>
      </c>
      <c r="F28" s="765"/>
      <c r="G28" s="766"/>
    </row>
    <row r="29" spans="1:11" s="198" customFormat="1" ht="21" customHeight="1" thickBot="1" x14ac:dyDescent="0.25">
      <c r="B29" s="195"/>
      <c r="C29" s="196"/>
      <c r="D29" s="196"/>
      <c r="E29" s="195"/>
      <c r="F29" s="196"/>
      <c r="G29" s="196"/>
      <c r="H29" s="197"/>
      <c r="I29" s="197"/>
    </row>
    <row r="30" spans="1:11" s="219" customFormat="1" ht="15" customHeight="1" x14ac:dyDescent="0.2">
      <c r="A30" s="767" t="s">
        <v>148</v>
      </c>
      <c r="B30" s="768"/>
      <c r="C30" s="768"/>
      <c r="D30" s="768"/>
      <c r="E30" s="768"/>
      <c r="F30" s="768"/>
      <c r="G30" s="769"/>
      <c r="H30" s="222"/>
      <c r="I30" s="223"/>
      <c r="J30" s="223"/>
      <c r="K30" s="223"/>
    </row>
    <row r="31" spans="1:11" s="219" customFormat="1" ht="15" customHeight="1" x14ac:dyDescent="0.2">
      <c r="A31" s="220" t="s">
        <v>128</v>
      </c>
      <c r="B31" s="759" t="s">
        <v>129</v>
      </c>
      <c r="C31" s="759"/>
      <c r="D31" s="759"/>
      <c r="E31" s="221" t="s">
        <v>130</v>
      </c>
      <c r="F31" s="759" t="s">
        <v>131</v>
      </c>
      <c r="G31" s="760"/>
      <c r="H31" s="224"/>
      <c r="I31" s="225"/>
      <c r="J31" s="225"/>
      <c r="K31" s="225"/>
    </row>
    <row r="32" spans="1:11" s="1" customFormat="1" ht="55.5" customHeight="1" x14ac:dyDescent="0.2">
      <c r="A32" s="216">
        <v>1</v>
      </c>
      <c r="B32" s="754" t="s">
        <v>149</v>
      </c>
      <c r="C32" s="754"/>
      <c r="D32" s="754"/>
      <c r="E32" s="199" t="s">
        <v>150</v>
      </c>
      <c r="F32" s="755"/>
      <c r="G32" s="756"/>
      <c r="H32" s="226"/>
      <c r="I32" s="206"/>
      <c r="J32" s="206"/>
      <c r="K32" s="206"/>
    </row>
    <row r="33" spans="1:8" s="1" customFormat="1" ht="25.5" customHeight="1" x14ac:dyDescent="0.2">
      <c r="A33" s="216">
        <v>2</v>
      </c>
      <c r="B33" s="754" t="s">
        <v>151</v>
      </c>
      <c r="C33" s="754"/>
      <c r="D33" s="754"/>
      <c r="E33" s="199" t="s">
        <v>150</v>
      </c>
      <c r="F33" s="755"/>
      <c r="G33" s="756"/>
    </row>
    <row r="34" spans="1:8" s="1" customFormat="1" ht="25.5" customHeight="1" x14ac:dyDescent="0.2">
      <c r="A34" s="216">
        <v>3</v>
      </c>
      <c r="B34" s="754" t="s">
        <v>152</v>
      </c>
      <c r="C34" s="754"/>
      <c r="D34" s="754"/>
      <c r="E34" s="199" t="s">
        <v>150</v>
      </c>
      <c r="F34" s="755"/>
      <c r="G34" s="756"/>
    </row>
    <row r="35" spans="1:8" s="1" customFormat="1" ht="25.5" customHeight="1" x14ac:dyDescent="0.2">
      <c r="A35" s="216">
        <v>4</v>
      </c>
      <c r="B35" s="754" t="s">
        <v>153</v>
      </c>
      <c r="C35" s="754"/>
      <c r="D35" s="754"/>
      <c r="E35" s="199" t="s">
        <v>154</v>
      </c>
      <c r="F35" s="755"/>
      <c r="G35" s="756"/>
    </row>
    <row r="36" spans="1:8" s="1" customFormat="1" ht="25.5" customHeight="1" x14ac:dyDescent="0.2">
      <c r="A36" s="216">
        <v>5</v>
      </c>
      <c r="B36" s="754" t="s">
        <v>155</v>
      </c>
      <c r="C36" s="754"/>
      <c r="D36" s="754"/>
      <c r="E36" s="199" t="s">
        <v>154</v>
      </c>
      <c r="F36" s="757"/>
      <c r="G36" s="758"/>
    </row>
    <row r="37" spans="1:8" s="1" customFormat="1" ht="25.5" customHeight="1" thickBot="1" x14ac:dyDescent="0.25">
      <c r="A37" s="217">
        <v>6</v>
      </c>
      <c r="B37" s="748" t="s">
        <v>156</v>
      </c>
      <c r="C37" s="748"/>
      <c r="D37" s="748"/>
      <c r="E37" s="218" t="s">
        <v>154</v>
      </c>
      <c r="F37" s="749"/>
      <c r="G37" s="750"/>
    </row>
    <row r="38" spans="1:8" ht="15.75" thickBot="1" x14ac:dyDescent="0.3"/>
    <row r="39" spans="1:8" ht="79.5" thickBot="1" x14ac:dyDescent="0.3">
      <c r="B39" s="2" t="s">
        <v>39</v>
      </c>
      <c r="C39" s="11" t="s">
        <v>92</v>
      </c>
      <c r="D39" s="11" t="s">
        <v>93</v>
      </c>
      <c r="E39" s="2" t="s">
        <v>94</v>
      </c>
      <c r="F39" s="2" t="s">
        <v>95</v>
      </c>
      <c r="G39" s="21" t="s">
        <v>96</v>
      </c>
    </row>
    <row r="40" spans="1:8" ht="15.75" thickBot="1" x14ac:dyDescent="0.3">
      <c r="B40" s="3">
        <f>'CARTA DE CONTROL'!R18</f>
        <v>145.9</v>
      </c>
      <c r="C40" s="4">
        <f>'CARTA DE CONTROL'!AR18</f>
        <v>3</v>
      </c>
      <c r="D40" s="4">
        <f>'CARTA DE CONTROL'!AS18</f>
        <v>-3</v>
      </c>
      <c r="E40" s="6">
        <f>'CARTA DE CONTROL'!I18</f>
        <v>12</v>
      </c>
      <c r="F40" s="7">
        <f>-('CARTA DE CONTROL'!I18)</f>
        <v>-12</v>
      </c>
      <c r="G40" s="5" t="str">
        <f>IF(C40&lt;=50,IF(D40&gt;=-50,"PASS","NO PASS"))</f>
        <v>PASS</v>
      </c>
    </row>
    <row r="41" spans="1:8" ht="15.75" thickBot="1" x14ac:dyDescent="0.3">
      <c r="B41" s="3">
        <f>'CARTA DE CONTROL'!R19</f>
        <v>589</v>
      </c>
      <c r="C41" s="4">
        <f>'CARTA DE CONTROL'!AR19</f>
        <v>13</v>
      </c>
      <c r="D41" s="4">
        <f>'CARTA DE CONTROL'!AS19</f>
        <v>-13</v>
      </c>
      <c r="E41" s="6">
        <f>'CARTA DE CONTROL'!I19</f>
        <v>30</v>
      </c>
      <c r="F41" s="7">
        <f>-('CARTA DE CONTROL'!I19)</f>
        <v>-30</v>
      </c>
      <c r="G41" s="5" t="str">
        <f>IF(C41&lt;=100,IF(D41&gt;=-100,"PASS","NO PASS"))</f>
        <v>PASS</v>
      </c>
    </row>
    <row r="42" spans="1:8" ht="15.75" thickBot="1" x14ac:dyDescent="0.3">
      <c r="B42" s="3">
        <f>'CARTA DE CONTROL'!R20</f>
        <v>1573</v>
      </c>
      <c r="C42" s="4">
        <f>'CARTA DE CONTROL'!AR20</f>
        <v>33</v>
      </c>
      <c r="D42" s="4">
        <f>'CARTA DE CONTROL'!AS20</f>
        <v>-33</v>
      </c>
      <c r="E42" s="6">
        <f>'CARTA DE CONTROL'!I20</f>
        <v>80</v>
      </c>
      <c r="F42" s="7">
        <f>-('CARTA DE CONTROL'!I20)</f>
        <v>-80</v>
      </c>
      <c r="G42" s="5" t="str">
        <f>IF(C42&lt;=50,IF(D42&gt;=-50,"PASS","NO PASS"))</f>
        <v>PASS</v>
      </c>
    </row>
    <row r="43" spans="1:8" ht="15.75" thickBot="1" x14ac:dyDescent="0.3">
      <c r="B43" s="3">
        <f>'CARTA DE CONTROL'!R21</f>
        <v>0</v>
      </c>
      <c r="C43" s="4">
        <f>'CARTA DE CONTROL'!AR21</f>
        <v>0.57999999999999996</v>
      </c>
      <c r="D43" s="4">
        <f>'CARTA DE CONTROL'!AS21</f>
        <v>-0.57999999999999996</v>
      </c>
      <c r="E43" s="6">
        <f>'CARTA DE CONTROL'!I21</f>
        <v>12</v>
      </c>
      <c r="F43" s="7">
        <f>-('CARTA DE CONTROL'!I21)</f>
        <v>-12</v>
      </c>
      <c r="G43" s="5" t="str">
        <f>IF(C43&lt;=100,IF(D43&gt;=-100,"PASS","NO PASS"))</f>
        <v>PASS</v>
      </c>
    </row>
    <row r="44" spans="1:8" ht="15.75" thickBot="1" x14ac:dyDescent="0.3">
      <c r="A44" s="1"/>
      <c r="B44" s="3">
        <f>'CARTA DE CONTROL'!R34</f>
        <v>145.9</v>
      </c>
      <c r="C44" s="4">
        <f>'CARTA DE CONTROL'!AR34</f>
        <v>3.3</v>
      </c>
      <c r="D44" s="4">
        <f>'CARTA DE CONTROL'!AS34</f>
        <v>-3.3</v>
      </c>
      <c r="E44" s="6">
        <f>'CARTA DE CONTROL'!I34</f>
        <v>12</v>
      </c>
      <c r="F44" s="7">
        <f>-('CARTA DE CONTROL'!I34)</f>
        <v>-12</v>
      </c>
      <c r="G44" s="5" t="str">
        <f t="shared" ref="G44:G47" si="0">IF(C44&lt;=100,IF(D44&gt;=-100,"PASS","NO PASS"))</f>
        <v>PASS</v>
      </c>
      <c r="H44" s="1"/>
    </row>
    <row r="45" spans="1:8" ht="15.75" thickBot="1" x14ac:dyDescent="0.3">
      <c r="A45" s="1"/>
      <c r="B45" s="3">
        <f>'CARTA DE CONTROL'!R35</f>
        <v>589</v>
      </c>
      <c r="C45" s="4">
        <f>'CARTA DE CONTROL'!AR35</f>
        <v>13</v>
      </c>
      <c r="D45" s="4">
        <f>'CARTA DE CONTROL'!AS35</f>
        <v>-13</v>
      </c>
      <c r="E45" s="6">
        <f>'CARTA DE CONTROL'!I35</f>
        <v>30</v>
      </c>
      <c r="F45" s="7">
        <f>-('CARTA DE CONTROL'!I35)</f>
        <v>-30</v>
      </c>
      <c r="G45" s="5" t="str">
        <f t="shared" si="0"/>
        <v>PASS</v>
      </c>
    </row>
    <row r="46" spans="1:8" ht="15.75" thickBot="1" x14ac:dyDescent="0.3">
      <c r="A46" s="1"/>
      <c r="B46" s="3">
        <f>'CARTA DE CONTROL'!R36</f>
        <v>1573</v>
      </c>
      <c r="C46" s="4">
        <f>'CARTA DE CONTROL'!AR36</f>
        <v>33</v>
      </c>
      <c r="D46" s="4">
        <f>'CARTA DE CONTROL'!AS36</f>
        <v>-33</v>
      </c>
      <c r="E46" s="6">
        <f>'CARTA DE CONTROL'!I36</f>
        <v>80</v>
      </c>
      <c r="F46" s="7">
        <f>-('CARTA DE CONTROL'!I36)</f>
        <v>-80</v>
      </c>
      <c r="G46" s="5" t="str">
        <f t="shared" si="0"/>
        <v>PASS</v>
      </c>
    </row>
    <row r="47" spans="1:8" ht="15.75" thickBot="1" x14ac:dyDescent="0.3">
      <c r="A47" s="1"/>
      <c r="B47" s="3">
        <f>'CARTA DE CONTROL'!R37</f>
        <v>0</v>
      </c>
      <c r="C47" s="4">
        <f>'CARTA DE CONTROL'!AR37</f>
        <v>0.57999999999999996</v>
      </c>
      <c r="D47" s="4">
        <f>'CARTA DE CONTROL'!AS37</f>
        <v>-0.57999999999999996</v>
      </c>
      <c r="E47" s="6">
        <f>'CARTA DE CONTROL'!I37</f>
        <v>12</v>
      </c>
      <c r="F47" s="7">
        <f>-('CARTA DE CONTROL'!I37)</f>
        <v>-12</v>
      </c>
      <c r="G47" s="5" t="str">
        <f t="shared" si="0"/>
        <v>PASS</v>
      </c>
    </row>
    <row r="48" spans="1:8" x14ac:dyDescent="0.25">
      <c r="A48" s="1"/>
      <c r="B48" s="1"/>
      <c r="C48" s="1"/>
      <c r="D48" s="1"/>
      <c r="E48" s="1"/>
      <c r="F48" s="1"/>
      <c r="G48" s="1"/>
      <c r="H48" s="1"/>
    </row>
    <row r="49" spans="1:8" x14ac:dyDescent="0.25">
      <c r="A49" s="1"/>
      <c r="B49" s="1"/>
      <c r="C49" s="1"/>
      <c r="D49" s="1"/>
      <c r="E49" s="1"/>
      <c r="F49" s="1"/>
      <c r="G49" s="1"/>
      <c r="H49" s="1"/>
    </row>
    <row r="50" spans="1:8" x14ac:dyDescent="0.25">
      <c r="A50" s="1"/>
      <c r="B50" s="1"/>
      <c r="C50" s="1"/>
      <c r="D50" s="1"/>
      <c r="E50" s="1"/>
      <c r="F50" s="1"/>
      <c r="G50" s="1"/>
      <c r="H50" s="1"/>
    </row>
    <row r="51" spans="1:8" x14ac:dyDescent="0.25">
      <c r="A51" s="1"/>
      <c r="B51" s="1"/>
      <c r="C51" s="1"/>
      <c r="D51" s="1"/>
      <c r="E51" s="1"/>
      <c r="F51" s="1"/>
      <c r="G51" s="1"/>
      <c r="H51" s="1"/>
    </row>
    <row r="52" spans="1:8" x14ac:dyDescent="0.25">
      <c r="A52" s="1"/>
      <c r="B52" s="1"/>
      <c r="C52" s="1"/>
      <c r="D52" s="1"/>
      <c r="E52" s="1"/>
      <c r="F52" s="1"/>
      <c r="G52" s="1"/>
      <c r="H52" s="1"/>
    </row>
    <row r="53" spans="1:8" x14ac:dyDescent="0.25">
      <c r="A53" s="1"/>
      <c r="B53" s="1"/>
      <c r="C53" s="1"/>
      <c r="D53" s="1"/>
      <c r="E53" s="1"/>
      <c r="F53" s="1"/>
      <c r="G53" s="1"/>
      <c r="H53" s="1"/>
    </row>
    <row r="54" spans="1:8" x14ac:dyDescent="0.25">
      <c r="A54" s="1"/>
      <c r="B54" s="1"/>
      <c r="C54" s="1"/>
      <c r="D54" s="1"/>
      <c r="E54" s="1"/>
      <c r="F54" s="1"/>
      <c r="G54" s="1"/>
      <c r="H54" s="1"/>
    </row>
    <row r="55" spans="1:8" x14ac:dyDescent="0.25">
      <c r="A55" s="1"/>
      <c r="B55" s="1"/>
      <c r="C55" s="1"/>
      <c r="D55" s="1"/>
      <c r="E55" s="1"/>
      <c r="F55" s="1"/>
      <c r="G55" s="1"/>
      <c r="H55" s="1"/>
    </row>
    <row r="56" spans="1:8" x14ac:dyDescent="0.25">
      <c r="A56" s="1"/>
      <c r="B56" s="1"/>
      <c r="C56" s="1"/>
      <c r="D56" s="1"/>
      <c r="E56" s="1"/>
      <c r="F56" s="1"/>
      <c r="G56" s="1"/>
      <c r="H56" s="1"/>
    </row>
    <row r="57" spans="1:8" x14ac:dyDescent="0.25">
      <c r="A57" s="1"/>
      <c r="B57" s="1"/>
      <c r="C57" s="1"/>
      <c r="D57" s="1"/>
      <c r="E57" s="1"/>
      <c r="F57" s="1"/>
      <c r="G57" s="1"/>
      <c r="H57" s="1"/>
    </row>
    <row r="58" spans="1:8" x14ac:dyDescent="0.25">
      <c r="A58" s="1"/>
      <c r="B58" s="1"/>
      <c r="C58" s="1"/>
      <c r="D58" s="1"/>
      <c r="E58" s="1"/>
      <c r="F58" s="1"/>
      <c r="G58" s="1"/>
      <c r="H58" s="1"/>
    </row>
    <row r="59" spans="1:8" x14ac:dyDescent="0.25">
      <c r="A59" s="1"/>
      <c r="B59" s="1"/>
      <c r="C59" s="1"/>
      <c r="D59" s="1"/>
      <c r="E59" s="1"/>
      <c r="F59" s="1"/>
      <c r="G59" s="1"/>
      <c r="H59" s="1"/>
    </row>
    <row r="60" spans="1:8" x14ac:dyDescent="0.25">
      <c r="A60" s="1"/>
      <c r="B60" s="1"/>
      <c r="C60" s="1"/>
      <c r="D60" s="1"/>
      <c r="E60" s="1"/>
      <c r="F60" s="1"/>
      <c r="G60" s="1"/>
      <c r="H60" s="1"/>
    </row>
    <row r="61" spans="1:8" x14ac:dyDescent="0.25">
      <c r="A61" s="1"/>
      <c r="B61" s="1"/>
      <c r="C61" s="1"/>
      <c r="D61" s="1"/>
      <c r="E61" s="1"/>
      <c r="F61" s="1"/>
      <c r="G61" s="1"/>
      <c r="H61" s="1"/>
    </row>
    <row r="62" spans="1:8" x14ac:dyDescent="0.25">
      <c r="A62" s="1"/>
      <c r="B62" s="1"/>
      <c r="C62" s="1"/>
      <c r="D62" s="1"/>
      <c r="E62" s="1"/>
      <c r="F62" s="1"/>
      <c r="G62" s="1"/>
      <c r="H62" s="1"/>
    </row>
    <row r="66" spans="2:5" ht="15.75" thickBot="1" x14ac:dyDescent="0.3"/>
    <row r="67" spans="2:5" ht="15.75" thickBot="1" x14ac:dyDescent="0.3">
      <c r="B67" s="751" t="s">
        <v>83</v>
      </c>
      <c r="C67" s="752"/>
      <c r="D67" s="752"/>
      <c r="E67" s="753"/>
    </row>
    <row r="68" spans="2:5" ht="45.75" thickBot="1" x14ac:dyDescent="0.3">
      <c r="B68" s="2" t="s">
        <v>39</v>
      </c>
      <c r="C68" s="10" t="s">
        <v>84</v>
      </c>
      <c r="D68" s="2" t="s">
        <v>85</v>
      </c>
      <c r="E68" s="21" t="s">
        <v>86</v>
      </c>
    </row>
    <row r="69" spans="2:5" ht="15.75" thickBot="1" x14ac:dyDescent="0.3">
      <c r="B69" s="3">
        <f>'CARTA DE CONTROL'!R18</f>
        <v>145.9</v>
      </c>
      <c r="C69" s="4">
        <f>'CARTA DE CONTROL'!AN18</f>
        <v>0</v>
      </c>
      <c r="D69" s="6">
        <f>'CARTA DE CONTROL'!M18</f>
        <v>6</v>
      </c>
      <c r="E69" s="5" t="str">
        <f>IF(C69&lt;=8,IF(C69&gt;=-8,"PASS","NO PASS"))</f>
        <v>PASS</v>
      </c>
    </row>
    <row r="70" spans="2:5" ht="15.75" thickBot="1" x14ac:dyDescent="0.3">
      <c r="B70" s="3">
        <f>'CARTA DE CONTROL'!R19</f>
        <v>589</v>
      </c>
      <c r="C70" s="4">
        <f>'CARTA DE CONTROL'!AN19</f>
        <v>0</v>
      </c>
      <c r="D70" s="6">
        <f>'CARTA DE CONTROL'!M19</f>
        <v>10</v>
      </c>
      <c r="E70" s="5" t="str">
        <f>IF(C70&lt;=16,IF(C70&gt;=-16,"PASS","NO PASS"))</f>
        <v>PASS</v>
      </c>
    </row>
    <row r="71" spans="2:5" ht="15.75" thickBot="1" x14ac:dyDescent="0.3">
      <c r="B71" s="3">
        <f>'CARTA DE CONTROL'!R20</f>
        <v>1573</v>
      </c>
      <c r="C71" s="4">
        <f>'CARTA DE CONTROL'!AN20</f>
        <v>0</v>
      </c>
      <c r="D71" s="6">
        <f>'CARTA DE CONTROL'!M20</f>
        <v>20</v>
      </c>
      <c r="E71" s="5" t="str">
        <f>IF(C71&lt;=8,IF(C71&gt;=-8,"PASS","NO PASS"))</f>
        <v>PASS</v>
      </c>
    </row>
    <row r="72" spans="2:5" ht="15.75" thickBot="1" x14ac:dyDescent="0.3">
      <c r="B72" s="3">
        <f>'CARTA DE CONTROL'!R21</f>
        <v>0</v>
      </c>
      <c r="C72" s="4">
        <f>'CARTA DE CONTROL'!AN21</f>
        <v>0</v>
      </c>
      <c r="D72" s="6">
        <f>'CARTA DE CONTROL'!M21</f>
        <v>6</v>
      </c>
      <c r="E72" s="5" t="str">
        <f>IF(C72&lt;=16,IF(C72&gt;=-16,"PASS","NO PASS"))</f>
        <v>PASS</v>
      </c>
    </row>
    <row r="86" spans="2:5" ht="15.75" thickBot="1" x14ac:dyDescent="0.3"/>
    <row r="87" spans="2:5" ht="15.75" thickBot="1" x14ac:dyDescent="0.3">
      <c r="B87" s="751" t="s">
        <v>87</v>
      </c>
      <c r="C87" s="752"/>
      <c r="D87" s="752"/>
      <c r="E87" s="753"/>
    </row>
    <row r="88" spans="2:5" ht="45.75" thickBot="1" x14ac:dyDescent="0.3">
      <c r="B88" s="2" t="s">
        <v>39</v>
      </c>
      <c r="C88" s="10" t="s">
        <v>88</v>
      </c>
      <c r="D88" s="2" t="s">
        <v>85</v>
      </c>
      <c r="E88" s="21" t="s">
        <v>86</v>
      </c>
    </row>
    <row r="89" spans="2:5" ht="15.75" thickBot="1" x14ac:dyDescent="0.3">
      <c r="B89" s="3">
        <f>'CARTA DE CONTROL'!R18</f>
        <v>145.9</v>
      </c>
      <c r="C89" s="4">
        <f>'CARTA DE CONTROL'!AO18</f>
        <v>0</v>
      </c>
      <c r="D89" s="6">
        <f>'CARTA DE CONTROL'!O18</f>
        <v>8</v>
      </c>
      <c r="E89" s="5" t="str">
        <f>IF(C89&lt;=10,IF(C89&gt;=-10,"PASS","NO PASS"))</f>
        <v>PASS</v>
      </c>
    </row>
    <row r="90" spans="2:5" ht="15.75" thickBot="1" x14ac:dyDescent="0.3">
      <c r="B90" s="3">
        <f>'CARTA DE CONTROL'!R19</f>
        <v>589</v>
      </c>
      <c r="C90" s="4">
        <f>'CARTA DE CONTROL'!AO19</f>
        <v>0</v>
      </c>
      <c r="D90" s="6">
        <f>'CARTA DE CONTROL'!O19</f>
        <v>15</v>
      </c>
      <c r="E90" s="5" t="str">
        <f>IF(C90&lt;=20,IF(C90&gt;=-20,"PASS","NO PASS"))</f>
        <v>PASS</v>
      </c>
    </row>
    <row r="91" spans="2:5" ht="15.75" thickBot="1" x14ac:dyDescent="0.3">
      <c r="B91" s="3">
        <f>'CARTA DE CONTROL'!R20</f>
        <v>1573</v>
      </c>
      <c r="C91" s="4">
        <f>'CARTA DE CONTROL'!AO20</f>
        <v>0</v>
      </c>
      <c r="D91" s="6">
        <f>'CARTA DE CONTROL'!O20</f>
        <v>30</v>
      </c>
      <c r="E91" s="5" t="str">
        <f>IF(C91&lt;=10,IF(C91&gt;=-10,"PASS","NO PASS"))</f>
        <v>PASS</v>
      </c>
    </row>
    <row r="92" spans="2:5" ht="15.75" thickBot="1" x14ac:dyDescent="0.3">
      <c r="B92" s="3">
        <f>'CARTA DE CONTROL'!R21</f>
        <v>0</v>
      </c>
      <c r="C92" s="4">
        <f>'CARTA DE CONTROL'!AO21</f>
        <v>0</v>
      </c>
      <c r="D92" s="6">
        <f>'CARTA DE CONTROL'!O21</f>
        <v>8</v>
      </c>
      <c r="E92" s="5" t="str">
        <f>IF(C92&lt;=20,IF(C92&gt;=-20,"PASS","NO PASS"))</f>
        <v>PASS</v>
      </c>
    </row>
    <row r="93" spans="2:5" ht="15.75" thickBot="1" x14ac:dyDescent="0.3">
      <c r="B93" s="3">
        <f>'CARTA DE CONTROL'!R34</f>
        <v>145.9</v>
      </c>
      <c r="C93" s="4">
        <f>'CARTA DE CONTROL'!AO34</f>
        <v>0</v>
      </c>
      <c r="D93" s="6">
        <f>'CARTA DE CONTROL'!O34</f>
        <v>8</v>
      </c>
      <c r="E93" s="5" t="str">
        <f t="shared" ref="E93:E96" si="1">IF(C93&lt;=20,IF(C93&gt;=-20,"PASS","NO PASS"))</f>
        <v>PASS</v>
      </c>
    </row>
    <row r="94" spans="2:5" ht="15.75" thickBot="1" x14ac:dyDescent="0.3">
      <c r="B94" s="3">
        <f>'CARTA DE CONTROL'!R35</f>
        <v>589</v>
      </c>
      <c r="C94" s="4">
        <f>'CARTA DE CONTROL'!AO35</f>
        <v>0</v>
      </c>
      <c r="D94" s="6">
        <f>'CARTA DE CONTROL'!O35</f>
        <v>15</v>
      </c>
      <c r="E94" s="5" t="str">
        <f t="shared" si="1"/>
        <v>PASS</v>
      </c>
    </row>
    <row r="95" spans="2:5" ht="15.75" thickBot="1" x14ac:dyDescent="0.3">
      <c r="B95" s="3">
        <f>'CARTA DE CONTROL'!R36</f>
        <v>1573</v>
      </c>
      <c r="C95" s="4">
        <f>'CARTA DE CONTROL'!AO36</f>
        <v>0</v>
      </c>
      <c r="D95" s="6">
        <f>'CARTA DE CONTROL'!O36</f>
        <v>30</v>
      </c>
      <c r="E95" s="5" t="str">
        <f t="shared" si="1"/>
        <v>PASS</v>
      </c>
    </row>
    <row r="96" spans="2:5" ht="15.75" thickBot="1" x14ac:dyDescent="0.3">
      <c r="B96" s="3">
        <f>'CARTA DE CONTROL'!R37</f>
        <v>0</v>
      </c>
      <c r="C96" s="4">
        <f>'CARTA DE CONTROL'!AO37</f>
        <v>0</v>
      </c>
      <c r="D96" s="6">
        <f>'CARTA DE CONTROL'!O37</f>
        <v>8</v>
      </c>
      <c r="E96" s="5" t="str">
        <f t="shared" si="1"/>
        <v>PASS</v>
      </c>
    </row>
  </sheetData>
  <mergeCells count="54">
    <mergeCell ref="B36:D36"/>
    <mergeCell ref="F36:G36"/>
    <mergeCell ref="B37:D37"/>
    <mergeCell ref="F37:G37"/>
    <mergeCell ref="B33:D33"/>
    <mergeCell ref="F33:G33"/>
    <mergeCell ref="B34:D34"/>
    <mergeCell ref="F34:G34"/>
    <mergeCell ref="B35:D35"/>
    <mergeCell ref="F35:G35"/>
    <mergeCell ref="A30:G30"/>
    <mergeCell ref="B31:D31"/>
    <mergeCell ref="F31:G31"/>
    <mergeCell ref="B32:D32"/>
    <mergeCell ref="F32:G32"/>
    <mergeCell ref="B26:D26"/>
    <mergeCell ref="F26:G26"/>
    <mergeCell ref="B27:D27"/>
    <mergeCell ref="F27:G27"/>
    <mergeCell ref="B28:D28"/>
    <mergeCell ref="F28:G28"/>
    <mergeCell ref="B23:D23"/>
    <mergeCell ref="F23:G23"/>
    <mergeCell ref="B24:D24"/>
    <mergeCell ref="F24:G24"/>
    <mergeCell ref="B25:D25"/>
    <mergeCell ref="F25:G25"/>
    <mergeCell ref="B20:D20"/>
    <mergeCell ref="F20:G20"/>
    <mergeCell ref="B21:D21"/>
    <mergeCell ref="F21:G21"/>
    <mergeCell ref="B22:D22"/>
    <mergeCell ref="F22:G22"/>
    <mergeCell ref="F17:G17"/>
    <mergeCell ref="B18:D18"/>
    <mergeCell ref="F18:G18"/>
    <mergeCell ref="B19:D19"/>
    <mergeCell ref="F19:G19"/>
    <mergeCell ref="B67:E67"/>
    <mergeCell ref="B87:E87"/>
    <mergeCell ref="C7:E7"/>
    <mergeCell ref="C8:E8"/>
    <mergeCell ref="C9:E9"/>
    <mergeCell ref="C10:E10"/>
    <mergeCell ref="A12:G12"/>
    <mergeCell ref="B13:D13"/>
    <mergeCell ref="F13:G13"/>
    <mergeCell ref="B14:D14"/>
    <mergeCell ref="F14:G14"/>
    <mergeCell ref="B15:D15"/>
    <mergeCell ref="F15:G15"/>
    <mergeCell ref="B16:D16"/>
    <mergeCell ref="F16:G16"/>
    <mergeCell ref="B17:D17"/>
  </mergeCells>
  <conditionalFormatting sqref="E89 E69:E72">
    <cfRule type="cellIs" dxfId="167" priority="11" operator="lessThan">
      <formula>$H$88</formula>
    </cfRule>
    <cfRule type="cellIs" dxfId="166" priority="12" operator="lessThan">
      <formula>0.05</formula>
    </cfRule>
  </conditionalFormatting>
  <conditionalFormatting sqref="E91">
    <cfRule type="cellIs" dxfId="165" priority="3" operator="lessThan">
      <formula>$H$88</formula>
    </cfRule>
    <cfRule type="cellIs" dxfId="164" priority="4" operator="lessThan">
      <formula>0.05</formula>
    </cfRule>
  </conditionalFormatting>
  <conditionalFormatting sqref="G40:G47">
    <cfRule type="cellIs" dxfId="163" priority="89" operator="lessThan">
      <formula>$F$86</formula>
    </cfRule>
    <cfRule type="cellIs" dxfId="162" priority="90" operator="lessThan">
      <formula>0.05</formula>
    </cfRule>
  </conditionalFormatting>
  <conditionalFormatting sqref="G40:G47">
    <cfRule type="cellIs" dxfId="161" priority="91" operator="between">
      <formula>$F$86</formula>
      <formula>$G$86</formula>
    </cfRule>
  </conditionalFormatting>
  <conditionalFormatting sqref="E90">
    <cfRule type="cellIs" dxfId="160" priority="5" operator="lessThan">
      <formula>$H$88</formula>
    </cfRule>
    <cfRule type="cellIs" dxfId="159" priority="6" operator="lessThan">
      <formula>0.05</formula>
    </cfRule>
  </conditionalFormatting>
  <conditionalFormatting sqref="E92:E96">
    <cfRule type="cellIs" dxfId="158" priority="1" operator="lessThan">
      <formula>$H$88</formula>
    </cfRule>
    <cfRule type="cellIs" dxfId="157" priority="2" operator="lessThan">
      <formula>0.05</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3"/>
  <sheetViews>
    <sheetView topLeftCell="A82" workbookViewId="0">
      <selection activeCell="G93" sqref="G93"/>
    </sheetView>
  </sheetViews>
  <sheetFormatPr baseColWidth="10" defaultRowHeight="15" x14ac:dyDescent="0.25"/>
  <cols>
    <col min="1" max="1" width="4" customWidth="1"/>
    <col min="2" max="2" width="22.85546875" customWidth="1"/>
    <col min="3" max="3" width="21.7109375" customWidth="1"/>
    <col min="4" max="4" width="21" customWidth="1"/>
    <col min="5" max="5" width="22.7109375" customWidth="1"/>
    <col min="8" max="8" width="13.28515625" customWidth="1"/>
  </cols>
  <sheetData>
    <row r="1" spans="1:11" ht="15" customHeight="1" x14ac:dyDescent="0.25">
      <c r="E1" s="214"/>
    </row>
    <row r="2" spans="1:11" ht="15" customHeight="1" x14ac:dyDescent="0.25">
      <c r="B2" s="189"/>
      <c r="C2" s="189"/>
      <c r="D2" s="189"/>
      <c r="E2" s="215"/>
      <c r="F2" s="189"/>
      <c r="G2" s="189"/>
      <c r="H2" s="189"/>
    </row>
    <row r="3" spans="1:11" ht="15" customHeight="1" x14ac:dyDescent="0.25">
      <c r="B3" s="189"/>
      <c r="C3" s="189"/>
      <c r="D3" s="189"/>
      <c r="E3" s="215"/>
      <c r="F3" s="189"/>
      <c r="G3" s="189"/>
      <c r="H3" s="189"/>
    </row>
    <row r="4" spans="1:11" ht="15" customHeight="1" x14ac:dyDescent="0.25">
      <c r="B4" s="189"/>
      <c r="C4" s="189"/>
      <c r="D4" s="189"/>
      <c r="E4" s="215"/>
      <c r="F4" s="189"/>
      <c r="G4" s="189"/>
      <c r="H4" s="189"/>
    </row>
    <row r="5" spans="1:11" ht="15" customHeight="1" x14ac:dyDescent="0.25">
      <c r="B5" s="189"/>
      <c r="C5" s="189"/>
      <c r="D5" s="189"/>
      <c r="E5" s="215"/>
      <c r="F5" s="189"/>
      <c r="G5" s="189"/>
      <c r="H5" s="189"/>
    </row>
    <row r="6" spans="1:11" ht="15" customHeight="1" x14ac:dyDescent="0.25">
      <c r="B6" s="189"/>
      <c r="C6" s="189"/>
      <c r="D6" s="189"/>
      <c r="E6" s="215"/>
      <c r="F6" s="189"/>
      <c r="G6" s="189"/>
      <c r="H6" s="189"/>
    </row>
    <row r="7" spans="1:11" x14ac:dyDescent="0.25">
      <c r="B7" s="231" t="s">
        <v>157</v>
      </c>
      <c r="C7" s="770" t="str">
        <f>'CARTA DE CONTROL'!B10</f>
        <v xml:space="preserve">ANALIZADOR DE GASES </v>
      </c>
      <c r="D7" s="771"/>
      <c r="E7" s="772"/>
    </row>
    <row r="8" spans="1:11" x14ac:dyDescent="0.25">
      <c r="B8" s="231" t="s">
        <v>158</v>
      </c>
      <c r="C8" s="770" t="str">
        <f>'CARTA DE CONTROL'!D10</f>
        <v>ACTIA</v>
      </c>
      <c r="D8" s="771"/>
      <c r="E8" s="772"/>
    </row>
    <row r="9" spans="1:11" x14ac:dyDescent="0.25">
      <c r="B9" s="231" t="s">
        <v>159</v>
      </c>
      <c r="C9" s="770" t="str">
        <f>'CARTA DE CONTROL'!E10</f>
        <v>AT505</v>
      </c>
      <c r="D9" s="771"/>
      <c r="E9" s="772"/>
    </row>
    <row r="10" spans="1:11" x14ac:dyDescent="0.25">
      <c r="B10" s="231" t="s">
        <v>160</v>
      </c>
      <c r="C10" s="773" t="str">
        <f>'CARTA DE CONTROL'!F10</f>
        <v>018/18</v>
      </c>
      <c r="D10" s="774"/>
      <c r="E10" s="775"/>
    </row>
    <row r="11" spans="1:11" ht="15" customHeight="1" thickBot="1" x14ac:dyDescent="0.3">
      <c r="B11" s="189"/>
      <c r="C11" s="189"/>
      <c r="D11" s="189"/>
      <c r="E11" s="215"/>
      <c r="F11" s="189"/>
      <c r="G11" s="189"/>
      <c r="H11" s="202"/>
      <c r="I11" s="203"/>
      <c r="J11" s="203"/>
      <c r="K11" s="203"/>
    </row>
    <row r="12" spans="1:11" s="190" customFormat="1" ht="34.5" customHeight="1" x14ac:dyDescent="0.2">
      <c r="A12" s="776" t="s">
        <v>127</v>
      </c>
      <c r="B12" s="777"/>
      <c r="C12" s="777"/>
      <c r="D12" s="777"/>
      <c r="E12" s="777"/>
      <c r="F12" s="777"/>
      <c r="G12" s="778"/>
      <c r="H12" s="204"/>
      <c r="I12" s="204"/>
      <c r="J12" s="204"/>
      <c r="K12" s="204"/>
    </row>
    <row r="13" spans="1:11" s="190" customFormat="1" ht="15" customHeight="1" x14ac:dyDescent="0.2">
      <c r="A13" s="207" t="s">
        <v>128</v>
      </c>
      <c r="B13" s="779" t="s">
        <v>129</v>
      </c>
      <c r="C13" s="780"/>
      <c r="D13" s="781"/>
      <c r="E13" s="201" t="s">
        <v>130</v>
      </c>
      <c r="F13" s="782" t="s">
        <v>131</v>
      </c>
      <c r="G13" s="783"/>
      <c r="H13" s="205"/>
      <c r="I13" s="205"/>
      <c r="J13" s="205"/>
      <c r="K13" s="205"/>
    </row>
    <row r="14" spans="1:11" s="1" customFormat="1" ht="35.25" customHeight="1" x14ac:dyDescent="0.2">
      <c r="A14" s="208">
        <v>1</v>
      </c>
      <c r="B14" s="761" t="s">
        <v>132</v>
      </c>
      <c r="C14" s="761"/>
      <c r="D14" s="761"/>
      <c r="E14" s="192" t="s">
        <v>133</v>
      </c>
      <c r="F14" s="762"/>
      <c r="G14" s="763"/>
      <c r="H14" s="206"/>
      <c r="I14" s="206"/>
      <c r="J14" s="206"/>
      <c r="K14" s="206"/>
    </row>
    <row r="15" spans="1:11" s="1" customFormat="1" ht="35.25" customHeight="1" x14ac:dyDescent="0.2">
      <c r="A15" s="208">
        <v>2</v>
      </c>
      <c r="B15" s="761" t="s">
        <v>134</v>
      </c>
      <c r="C15" s="761"/>
      <c r="D15" s="761"/>
      <c r="E15" s="192" t="s">
        <v>133</v>
      </c>
      <c r="F15" s="762"/>
      <c r="G15" s="763"/>
    </row>
    <row r="16" spans="1:11" s="1" customFormat="1" ht="35.25" customHeight="1" x14ac:dyDescent="0.2">
      <c r="A16" s="208">
        <v>3</v>
      </c>
      <c r="B16" s="761" t="s">
        <v>135</v>
      </c>
      <c r="C16" s="761"/>
      <c r="D16" s="761"/>
      <c r="E16" s="192" t="s">
        <v>133</v>
      </c>
      <c r="F16" s="762"/>
      <c r="G16" s="763"/>
    </row>
    <row r="17" spans="1:11" s="1" customFormat="1" ht="35.25" customHeight="1" x14ac:dyDescent="0.2">
      <c r="A17" s="208">
        <v>4</v>
      </c>
      <c r="B17" s="761" t="s">
        <v>136</v>
      </c>
      <c r="C17" s="761"/>
      <c r="D17" s="761"/>
      <c r="E17" s="192" t="s">
        <v>133</v>
      </c>
      <c r="F17" s="784"/>
      <c r="G17" s="785"/>
    </row>
    <row r="18" spans="1:11" s="1" customFormat="1" ht="35.25" customHeight="1" x14ac:dyDescent="0.2">
      <c r="A18" s="208">
        <v>5</v>
      </c>
      <c r="B18" s="761" t="s">
        <v>137</v>
      </c>
      <c r="C18" s="761"/>
      <c r="D18" s="761"/>
      <c r="E18" s="192" t="s">
        <v>133</v>
      </c>
      <c r="F18" s="762"/>
      <c r="G18" s="763"/>
    </row>
    <row r="19" spans="1:11" s="1" customFormat="1" ht="35.25" customHeight="1" x14ac:dyDescent="0.2">
      <c r="A19" s="208">
        <v>6</v>
      </c>
      <c r="B19" s="761" t="s">
        <v>138</v>
      </c>
      <c r="C19" s="761"/>
      <c r="D19" s="761"/>
      <c r="E19" s="192" t="s">
        <v>133</v>
      </c>
      <c r="F19" s="762"/>
      <c r="G19" s="763"/>
    </row>
    <row r="20" spans="1:11" s="1" customFormat="1" ht="35.25" customHeight="1" x14ac:dyDescent="0.2">
      <c r="A20" s="208">
        <v>7</v>
      </c>
      <c r="B20" s="761" t="s">
        <v>139</v>
      </c>
      <c r="C20" s="761"/>
      <c r="D20" s="761"/>
      <c r="E20" s="192" t="s">
        <v>133</v>
      </c>
      <c r="F20" s="762"/>
      <c r="G20" s="763"/>
    </row>
    <row r="21" spans="1:11" s="1" customFormat="1" ht="35.25" customHeight="1" x14ac:dyDescent="0.2">
      <c r="A21" s="208">
        <v>8</v>
      </c>
      <c r="B21" s="761" t="s">
        <v>140</v>
      </c>
      <c r="C21" s="761"/>
      <c r="D21" s="761"/>
      <c r="E21" s="192" t="s">
        <v>133</v>
      </c>
      <c r="F21" s="762"/>
      <c r="G21" s="763"/>
    </row>
    <row r="22" spans="1:11" s="1" customFormat="1" ht="35.25" customHeight="1" x14ac:dyDescent="0.2">
      <c r="A22" s="208">
        <v>9</v>
      </c>
      <c r="B22" s="761" t="s">
        <v>141</v>
      </c>
      <c r="C22" s="761"/>
      <c r="D22" s="761"/>
      <c r="E22" s="192" t="s">
        <v>133</v>
      </c>
      <c r="F22" s="762"/>
      <c r="G22" s="763"/>
    </row>
    <row r="23" spans="1:11" s="1" customFormat="1" ht="35.25" customHeight="1" x14ac:dyDescent="0.2">
      <c r="A23" s="208">
        <v>10</v>
      </c>
      <c r="B23" s="761" t="s">
        <v>142</v>
      </c>
      <c r="C23" s="761"/>
      <c r="D23" s="761"/>
      <c r="E23" s="192" t="s">
        <v>133</v>
      </c>
      <c r="F23" s="762"/>
      <c r="G23" s="763"/>
    </row>
    <row r="24" spans="1:11" s="1" customFormat="1" ht="35.25" customHeight="1" x14ac:dyDescent="0.2">
      <c r="A24" s="208">
        <v>11</v>
      </c>
      <c r="B24" s="761" t="s">
        <v>143</v>
      </c>
      <c r="C24" s="761"/>
      <c r="D24" s="761"/>
      <c r="E24" s="192" t="s">
        <v>133</v>
      </c>
      <c r="F24" s="762"/>
      <c r="G24" s="763"/>
    </row>
    <row r="25" spans="1:11" s="194" customFormat="1" ht="35.25" customHeight="1" x14ac:dyDescent="0.2">
      <c r="A25" s="209">
        <v>12</v>
      </c>
      <c r="B25" s="761" t="s">
        <v>144</v>
      </c>
      <c r="C25" s="761"/>
      <c r="D25" s="761"/>
      <c r="E25" s="193" t="s">
        <v>133</v>
      </c>
      <c r="F25" s="762"/>
      <c r="G25" s="763"/>
    </row>
    <row r="26" spans="1:11" s="1" customFormat="1" ht="35.25" customHeight="1" x14ac:dyDescent="0.2">
      <c r="A26" s="208">
        <v>13</v>
      </c>
      <c r="B26" s="761" t="s">
        <v>145</v>
      </c>
      <c r="C26" s="761"/>
      <c r="D26" s="761"/>
      <c r="E26" s="192" t="s">
        <v>133</v>
      </c>
      <c r="F26" s="762"/>
      <c r="G26" s="763"/>
    </row>
    <row r="27" spans="1:11" s="1" customFormat="1" ht="35.25" customHeight="1" x14ac:dyDescent="0.2">
      <c r="A27" s="208">
        <v>14</v>
      </c>
      <c r="B27" s="761" t="s">
        <v>146</v>
      </c>
      <c r="C27" s="761"/>
      <c r="D27" s="761"/>
      <c r="E27" s="192" t="s">
        <v>133</v>
      </c>
      <c r="F27" s="762"/>
      <c r="G27" s="763"/>
    </row>
    <row r="28" spans="1:11" s="1" customFormat="1" ht="54.75" customHeight="1" thickBot="1" x14ac:dyDescent="0.25">
      <c r="A28" s="210">
        <v>15</v>
      </c>
      <c r="B28" s="764" t="s">
        <v>147</v>
      </c>
      <c r="C28" s="764"/>
      <c r="D28" s="764"/>
      <c r="E28" s="212" t="s">
        <v>133</v>
      </c>
      <c r="F28" s="765"/>
      <c r="G28" s="766"/>
    </row>
    <row r="29" spans="1:11" s="198" customFormat="1" ht="21" customHeight="1" thickBot="1" x14ac:dyDescent="0.25">
      <c r="B29" s="195"/>
      <c r="C29" s="196"/>
      <c r="D29" s="196"/>
      <c r="E29" s="195"/>
      <c r="F29" s="196"/>
      <c r="G29" s="196"/>
      <c r="H29" s="197"/>
      <c r="I29" s="197"/>
    </row>
    <row r="30" spans="1:11" s="219" customFormat="1" ht="15" customHeight="1" x14ac:dyDescent="0.2">
      <c r="A30" s="767" t="s">
        <v>148</v>
      </c>
      <c r="B30" s="768"/>
      <c r="C30" s="768"/>
      <c r="D30" s="768"/>
      <c r="E30" s="768"/>
      <c r="F30" s="768"/>
      <c r="G30" s="769"/>
      <c r="H30" s="222"/>
      <c r="I30" s="223"/>
      <c r="J30" s="223"/>
      <c r="K30" s="223"/>
    </row>
    <row r="31" spans="1:11" s="219" customFormat="1" ht="15" customHeight="1" x14ac:dyDescent="0.2">
      <c r="A31" s="220" t="s">
        <v>128</v>
      </c>
      <c r="B31" s="759" t="s">
        <v>129</v>
      </c>
      <c r="C31" s="759"/>
      <c r="D31" s="759"/>
      <c r="E31" s="221" t="s">
        <v>130</v>
      </c>
      <c r="F31" s="759" t="s">
        <v>131</v>
      </c>
      <c r="G31" s="760"/>
      <c r="H31" s="224"/>
      <c r="I31" s="225"/>
      <c r="J31" s="225"/>
      <c r="K31" s="225"/>
    </row>
    <row r="32" spans="1:11" s="1" customFormat="1" ht="55.5" customHeight="1" x14ac:dyDescent="0.2">
      <c r="A32" s="216">
        <v>1</v>
      </c>
      <c r="B32" s="754" t="s">
        <v>149</v>
      </c>
      <c r="C32" s="754"/>
      <c r="D32" s="754"/>
      <c r="E32" s="199" t="s">
        <v>150</v>
      </c>
      <c r="F32" s="755"/>
      <c r="G32" s="756"/>
      <c r="H32" s="226"/>
      <c r="I32" s="206"/>
      <c r="J32" s="206"/>
      <c r="K32" s="206"/>
    </row>
    <row r="33" spans="1:8" s="1" customFormat="1" ht="25.5" customHeight="1" x14ac:dyDescent="0.2">
      <c r="A33" s="216">
        <v>2</v>
      </c>
      <c r="B33" s="754" t="s">
        <v>151</v>
      </c>
      <c r="C33" s="754"/>
      <c r="D33" s="754"/>
      <c r="E33" s="199" t="s">
        <v>150</v>
      </c>
      <c r="F33" s="755"/>
      <c r="G33" s="756"/>
    </row>
    <row r="34" spans="1:8" s="1" customFormat="1" ht="25.5" customHeight="1" x14ac:dyDescent="0.2">
      <c r="A34" s="216">
        <v>3</v>
      </c>
      <c r="B34" s="754" t="s">
        <v>152</v>
      </c>
      <c r="C34" s="754"/>
      <c r="D34" s="754"/>
      <c r="E34" s="199" t="s">
        <v>150</v>
      </c>
      <c r="F34" s="755"/>
      <c r="G34" s="756"/>
    </row>
    <row r="35" spans="1:8" s="1" customFormat="1" ht="25.5" customHeight="1" x14ac:dyDescent="0.2">
      <c r="A35" s="216">
        <v>4</v>
      </c>
      <c r="B35" s="754" t="s">
        <v>153</v>
      </c>
      <c r="C35" s="754"/>
      <c r="D35" s="754"/>
      <c r="E35" s="199" t="s">
        <v>154</v>
      </c>
      <c r="F35" s="755"/>
      <c r="G35" s="756"/>
    </row>
    <row r="36" spans="1:8" s="1" customFormat="1" ht="25.5" customHeight="1" x14ac:dyDescent="0.2">
      <c r="A36" s="216">
        <v>5</v>
      </c>
      <c r="B36" s="754" t="s">
        <v>155</v>
      </c>
      <c r="C36" s="754"/>
      <c r="D36" s="754"/>
      <c r="E36" s="199" t="s">
        <v>154</v>
      </c>
      <c r="F36" s="757"/>
      <c r="G36" s="758"/>
    </row>
    <row r="37" spans="1:8" s="1" customFormat="1" ht="25.5" customHeight="1" thickBot="1" x14ac:dyDescent="0.25">
      <c r="A37" s="217">
        <v>6</v>
      </c>
      <c r="B37" s="748" t="s">
        <v>156</v>
      </c>
      <c r="C37" s="748"/>
      <c r="D37" s="748"/>
      <c r="E37" s="218" t="s">
        <v>154</v>
      </c>
      <c r="F37" s="749"/>
      <c r="G37" s="750"/>
    </row>
    <row r="38" spans="1:8" ht="15.75" thickBot="1" x14ac:dyDescent="0.3"/>
    <row r="39" spans="1:8" ht="79.5" thickBot="1" x14ac:dyDescent="0.3">
      <c r="B39" s="2" t="s">
        <v>39</v>
      </c>
      <c r="C39" s="11" t="s">
        <v>92</v>
      </c>
      <c r="D39" s="11" t="s">
        <v>93</v>
      </c>
      <c r="E39" s="2" t="s">
        <v>94</v>
      </c>
      <c r="F39" s="2" t="s">
        <v>95</v>
      </c>
      <c r="G39" s="21" t="s">
        <v>96</v>
      </c>
    </row>
    <row r="40" spans="1:8" ht="15.75" thickBot="1" x14ac:dyDescent="0.3">
      <c r="B40" s="241">
        <f>'CARTA DE CONTROL'!R22</f>
        <v>0</v>
      </c>
      <c r="C40" s="242">
        <f>'CARTA DE CONTROL'!AR22</f>
        <v>5.8000000000000003E-2</v>
      </c>
      <c r="D40" s="242">
        <f>'CARTA DE CONTROL'!AS22</f>
        <v>-5.8000000000000003E-2</v>
      </c>
      <c r="E40" s="243">
        <f>'CARTA DE CONTROL'!I22</f>
        <v>0.5</v>
      </c>
      <c r="F40" s="243">
        <f>-('CARTA DE CONTROL'!I22)</f>
        <v>-0.5</v>
      </c>
      <c r="G40" s="244" t="str">
        <f>IF(C40&lt;=0.5,IF(D40&gt;=-0.5,"PASS","NO PASS"))</f>
        <v>PASS</v>
      </c>
    </row>
    <row r="41" spans="1:8" ht="15.75" thickBot="1" x14ac:dyDescent="0.3">
      <c r="B41" s="241">
        <f>'CARTA DE CONTROL'!R23</f>
        <v>0</v>
      </c>
      <c r="C41" s="242">
        <f>'CARTA DE CONTROL'!AR23</f>
        <v>5.8000000000000003E-2</v>
      </c>
      <c r="D41" s="242">
        <f>'CARTA DE CONTROL'!AS23</f>
        <v>-5.8000000000000003E-2</v>
      </c>
      <c r="E41" s="243">
        <f>'CARTA DE CONTROL'!I23</f>
        <v>0.5</v>
      </c>
      <c r="F41" s="243">
        <f>-('CARTA DE CONTROL'!I23)</f>
        <v>-0.5</v>
      </c>
      <c r="G41" s="244" t="str">
        <f t="shared" ref="G41:G43" si="0">IF(C41&lt;=0.5,IF(D41&gt;=-0.5,"PASS","NO PASS"))</f>
        <v>PASS</v>
      </c>
    </row>
    <row r="42" spans="1:8" ht="15.75" thickBot="1" x14ac:dyDescent="0.3">
      <c r="B42" s="241">
        <f>'CARTA DE CONTROL'!R24</f>
        <v>0</v>
      </c>
      <c r="C42" s="242">
        <f>'CARTA DE CONTROL'!AR24</f>
        <v>5.8000000000000003E-2</v>
      </c>
      <c r="D42" s="242">
        <f>'CARTA DE CONTROL'!AS24</f>
        <v>-5.8000000000000003E-2</v>
      </c>
      <c r="E42" s="243">
        <f>'CARTA DE CONTROL'!I24</f>
        <v>0.5</v>
      </c>
      <c r="F42" s="243">
        <f>-('CARTA DE CONTROL'!I24)</f>
        <v>-0.5</v>
      </c>
      <c r="G42" s="244" t="str">
        <f t="shared" si="0"/>
        <v>PASS</v>
      </c>
    </row>
    <row r="43" spans="1:8" ht="15.75" thickBot="1" x14ac:dyDescent="0.3">
      <c r="B43" s="241">
        <f>'CARTA DE CONTROL'!R25</f>
        <v>0</v>
      </c>
      <c r="C43" s="242">
        <f>'CARTA DE CONTROL'!AR25</f>
        <v>5.8000000000000003E-2</v>
      </c>
      <c r="D43" s="242">
        <f>'CARTA DE CONTROL'!AS25</f>
        <v>-5.8000000000000003E-2</v>
      </c>
      <c r="E43" s="243">
        <f>'CARTA DE CONTROL'!I25</f>
        <v>0.5</v>
      </c>
      <c r="F43" s="243">
        <f>-('CARTA DE CONTROL'!I25)</f>
        <v>-0.5</v>
      </c>
      <c r="G43" s="244" t="str">
        <f t="shared" si="0"/>
        <v>PASS</v>
      </c>
    </row>
    <row r="44" spans="1:8" ht="15.75" thickBot="1" x14ac:dyDescent="0.3">
      <c r="A44" s="1"/>
      <c r="B44" s="241">
        <f>'CARTA DE CONTROL'!R38</f>
        <v>0</v>
      </c>
      <c r="C44" s="242">
        <f>'CARTA DE CONTROL'!AR38</f>
        <v>5.8000000000000003E-2</v>
      </c>
      <c r="D44" s="242">
        <f>'CARTA DE CONTROL'!AS38</f>
        <v>-5.8000000000000003E-2</v>
      </c>
      <c r="E44" s="243">
        <f>'CARTA DE CONTROL'!I38</f>
        <v>0.5</v>
      </c>
      <c r="F44" s="243">
        <f>-('CARTA DE CONTROL'!I38)</f>
        <v>-0.5</v>
      </c>
      <c r="G44" s="244" t="str">
        <f>IF(C44&lt;=0.5,IF(D44&gt;=-0.5,"PASS","NO PASS"))</f>
        <v>PASS</v>
      </c>
      <c r="H44" s="1"/>
    </row>
    <row r="45" spans="1:8" ht="15.75" thickBot="1" x14ac:dyDescent="0.3">
      <c r="A45" s="1"/>
      <c r="B45" s="241">
        <f>'CARTA DE CONTROL'!R39</f>
        <v>0</v>
      </c>
      <c r="C45" s="242">
        <f>'CARTA DE CONTROL'!AR39</f>
        <v>5.8000000000000003E-2</v>
      </c>
      <c r="D45" s="242">
        <f>'CARTA DE CONTROL'!AS39</f>
        <v>-5.8000000000000003E-2</v>
      </c>
      <c r="E45" s="243">
        <f>'CARTA DE CONTROL'!I39</f>
        <v>0.5</v>
      </c>
      <c r="F45" s="243">
        <f>-('CARTA DE CONTROL'!I39)</f>
        <v>-0.5</v>
      </c>
      <c r="G45" s="244" t="str">
        <f t="shared" ref="G45:G47" si="1">IF(C45&lt;=0.5,IF(D45&gt;=-0.5,"PASS","NO PASS"))</f>
        <v>PASS</v>
      </c>
    </row>
    <row r="46" spans="1:8" ht="15.75" thickBot="1" x14ac:dyDescent="0.3">
      <c r="A46" s="1"/>
      <c r="B46" s="241">
        <f>'CARTA DE CONTROL'!R40</f>
        <v>0</v>
      </c>
      <c r="C46" s="242">
        <f>'CARTA DE CONTROL'!AR40</f>
        <v>5.8000000000000003E-2</v>
      </c>
      <c r="D46" s="242">
        <f>'CARTA DE CONTROL'!AS40</f>
        <v>-5.8000000000000003E-2</v>
      </c>
      <c r="E46" s="243">
        <f>'CARTA DE CONTROL'!I40</f>
        <v>0.5</v>
      </c>
      <c r="F46" s="243">
        <f>-('CARTA DE CONTROL'!I40)</f>
        <v>-0.5</v>
      </c>
      <c r="G46" s="244" t="str">
        <f t="shared" si="1"/>
        <v>PASS</v>
      </c>
    </row>
    <row r="47" spans="1:8" ht="15.75" thickBot="1" x14ac:dyDescent="0.3">
      <c r="A47" s="1"/>
      <c r="B47" s="241">
        <f>'CARTA DE CONTROL'!R41</f>
        <v>0</v>
      </c>
      <c r="C47" s="242">
        <f>'CARTA DE CONTROL'!AR41</f>
        <v>5.8000000000000003E-2</v>
      </c>
      <c r="D47" s="242">
        <f>'CARTA DE CONTROL'!AS41</f>
        <v>-5.8000000000000003E-2</v>
      </c>
      <c r="E47" s="243">
        <f>'CARTA DE CONTROL'!I41</f>
        <v>0.5</v>
      </c>
      <c r="F47" s="243">
        <f>-('CARTA DE CONTROL'!I41)</f>
        <v>-0.5</v>
      </c>
      <c r="G47" s="244" t="str">
        <f t="shared" si="1"/>
        <v>PASS</v>
      </c>
    </row>
    <row r="48" spans="1:8" x14ac:dyDescent="0.25">
      <c r="A48" s="1"/>
      <c r="B48" s="1"/>
      <c r="C48" s="1"/>
      <c r="D48" s="1"/>
      <c r="E48" s="1"/>
      <c r="F48" s="1"/>
      <c r="G48" s="1"/>
      <c r="H48" s="1"/>
    </row>
    <row r="49" spans="1:8" x14ac:dyDescent="0.25">
      <c r="A49" s="1"/>
      <c r="B49" s="1"/>
      <c r="C49" s="1"/>
      <c r="D49" s="1"/>
      <c r="E49" s="1"/>
      <c r="F49" s="1"/>
      <c r="G49" s="1"/>
      <c r="H49" s="1"/>
    </row>
    <row r="50" spans="1:8" x14ac:dyDescent="0.25">
      <c r="A50" s="1"/>
      <c r="B50" s="1"/>
      <c r="C50" s="1"/>
      <c r="D50" s="1"/>
      <c r="E50" s="1"/>
      <c r="F50" s="1"/>
      <c r="G50" s="1"/>
      <c r="H50" s="1"/>
    </row>
    <row r="51" spans="1:8" x14ac:dyDescent="0.25">
      <c r="A51" s="1"/>
      <c r="B51" s="1"/>
      <c r="C51" s="1"/>
      <c r="D51" s="1"/>
      <c r="E51" s="1"/>
      <c r="F51" s="1"/>
      <c r="G51" s="1"/>
      <c r="H51" s="1"/>
    </row>
    <row r="52" spans="1:8" x14ac:dyDescent="0.25">
      <c r="A52" s="1"/>
      <c r="B52" s="1"/>
      <c r="C52" s="1"/>
      <c r="D52" s="1"/>
      <c r="E52" s="1"/>
      <c r="F52" s="1"/>
      <c r="G52" s="1"/>
      <c r="H52" s="1"/>
    </row>
    <row r="53" spans="1:8" x14ac:dyDescent="0.25">
      <c r="A53" s="1"/>
      <c r="B53" s="1"/>
      <c r="C53" s="1"/>
      <c r="D53" s="1"/>
      <c r="E53" s="1"/>
      <c r="F53" s="1"/>
      <c r="G53" s="1"/>
      <c r="H53" s="1"/>
    </row>
    <row r="54" spans="1:8" x14ac:dyDescent="0.25">
      <c r="A54" s="1"/>
      <c r="B54" s="1"/>
      <c r="C54" s="1"/>
      <c r="D54" s="1"/>
      <c r="E54" s="1"/>
      <c r="F54" s="1"/>
      <c r="G54" s="1"/>
      <c r="H54" s="1"/>
    </row>
    <row r="55" spans="1:8" x14ac:dyDescent="0.25">
      <c r="A55" s="1"/>
      <c r="B55" s="1"/>
      <c r="C55" s="1"/>
      <c r="D55" s="1"/>
      <c r="E55" s="1"/>
      <c r="F55" s="1"/>
      <c r="G55" s="1"/>
      <c r="H55" s="1"/>
    </row>
    <row r="56" spans="1:8" x14ac:dyDescent="0.25">
      <c r="A56" s="1"/>
      <c r="B56" s="1"/>
      <c r="C56" s="1"/>
      <c r="D56" s="1"/>
      <c r="E56" s="1"/>
      <c r="F56" s="1"/>
      <c r="G56" s="1"/>
      <c r="H56" s="1"/>
    </row>
    <row r="57" spans="1:8" x14ac:dyDescent="0.25">
      <c r="A57" s="1"/>
      <c r="B57" s="1"/>
      <c r="C57" s="1"/>
      <c r="D57" s="1"/>
      <c r="E57" s="1"/>
      <c r="F57" s="1"/>
      <c r="G57" s="1"/>
      <c r="H57" s="1"/>
    </row>
    <row r="58" spans="1:8" x14ac:dyDescent="0.25">
      <c r="A58" s="1"/>
      <c r="B58" s="1"/>
      <c r="C58" s="1"/>
      <c r="D58" s="1"/>
      <c r="E58" s="1"/>
      <c r="F58" s="1"/>
      <c r="G58" s="1"/>
      <c r="H58" s="1"/>
    </row>
    <row r="59" spans="1:8" x14ac:dyDescent="0.25">
      <c r="A59" s="1"/>
      <c r="B59" s="1"/>
      <c r="C59" s="1"/>
      <c r="D59" s="1"/>
      <c r="E59" s="1"/>
      <c r="F59" s="1"/>
      <c r="G59" s="1"/>
      <c r="H59" s="1"/>
    </row>
    <row r="60" spans="1:8" x14ac:dyDescent="0.25">
      <c r="A60" s="1"/>
      <c r="B60" s="1"/>
      <c r="C60" s="1"/>
      <c r="D60" s="1"/>
      <c r="E60" s="1"/>
      <c r="F60" s="1"/>
      <c r="G60" s="1"/>
      <c r="H60" s="1"/>
    </row>
    <row r="65" spans="2:5" ht="15.75" thickBot="1" x14ac:dyDescent="0.3"/>
    <row r="66" spans="2:5" ht="15.75" thickBot="1" x14ac:dyDescent="0.3">
      <c r="B66" s="751" t="s">
        <v>83</v>
      </c>
      <c r="C66" s="752"/>
      <c r="D66" s="752"/>
      <c r="E66" s="753"/>
    </row>
    <row r="67" spans="2:5" ht="45.75" thickBot="1" x14ac:dyDescent="0.3">
      <c r="B67" s="2" t="s">
        <v>39</v>
      </c>
      <c r="C67" s="10" t="s">
        <v>84</v>
      </c>
      <c r="D67" s="2" t="s">
        <v>85</v>
      </c>
      <c r="E67" s="21" t="s">
        <v>86</v>
      </c>
    </row>
    <row r="68" spans="2:5" ht="15.75" thickBot="1" x14ac:dyDescent="0.3">
      <c r="B68" s="3">
        <f>'CARTA DE CONTROL'!R22</f>
        <v>0</v>
      </c>
      <c r="C68" s="4">
        <f>'CARTA DE CONTROL'!AN22</f>
        <v>0</v>
      </c>
      <c r="D68" s="6">
        <f>'CARTA DE CONTROL'!M22</f>
        <v>0.3</v>
      </c>
      <c r="E68" s="5" t="str">
        <f>IF(C68&lt;=0.3,IF(C68&gt;=-0.3,"PASS","NO PASS"))</f>
        <v>PASS</v>
      </c>
    </row>
    <row r="69" spans="2:5" ht="15.75" thickBot="1" x14ac:dyDescent="0.3">
      <c r="B69" s="3">
        <f>'CARTA DE CONTROL'!R23</f>
        <v>0</v>
      </c>
      <c r="C69" s="4">
        <f>'CARTA DE CONTROL'!AN23</f>
        <v>1E-3</v>
      </c>
      <c r="D69" s="6">
        <f>'CARTA DE CONTROL'!M23</f>
        <v>0.3</v>
      </c>
      <c r="E69" s="5" t="str">
        <f t="shared" ref="E69:E71" si="2">IF(C69&lt;=0.3,IF(C69&gt;=-0.3,"PASS","NO PASS"))</f>
        <v>PASS</v>
      </c>
    </row>
    <row r="70" spans="2:5" ht="15.75" thickBot="1" x14ac:dyDescent="0.3">
      <c r="B70" s="3">
        <f>'CARTA DE CONTROL'!R24</f>
        <v>0</v>
      </c>
      <c r="C70" s="4">
        <f>'CARTA DE CONTROL'!AN24</f>
        <v>0</v>
      </c>
      <c r="D70" s="6">
        <f>'CARTA DE CONTROL'!M24</f>
        <v>0.3</v>
      </c>
      <c r="E70" s="5" t="str">
        <f t="shared" si="2"/>
        <v>PASS</v>
      </c>
    </row>
    <row r="71" spans="2:5" ht="15.75" thickBot="1" x14ac:dyDescent="0.3">
      <c r="B71" s="3">
        <f>'CARTA DE CONTROL'!R25</f>
        <v>0</v>
      </c>
      <c r="C71" s="4">
        <f>'CARTA DE CONTROL'!AN25</f>
        <v>0</v>
      </c>
      <c r="D71" s="6">
        <f>'CARTA DE CONTROL'!M25</f>
        <v>0.3</v>
      </c>
      <c r="E71" s="5" t="str">
        <f t="shared" si="2"/>
        <v>PASS</v>
      </c>
    </row>
    <row r="83" spans="2:5" ht="15.75" thickBot="1" x14ac:dyDescent="0.3"/>
    <row r="84" spans="2:5" ht="15.75" thickBot="1" x14ac:dyDescent="0.3">
      <c r="B84" s="751" t="s">
        <v>87</v>
      </c>
      <c r="C84" s="752"/>
      <c r="D84" s="752"/>
      <c r="E84" s="753"/>
    </row>
    <row r="85" spans="2:5" ht="45.75" thickBot="1" x14ac:dyDescent="0.3">
      <c r="B85" s="2" t="s">
        <v>39</v>
      </c>
      <c r="C85" s="10" t="s">
        <v>88</v>
      </c>
      <c r="D85" s="2" t="s">
        <v>85</v>
      </c>
      <c r="E85" s="21" t="s">
        <v>86</v>
      </c>
    </row>
    <row r="86" spans="2:5" ht="15.75" thickBot="1" x14ac:dyDescent="0.3">
      <c r="B86" s="3">
        <f>'CARTA DE CONTROL'!R22</f>
        <v>0</v>
      </c>
      <c r="C86" s="4">
        <f>'CARTA DE CONTROL'!AO22</f>
        <v>0</v>
      </c>
      <c r="D86" s="6">
        <f>'CARTA DE CONTROL'!O22</f>
        <v>0.4</v>
      </c>
      <c r="E86" s="5" t="str">
        <f>IF(C86&lt;=0.4,IF(C86&gt;=-0.4,"PASS","NO PASS"))</f>
        <v>PASS</v>
      </c>
    </row>
    <row r="87" spans="2:5" ht="15.75" thickBot="1" x14ac:dyDescent="0.3">
      <c r="B87" s="3">
        <f>'CARTA DE CONTROL'!R23</f>
        <v>0</v>
      </c>
      <c r="C87" s="4">
        <f>'CARTA DE CONTROL'!AO23</f>
        <v>0</v>
      </c>
      <c r="D87" s="6">
        <f>'CARTA DE CONTROL'!O23</f>
        <v>0.4</v>
      </c>
      <c r="E87" s="5" t="str">
        <f t="shared" ref="E87:E89" si="3">IF(C87&lt;=0.4,IF(C87&gt;=-0.4,"PASS","NO PASS"))</f>
        <v>PASS</v>
      </c>
    </row>
    <row r="88" spans="2:5" ht="15.75" thickBot="1" x14ac:dyDescent="0.3">
      <c r="B88" s="3">
        <f>'CARTA DE CONTROL'!R24</f>
        <v>0</v>
      </c>
      <c r="C88" s="4">
        <f>'CARTA DE CONTROL'!AO24</f>
        <v>0</v>
      </c>
      <c r="D88" s="6">
        <f>'CARTA DE CONTROL'!O24</f>
        <v>0.4</v>
      </c>
      <c r="E88" s="5" t="str">
        <f t="shared" si="3"/>
        <v>PASS</v>
      </c>
    </row>
    <row r="89" spans="2:5" ht="15.75" thickBot="1" x14ac:dyDescent="0.3">
      <c r="B89" s="3">
        <f>'CARTA DE CONTROL'!R25</f>
        <v>0</v>
      </c>
      <c r="C89" s="4">
        <f>'CARTA DE CONTROL'!AO25</f>
        <v>0</v>
      </c>
      <c r="D89" s="6">
        <f>'CARTA DE CONTROL'!O25</f>
        <v>0.4</v>
      </c>
      <c r="E89" s="5" t="str">
        <f t="shared" si="3"/>
        <v>PASS</v>
      </c>
    </row>
    <row r="90" spans="2:5" ht="15.75" thickBot="1" x14ac:dyDescent="0.3">
      <c r="B90" s="3">
        <f>'CARTA DE CONTROL'!R38</f>
        <v>0</v>
      </c>
      <c r="C90" s="4">
        <f>'CARTA DE CONTROL'!AO38</f>
        <v>0</v>
      </c>
      <c r="D90" s="6">
        <f>'CARTA DE CONTROL'!O38</f>
        <v>0.4</v>
      </c>
      <c r="E90" s="5" t="str">
        <f t="shared" ref="E90:E93" si="4">IF(C90&lt;=0.4,IF(C90&gt;=-0.4,"PASS","NO PASS"))</f>
        <v>PASS</v>
      </c>
    </row>
    <row r="91" spans="2:5" ht="15.75" thickBot="1" x14ac:dyDescent="0.3">
      <c r="B91" s="3">
        <f>'CARTA DE CONTROL'!R39</f>
        <v>0</v>
      </c>
      <c r="C91" s="4">
        <f>'CARTA DE CONTROL'!AO39</f>
        <v>0</v>
      </c>
      <c r="D91" s="6">
        <f>'CARTA DE CONTROL'!O39</f>
        <v>0.4</v>
      </c>
      <c r="E91" s="5" t="str">
        <f t="shared" si="4"/>
        <v>PASS</v>
      </c>
    </row>
    <row r="92" spans="2:5" ht="15.75" thickBot="1" x14ac:dyDescent="0.3">
      <c r="B92" s="3">
        <f>'CARTA DE CONTROL'!R40</f>
        <v>0</v>
      </c>
      <c r="C92" s="4">
        <f>'CARTA DE CONTROL'!AO40</f>
        <v>0</v>
      </c>
      <c r="D92" s="6">
        <f>'CARTA DE CONTROL'!O40</f>
        <v>0.4</v>
      </c>
      <c r="E92" s="5" t="str">
        <f t="shared" si="4"/>
        <v>PASS</v>
      </c>
    </row>
    <row r="93" spans="2:5" ht="15.75" thickBot="1" x14ac:dyDescent="0.3">
      <c r="B93" s="3">
        <f>'CARTA DE CONTROL'!R41</f>
        <v>0</v>
      </c>
      <c r="C93" s="4">
        <f>'CARTA DE CONTROL'!AO41</f>
        <v>0.01</v>
      </c>
      <c r="D93" s="6">
        <f>'CARTA DE CONTROL'!O41</f>
        <v>0.4</v>
      </c>
      <c r="E93" s="5" t="str">
        <f t="shared" si="4"/>
        <v>PASS</v>
      </c>
    </row>
  </sheetData>
  <mergeCells count="54">
    <mergeCell ref="B36:D36"/>
    <mergeCell ref="F36:G36"/>
    <mergeCell ref="B37:D37"/>
    <mergeCell ref="F37:G37"/>
    <mergeCell ref="B33:D33"/>
    <mergeCell ref="F33:G33"/>
    <mergeCell ref="B34:D34"/>
    <mergeCell ref="F34:G34"/>
    <mergeCell ref="B35:D35"/>
    <mergeCell ref="F35:G35"/>
    <mergeCell ref="A30:G30"/>
    <mergeCell ref="B31:D31"/>
    <mergeCell ref="F31:G31"/>
    <mergeCell ref="B32:D32"/>
    <mergeCell ref="F32:G32"/>
    <mergeCell ref="B26:D26"/>
    <mergeCell ref="F26:G26"/>
    <mergeCell ref="B27:D27"/>
    <mergeCell ref="F27:G27"/>
    <mergeCell ref="B28:D28"/>
    <mergeCell ref="F28:G28"/>
    <mergeCell ref="B23:D23"/>
    <mergeCell ref="F23:G23"/>
    <mergeCell ref="B24:D24"/>
    <mergeCell ref="F24:G24"/>
    <mergeCell ref="B25:D25"/>
    <mergeCell ref="F25:G25"/>
    <mergeCell ref="B20:D20"/>
    <mergeCell ref="F20:G20"/>
    <mergeCell ref="B21:D21"/>
    <mergeCell ref="F21:G21"/>
    <mergeCell ref="B22:D22"/>
    <mergeCell ref="F22:G22"/>
    <mergeCell ref="F17:G17"/>
    <mergeCell ref="B18:D18"/>
    <mergeCell ref="F18:G18"/>
    <mergeCell ref="B19:D19"/>
    <mergeCell ref="F19:G19"/>
    <mergeCell ref="B66:E66"/>
    <mergeCell ref="B84:E84"/>
    <mergeCell ref="C7:E7"/>
    <mergeCell ref="C8:E8"/>
    <mergeCell ref="C9:E9"/>
    <mergeCell ref="C10:E10"/>
    <mergeCell ref="A12:G12"/>
    <mergeCell ref="B13:D13"/>
    <mergeCell ref="F13:G13"/>
    <mergeCell ref="B14:D14"/>
    <mergeCell ref="F14:G14"/>
    <mergeCell ref="B15:D15"/>
    <mergeCell ref="F15:G15"/>
    <mergeCell ref="B16:D16"/>
    <mergeCell ref="F16:G16"/>
    <mergeCell ref="B17:D17"/>
  </mergeCells>
  <conditionalFormatting sqref="E68:E71 E86:E93">
    <cfRule type="cellIs" dxfId="156" priority="29" operator="lessThan">
      <formula>$H$85</formula>
    </cfRule>
    <cfRule type="cellIs" dxfId="155" priority="30" operator="lessThan">
      <formula>0.05</formula>
    </cfRule>
  </conditionalFormatting>
  <conditionalFormatting sqref="G40:G43">
    <cfRule type="cellIs" dxfId="154" priority="103" operator="lessThan">
      <formula>#REF!</formula>
    </cfRule>
    <cfRule type="cellIs" dxfId="153" priority="104" operator="lessThan">
      <formula>0.05</formula>
    </cfRule>
  </conditionalFormatting>
  <conditionalFormatting sqref="G40:G43">
    <cfRule type="cellIs" dxfId="152" priority="105" operator="between">
      <formula>#REF!</formula>
      <formula>#REF!</formula>
    </cfRule>
  </conditionalFormatting>
  <conditionalFormatting sqref="G44:G47">
    <cfRule type="cellIs" dxfId="151" priority="1" operator="lessThan">
      <formula>#REF!</formula>
    </cfRule>
    <cfRule type="cellIs" dxfId="150" priority="2" operator="lessThan">
      <formula>0.05</formula>
    </cfRule>
  </conditionalFormatting>
  <conditionalFormatting sqref="G44:G47">
    <cfRule type="cellIs" dxfId="149" priority="3" operator="between">
      <formula>#REF!</formula>
      <formula>#REF!</formula>
    </cfRule>
  </conditionalFormatting>
  <pageMargins left="0.7" right="0.7" top="0.75" bottom="0.75" header="0.3" footer="0.3"/>
  <pageSetup paperSize="1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6"/>
  <sheetViews>
    <sheetView workbookViewId="0">
      <selection activeCell="F17" sqref="F17:G17"/>
    </sheetView>
  </sheetViews>
  <sheetFormatPr baseColWidth="10" defaultRowHeight="15" x14ac:dyDescent="0.25"/>
  <cols>
    <col min="1" max="1" width="3.85546875" customWidth="1"/>
    <col min="2" max="2" width="22.85546875" customWidth="1"/>
    <col min="3" max="3" width="21.7109375" customWidth="1"/>
    <col min="4" max="4" width="21" customWidth="1"/>
    <col min="5" max="5" width="22.7109375" customWidth="1"/>
    <col min="8" max="8" width="13" customWidth="1"/>
  </cols>
  <sheetData>
    <row r="1" spans="1:11" ht="15" customHeight="1" x14ac:dyDescent="0.25">
      <c r="E1" s="214"/>
    </row>
    <row r="2" spans="1:11" ht="15" customHeight="1" x14ac:dyDescent="0.25">
      <c r="B2" s="189"/>
      <c r="C2" s="189"/>
      <c r="D2" s="189"/>
      <c r="E2" s="215"/>
      <c r="F2" s="189"/>
      <c r="G2" s="189"/>
      <c r="H2" s="189"/>
    </row>
    <row r="3" spans="1:11" ht="15" customHeight="1" x14ac:dyDescent="0.25">
      <c r="B3" s="189"/>
      <c r="C3" s="189"/>
      <c r="D3" s="189"/>
      <c r="E3" s="215"/>
      <c r="F3" s="189"/>
      <c r="G3" s="189"/>
      <c r="H3" s="189"/>
    </row>
    <row r="4" spans="1:11" ht="15" customHeight="1" x14ac:dyDescent="0.25">
      <c r="B4" s="189"/>
      <c r="C4" s="189"/>
      <c r="D4" s="189"/>
      <c r="E4" s="215"/>
      <c r="F4" s="189"/>
      <c r="G4" s="189"/>
      <c r="H4" s="189"/>
    </row>
    <row r="5" spans="1:11" ht="15" customHeight="1" x14ac:dyDescent="0.25">
      <c r="B5" s="189"/>
      <c r="C5" s="189"/>
      <c r="D5" s="189"/>
      <c r="E5" s="215"/>
      <c r="F5" s="189"/>
      <c r="G5" s="189"/>
      <c r="H5" s="189"/>
    </row>
    <row r="6" spans="1:11" ht="15" customHeight="1" x14ac:dyDescent="0.25">
      <c r="B6" s="189"/>
      <c r="C6" s="189"/>
      <c r="D6" s="189"/>
      <c r="E6" s="215"/>
      <c r="F6" s="189"/>
      <c r="G6" s="189"/>
      <c r="H6" s="189"/>
    </row>
    <row r="7" spans="1:11" x14ac:dyDescent="0.25">
      <c r="B7" s="231" t="s">
        <v>157</v>
      </c>
      <c r="C7" s="770" t="str">
        <f>'CARTA DE CONTROL'!B42</f>
        <v>TEMPERATURA 4 TIEMPOS</v>
      </c>
      <c r="D7" s="771"/>
      <c r="E7" s="772"/>
    </row>
    <row r="8" spans="1:11" x14ac:dyDescent="0.25">
      <c r="B8" s="231" t="s">
        <v>158</v>
      </c>
      <c r="C8" s="770" t="str">
        <f>'CARTA DE CONTROL'!D42</f>
        <v>BRAIN BEE</v>
      </c>
      <c r="D8" s="771"/>
      <c r="E8" s="772"/>
    </row>
    <row r="9" spans="1:11" x14ac:dyDescent="0.25">
      <c r="B9" s="231" t="s">
        <v>159</v>
      </c>
      <c r="C9" s="770" t="str">
        <f>'CARTA DE CONTROL'!E42</f>
        <v xml:space="preserve"> MGT 300 EVO</v>
      </c>
      <c r="D9" s="771"/>
      <c r="E9" s="772"/>
    </row>
    <row r="10" spans="1:11" x14ac:dyDescent="0.25">
      <c r="B10" s="231" t="s">
        <v>160</v>
      </c>
      <c r="C10" s="786">
        <f>'CARTA DE CONTROL'!F42</f>
        <v>170228000011</v>
      </c>
      <c r="D10" s="787"/>
      <c r="E10" s="788"/>
    </row>
    <row r="11" spans="1:11" ht="15" customHeight="1" thickBot="1" x14ac:dyDescent="0.3">
      <c r="B11" s="189"/>
      <c r="C11" s="189"/>
      <c r="D11" s="189"/>
      <c r="E11" s="215"/>
      <c r="F11" s="189"/>
      <c r="G11" s="189"/>
      <c r="H11" s="202"/>
      <c r="I11" s="203"/>
      <c r="J11" s="203"/>
      <c r="K11" s="203"/>
    </row>
    <row r="12" spans="1:11" s="190" customFormat="1" ht="34.5" customHeight="1" x14ac:dyDescent="0.2">
      <c r="A12" s="776" t="s">
        <v>127</v>
      </c>
      <c r="B12" s="777"/>
      <c r="C12" s="777"/>
      <c r="D12" s="777"/>
      <c r="E12" s="777"/>
      <c r="F12" s="777"/>
      <c r="G12" s="778"/>
      <c r="H12" s="204"/>
      <c r="I12" s="204"/>
      <c r="J12" s="204"/>
      <c r="K12" s="204"/>
    </row>
    <row r="13" spans="1:11" s="190" customFormat="1" ht="15" customHeight="1" x14ac:dyDescent="0.2">
      <c r="A13" s="207" t="s">
        <v>128</v>
      </c>
      <c r="B13" s="779" t="s">
        <v>129</v>
      </c>
      <c r="C13" s="780"/>
      <c r="D13" s="781"/>
      <c r="E13" s="201" t="s">
        <v>130</v>
      </c>
      <c r="F13" s="782" t="s">
        <v>131</v>
      </c>
      <c r="G13" s="783"/>
      <c r="H13" s="205"/>
      <c r="I13" s="205"/>
      <c r="J13" s="205"/>
      <c r="K13" s="205"/>
    </row>
    <row r="14" spans="1:11" s="1" customFormat="1" ht="35.25" customHeight="1" x14ac:dyDescent="0.2">
      <c r="A14" s="208">
        <v>1</v>
      </c>
      <c r="B14" s="761" t="s">
        <v>132</v>
      </c>
      <c r="C14" s="761"/>
      <c r="D14" s="761"/>
      <c r="E14" s="192" t="s">
        <v>133</v>
      </c>
      <c r="F14" s="762"/>
      <c r="G14" s="763"/>
      <c r="H14" s="206"/>
      <c r="I14" s="206"/>
      <c r="J14" s="206"/>
      <c r="K14" s="206"/>
    </row>
    <row r="15" spans="1:11" s="1" customFormat="1" ht="35.25" customHeight="1" x14ac:dyDescent="0.2">
      <c r="A15" s="208">
        <v>2</v>
      </c>
      <c r="B15" s="761" t="s">
        <v>134</v>
      </c>
      <c r="C15" s="761"/>
      <c r="D15" s="761"/>
      <c r="E15" s="192" t="s">
        <v>133</v>
      </c>
      <c r="F15" s="762"/>
      <c r="G15" s="763"/>
    </row>
    <row r="16" spans="1:11" s="1" customFormat="1" ht="35.25" customHeight="1" x14ac:dyDescent="0.2">
      <c r="A16" s="208">
        <v>3</v>
      </c>
      <c r="B16" s="761" t="s">
        <v>135</v>
      </c>
      <c r="C16" s="761"/>
      <c r="D16" s="761"/>
      <c r="E16" s="192" t="s">
        <v>133</v>
      </c>
      <c r="F16" s="762"/>
      <c r="G16" s="763"/>
    </row>
    <row r="17" spans="1:11" s="1" customFormat="1" ht="35.25" customHeight="1" x14ac:dyDescent="0.2">
      <c r="A17" s="208">
        <v>4</v>
      </c>
      <c r="B17" s="761" t="s">
        <v>136</v>
      </c>
      <c r="C17" s="761"/>
      <c r="D17" s="761"/>
      <c r="E17" s="192" t="s">
        <v>133</v>
      </c>
      <c r="F17" s="784"/>
      <c r="G17" s="785"/>
    </row>
    <row r="18" spans="1:11" s="1" customFormat="1" ht="35.25" customHeight="1" x14ac:dyDescent="0.2">
      <c r="A18" s="208">
        <v>5</v>
      </c>
      <c r="B18" s="761" t="s">
        <v>137</v>
      </c>
      <c r="C18" s="761"/>
      <c r="D18" s="761"/>
      <c r="E18" s="192" t="s">
        <v>133</v>
      </c>
      <c r="F18" s="762"/>
      <c r="G18" s="763"/>
    </row>
    <row r="19" spans="1:11" s="1" customFormat="1" ht="35.25" customHeight="1" x14ac:dyDescent="0.2">
      <c r="A19" s="208">
        <v>6</v>
      </c>
      <c r="B19" s="761" t="s">
        <v>138</v>
      </c>
      <c r="C19" s="761"/>
      <c r="D19" s="761"/>
      <c r="E19" s="192" t="s">
        <v>133</v>
      </c>
      <c r="F19" s="762"/>
      <c r="G19" s="763"/>
    </row>
    <row r="20" spans="1:11" s="1" customFormat="1" ht="35.25" customHeight="1" x14ac:dyDescent="0.2">
      <c r="A20" s="208">
        <v>7</v>
      </c>
      <c r="B20" s="761" t="s">
        <v>139</v>
      </c>
      <c r="C20" s="761"/>
      <c r="D20" s="761"/>
      <c r="E20" s="192" t="s">
        <v>133</v>
      </c>
      <c r="F20" s="762"/>
      <c r="G20" s="763"/>
    </row>
    <row r="21" spans="1:11" s="1" customFormat="1" ht="35.25" customHeight="1" x14ac:dyDescent="0.2">
      <c r="A21" s="208">
        <v>8</v>
      </c>
      <c r="B21" s="761" t="s">
        <v>140</v>
      </c>
      <c r="C21" s="761"/>
      <c r="D21" s="761"/>
      <c r="E21" s="192" t="s">
        <v>133</v>
      </c>
      <c r="F21" s="762"/>
      <c r="G21" s="763"/>
    </row>
    <row r="22" spans="1:11" s="1" customFormat="1" ht="35.25" customHeight="1" x14ac:dyDescent="0.2">
      <c r="A22" s="208">
        <v>9</v>
      </c>
      <c r="B22" s="761" t="s">
        <v>141</v>
      </c>
      <c r="C22" s="761"/>
      <c r="D22" s="761"/>
      <c r="E22" s="192" t="s">
        <v>133</v>
      </c>
      <c r="F22" s="762"/>
      <c r="G22" s="763"/>
    </row>
    <row r="23" spans="1:11" s="1" customFormat="1" ht="35.25" customHeight="1" x14ac:dyDescent="0.2">
      <c r="A23" s="208">
        <v>10</v>
      </c>
      <c r="B23" s="761" t="s">
        <v>142</v>
      </c>
      <c r="C23" s="761"/>
      <c r="D23" s="761"/>
      <c r="E23" s="192" t="s">
        <v>133</v>
      </c>
      <c r="F23" s="762"/>
      <c r="G23" s="763"/>
    </row>
    <row r="24" spans="1:11" s="1" customFormat="1" ht="35.25" customHeight="1" x14ac:dyDescent="0.2">
      <c r="A24" s="208">
        <v>11</v>
      </c>
      <c r="B24" s="761" t="s">
        <v>143</v>
      </c>
      <c r="C24" s="761"/>
      <c r="D24" s="761"/>
      <c r="E24" s="192" t="s">
        <v>133</v>
      </c>
      <c r="F24" s="762"/>
      <c r="G24" s="763"/>
    </row>
    <row r="25" spans="1:11" s="194" customFormat="1" ht="35.25" customHeight="1" x14ac:dyDescent="0.2">
      <c r="A25" s="209">
        <v>12</v>
      </c>
      <c r="B25" s="761" t="s">
        <v>144</v>
      </c>
      <c r="C25" s="761"/>
      <c r="D25" s="761"/>
      <c r="E25" s="193" t="s">
        <v>133</v>
      </c>
      <c r="F25" s="762"/>
      <c r="G25" s="763"/>
    </row>
    <row r="26" spans="1:11" s="1" customFormat="1" ht="35.25" customHeight="1" x14ac:dyDescent="0.2">
      <c r="A26" s="208">
        <v>13</v>
      </c>
      <c r="B26" s="761" t="s">
        <v>145</v>
      </c>
      <c r="C26" s="761"/>
      <c r="D26" s="761"/>
      <c r="E26" s="192" t="s">
        <v>133</v>
      </c>
      <c r="F26" s="762"/>
      <c r="G26" s="763"/>
    </row>
    <row r="27" spans="1:11" s="1" customFormat="1" ht="35.25" customHeight="1" x14ac:dyDescent="0.2">
      <c r="A27" s="208">
        <v>14</v>
      </c>
      <c r="B27" s="761" t="s">
        <v>146</v>
      </c>
      <c r="C27" s="761"/>
      <c r="D27" s="761"/>
      <c r="E27" s="192" t="s">
        <v>133</v>
      </c>
      <c r="F27" s="762"/>
      <c r="G27" s="763"/>
    </row>
    <row r="28" spans="1:11" s="1" customFormat="1" ht="54.75" customHeight="1" thickBot="1" x14ac:dyDescent="0.25">
      <c r="A28" s="210">
        <v>15</v>
      </c>
      <c r="B28" s="764" t="s">
        <v>147</v>
      </c>
      <c r="C28" s="764"/>
      <c r="D28" s="764"/>
      <c r="E28" s="212" t="s">
        <v>133</v>
      </c>
      <c r="F28" s="765"/>
      <c r="G28" s="766"/>
    </row>
    <row r="29" spans="1:11" s="198" customFormat="1" ht="21" customHeight="1" thickBot="1" x14ac:dyDescent="0.25">
      <c r="B29" s="195"/>
      <c r="C29" s="196"/>
      <c r="D29" s="196"/>
      <c r="E29" s="195"/>
      <c r="F29" s="196"/>
      <c r="G29" s="196"/>
      <c r="H29" s="197"/>
      <c r="I29" s="197"/>
    </row>
    <row r="30" spans="1:11" s="219" customFormat="1" ht="15" customHeight="1" x14ac:dyDescent="0.2">
      <c r="A30" s="767" t="s">
        <v>148</v>
      </c>
      <c r="B30" s="768"/>
      <c r="C30" s="768"/>
      <c r="D30" s="768"/>
      <c r="E30" s="768"/>
      <c r="F30" s="768"/>
      <c r="G30" s="769"/>
      <c r="H30" s="222"/>
      <c r="I30" s="223"/>
      <c r="J30" s="223"/>
      <c r="K30" s="223"/>
    </row>
    <row r="31" spans="1:11" s="219" customFormat="1" ht="15" customHeight="1" x14ac:dyDescent="0.2">
      <c r="A31" s="220" t="s">
        <v>128</v>
      </c>
      <c r="B31" s="759" t="s">
        <v>129</v>
      </c>
      <c r="C31" s="759"/>
      <c r="D31" s="759"/>
      <c r="E31" s="221" t="s">
        <v>130</v>
      </c>
      <c r="F31" s="759" t="s">
        <v>131</v>
      </c>
      <c r="G31" s="760"/>
      <c r="H31" s="224"/>
      <c r="I31" s="225"/>
      <c r="J31" s="225"/>
      <c r="K31" s="225"/>
    </row>
    <row r="32" spans="1:11" s="1" customFormat="1" ht="55.5" customHeight="1" x14ac:dyDescent="0.2">
      <c r="A32" s="216">
        <v>1</v>
      </c>
      <c r="B32" s="754" t="s">
        <v>149</v>
      </c>
      <c r="C32" s="754"/>
      <c r="D32" s="754"/>
      <c r="E32" s="199" t="s">
        <v>150</v>
      </c>
      <c r="F32" s="755"/>
      <c r="G32" s="756"/>
      <c r="H32" s="226"/>
      <c r="I32" s="206"/>
      <c r="J32" s="206"/>
      <c r="K32" s="206"/>
    </row>
    <row r="33" spans="1:8" s="1" customFormat="1" ht="25.5" customHeight="1" x14ac:dyDescent="0.2">
      <c r="A33" s="216">
        <v>2</v>
      </c>
      <c r="B33" s="754" t="s">
        <v>151</v>
      </c>
      <c r="C33" s="754"/>
      <c r="D33" s="754"/>
      <c r="E33" s="199" t="s">
        <v>150</v>
      </c>
      <c r="F33" s="755"/>
      <c r="G33" s="756"/>
    </row>
    <row r="34" spans="1:8" s="1" customFormat="1" ht="25.5" customHeight="1" x14ac:dyDescent="0.2">
      <c r="A34" s="216">
        <v>3</v>
      </c>
      <c r="B34" s="754" t="s">
        <v>152</v>
      </c>
      <c r="C34" s="754"/>
      <c r="D34" s="754"/>
      <c r="E34" s="199" t="s">
        <v>150</v>
      </c>
      <c r="F34" s="755"/>
      <c r="G34" s="756"/>
    </row>
    <row r="35" spans="1:8" s="1" customFormat="1" ht="25.5" customHeight="1" x14ac:dyDescent="0.2">
      <c r="A35" s="216">
        <v>4</v>
      </c>
      <c r="B35" s="754" t="s">
        <v>153</v>
      </c>
      <c r="C35" s="754"/>
      <c r="D35" s="754"/>
      <c r="E35" s="199" t="s">
        <v>154</v>
      </c>
      <c r="F35" s="755"/>
      <c r="G35" s="756"/>
    </row>
    <row r="36" spans="1:8" s="1" customFormat="1" ht="25.5" customHeight="1" x14ac:dyDescent="0.2">
      <c r="A36" s="216">
        <v>5</v>
      </c>
      <c r="B36" s="754" t="s">
        <v>155</v>
      </c>
      <c r="C36" s="754"/>
      <c r="D36" s="754"/>
      <c r="E36" s="199" t="s">
        <v>154</v>
      </c>
      <c r="F36" s="757"/>
      <c r="G36" s="758"/>
    </row>
    <row r="37" spans="1:8" s="1" customFormat="1" ht="25.5" customHeight="1" thickBot="1" x14ac:dyDescent="0.25">
      <c r="A37" s="217">
        <v>6</v>
      </c>
      <c r="B37" s="748" t="s">
        <v>156</v>
      </c>
      <c r="C37" s="748"/>
      <c r="D37" s="748"/>
      <c r="E37" s="218" t="s">
        <v>154</v>
      </c>
      <c r="F37" s="749"/>
      <c r="G37" s="750"/>
    </row>
    <row r="38" spans="1:8" ht="15.75" thickBot="1" x14ac:dyDescent="0.3"/>
    <row r="39" spans="1:8" ht="79.5" thickBot="1" x14ac:dyDescent="0.3">
      <c r="B39" s="2" t="s">
        <v>39</v>
      </c>
      <c r="C39" s="11" t="s">
        <v>92</v>
      </c>
      <c r="D39" s="11" t="s">
        <v>93</v>
      </c>
      <c r="E39" s="2" t="s">
        <v>94</v>
      </c>
      <c r="F39" s="2" t="s">
        <v>95</v>
      </c>
      <c r="G39" s="21" t="s">
        <v>96</v>
      </c>
    </row>
    <row r="40" spans="1:8" ht="15.75" thickBot="1" x14ac:dyDescent="0.3">
      <c r="B40" s="3">
        <f>'CARTA DE CONTROL'!R42</f>
        <v>39.799999999999997</v>
      </c>
      <c r="C40" s="4">
        <f>'CARTA DE CONTROL'!AR45</f>
        <v>1.6274411617426197</v>
      </c>
      <c r="D40" s="4">
        <f>'CARTA DE CONTROL'!AS45</f>
        <v>-1.3269904857285872</v>
      </c>
      <c r="E40" s="6">
        <f>'CARTA DE CONTROL'!I42</f>
        <v>5</v>
      </c>
      <c r="F40" s="7">
        <f>-('CARTA DE CONTROL'!I42)</f>
        <v>-5</v>
      </c>
      <c r="G40" s="5" t="str">
        <f>IF(C40&lt;=5,IF(D40&gt;=-5,"PASS","NO PASS"))</f>
        <v>PASS</v>
      </c>
    </row>
    <row r="41" spans="1:8" ht="15.75" thickBot="1" x14ac:dyDescent="0.3">
      <c r="B41" s="3">
        <f>'CARTA DE CONTROL'!R43</f>
        <v>59.71</v>
      </c>
      <c r="C41" s="4">
        <f>'CARTA DE CONTROL'!AR56</f>
        <v>0.36650377609951135</v>
      </c>
      <c r="D41" s="4">
        <f>'CARTA DE CONTROL'!AS56</f>
        <v>-0.45535317636605954</v>
      </c>
      <c r="E41" s="6">
        <f>'CARTA DE CONTROL'!I43</f>
        <v>5</v>
      </c>
      <c r="F41" s="7">
        <f>-('CARTA DE CONTROL'!I43)</f>
        <v>-5</v>
      </c>
      <c r="G41" s="5" t="str">
        <f t="shared" ref="G41:G42" si="0">IF(C41&lt;=5,IF(D41&gt;=-5,"PASS","NO PASS"))</f>
        <v>PASS</v>
      </c>
    </row>
    <row r="42" spans="1:8" ht="15.75" thickBot="1" x14ac:dyDescent="0.3">
      <c r="B42" s="3">
        <f>'CARTA DE CONTROL'!R44</f>
        <v>99.5</v>
      </c>
      <c r="C42" s="4" t="str">
        <f>'CARTA DE CONTROL'!AR57</f>
        <v>-</v>
      </c>
      <c r="D42" s="4" t="str">
        <f>'CARTA DE CONTROL'!AS57</f>
        <v>-</v>
      </c>
      <c r="E42" s="6">
        <f>'CARTA DE CONTROL'!I44</f>
        <v>5</v>
      </c>
      <c r="F42" s="7">
        <f>-('CARTA DE CONTROL'!I44)</f>
        <v>-5</v>
      </c>
      <c r="G42" s="5" t="b">
        <f t="shared" si="0"/>
        <v>0</v>
      </c>
    </row>
    <row r="43" spans="1:8" x14ac:dyDescent="0.25">
      <c r="A43" s="1"/>
      <c r="B43" s="1"/>
      <c r="C43" s="1"/>
      <c r="D43" s="1"/>
      <c r="E43" s="1"/>
      <c r="F43" s="1"/>
      <c r="G43" s="1"/>
      <c r="H43" s="1"/>
    </row>
    <row r="44" spans="1:8" x14ac:dyDescent="0.25">
      <c r="A44" s="1"/>
      <c r="B44" s="1"/>
      <c r="C44" s="1"/>
      <c r="D44" s="1"/>
    </row>
    <row r="45" spans="1:8" x14ac:dyDescent="0.25">
      <c r="A45" s="1"/>
      <c r="B45" s="1"/>
      <c r="C45" s="1"/>
      <c r="D45" s="1"/>
    </row>
    <row r="46" spans="1:8" x14ac:dyDescent="0.25">
      <c r="A46" s="1"/>
      <c r="B46" s="1"/>
      <c r="C46" s="1"/>
      <c r="D46" s="1"/>
    </row>
    <row r="47" spans="1:8" x14ac:dyDescent="0.25">
      <c r="A47" s="1"/>
      <c r="B47" s="1"/>
      <c r="C47" s="1"/>
      <c r="D47" s="1"/>
      <c r="E47" s="1"/>
      <c r="F47" s="1"/>
      <c r="G47" s="1"/>
      <c r="H47" s="1"/>
    </row>
    <row r="48" spans="1:8" x14ac:dyDescent="0.25">
      <c r="A48" s="1"/>
      <c r="B48" s="1"/>
      <c r="C48" s="1"/>
      <c r="D48" s="1"/>
      <c r="E48" s="1"/>
      <c r="F48" s="1"/>
      <c r="G48" s="1"/>
      <c r="H48" s="1"/>
    </row>
    <row r="49" spans="1:8" x14ac:dyDescent="0.25">
      <c r="A49" s="1"/>
      <c r="B49" s="1"/>
      <c r="C49" s="1"/>
      <c r="D49" s="1"/>
      <c r="E49" s="1"/>
      <c r="F49" s="1"/>
      <c r="G49" s="1"/>
      <c r="H49" s="1"/>
    </row>
    <row r="50" spans="1:8" x14ac:dyDescent="0.25">
      <c r="A50" s="1"/>
      <c r="B50" s="1"/>
      <c r="C50" s="1"/>
      <c r="D50" s="1"/>
      <c r="E50" s="1"/>
      <c r="F50" s="1"/>
      <c r="G50" s="1"/>
      <c r="H50" s="1"/>
    </row>
    <row r="51" spans="1:8" x14ac:dyDescent="0.25">
      <c r="A51" s="1"/>
      <c r="B51" s="1"/>
      <c r="C51" s="1"/>
      <c r="D51" s="1"/>
      <c r="E51" s="1"/>
      <c r="F51" s="1"/>
      <c r="G51" s="1"/>
      <c r="H51" s="1"/>
    </row>
    <row r="52" spans="1:8" x14ac:dyDescent="0.25">
      <c r="A52" s="1"/>
      <c r="B52" s="1"/>
      <c r="C52" s="1"/>
      <c r="D52" s="1"/>
      <c r="E52" s="1"/>
      <c r="F52" s="1"/>
      <c r="G52" s="1"/>
      <c r="H52" s="1"/>
    </row>
    <row r="53" spans="1:8" x14ac:dyDescent="0.25">
      <c r="A53" s="1"/>
      <c r="B53" s="1"/>
      <c r="C53" s="1"/>
      <c r="D53" s="1"/>
      <c r="E53" s="1"/>
      <c r="F53" s="1"/>
      <c r="G53" s="1"/>
      <c r="H53" s="1"/>
    </row>
    <row r="54" spans="1:8" x14ac:dyDescent="0.25">
      <c r="A54" s="1"/>
      <c r="B54" s="1"/>
      <c r="C54" s="1"/>
      <c r="D54" s="1"/>
      <c r="E54" s="1"/>
      <c r="F54" s="1"/>
      <c r="G54" s="1"/>
      <c r="H54" s="1"/>
    </row>
    <row r="55" spans="1:8" x14ac:dyDescent="0.25">
      <c r="A55" s="1"/>
      <c r="B55" s="1"/>
      <c r="C55" s="1"/>
      <c r="D55" s="1"/>
      <c r="E55" s="1"/>
      <c r="F55" s="1"/>
      <c r="G55" s="1"/>
      <c r="H55" s="1"/>
    </row>
    <row r="56" spans="1:8" x14ac:dyDescent="0.25">
      <c r="A56" s="1"/>
      <c r="B56" s="1"/>
      <c r="C56" s="1"/>
      <c r="D56" s="1"/>
      <c r="E56" s="1"/>
      <c r="F56" s="1"/>
      <c r="G56" s="1"/>
      <c r="H56" s="1"/>
    </row>
  </sheetData>
  <mergeCells count="52">
    <mergeCell ref="B37:D37"/>
    <mergeCell ref="F37:G37"/>
    <mergeCell ref="B34:D34"/>
    <mergeCell ref="F34:G34"/>
    <mergeCell ref="B35:D35"/>
    <mergeCell ref="F35:G35"/>
    <mergeCell ref="B36:D36"/>
    <mergeCell ref="F36:G36"/>
    <mergeCell ref="B33:D33"/>
    <mergeCell ref="F33:G33"/>
    <mergeCell ref="B26:D26"/>
    <mergeCell ref="F26:G26"/>
    <mergeCell ref="B27:D27"/>
    <mergeCell ref="F27:G27"/>
    <mergeCell ref="B28:D28"/>
    <mergeCell ref="F28:G28"/>
    <mergeCell ref="A30:G30"/>
    <mergeCell ref="B31:D31"/>
    <mergeCell ref="F31:G31"/>
    <mergeCell ref="B32:D32"/>
    <mergeCell ref="F32:G32"/>
    <mergeCell ref="B23:D23"/>
    <mergeCell ref="F23:G23"/>
    <mergeCell ref="B24:D24"/>
    <mergeCell ref="F24:G24"/>
    <mergeCell ref="B25:D25"/>
    <mergeCell ref="F25:G25"/>
    <mergeCell ref="B20:D20"/>
    <mergeCell ref="F20:G20"/>
    <mergeCell ref="B21:D21"/>
    <mergeCell ref="F21:G21"/>
    <mergeCell ref="B22:D22"/>
    <mergeCell ref="F22:G22"/>
    <mergeCell ref="B17:D17"/>
    <mergeCell ref="F17:G17"/>
    <mergeCell ref="B18:D18"/>
    <mergeCell ref="F18:G18"/>
    <mergeCell ref="B19:D19"/>
    <mergeCell ref="F19:G19"/>
    <mergeCell ref="B14:D14"/>
    <mergeCell ref="F14:G14"/>
    <mergeCell ref="B15:D15"/>
    <mergeCell ref="F15:G15"/>
    <mergeCell ref="B16:D16"/>
    <mergeCell ref="F16:G16"/>
    <mergeCell ref="B13:D13"/>
    <mergeCell ref="F13:G13"/>
    <mergeCell ref="C7:E7"/>
    <mergeCell ref="C8:E8"/>
    <mergeCell ref="C9:E9"/>
    <mergeCell ref="C10:E10"/>
    <mergeCell ref="A12:G12"/>
  </mergeCells>
  <conditionalFormatting sqref="G40">
    <cfRule type="cellIs" dxfId="148" priority="8" operator="lessThan">
      <formula>$F$70</formula>
    </cfRule>
    <cfRule type="cellIs" dxfId="147" priority="9" operator="lessThan">
      <formula>0.05</formula>
    </cfRule>
  </conditionalFormatting>
  <conditionalFormatting sqref="G40">
    <cfRule type="cellIs" dxfId="146" priority="7" operator="between">
      <formula>$F$70</formula>
      <formula>$G$70</formula>
    </cfRule>
  </conditionalFormatting>
  <conditionalFormatting sqref="G41:G42">
    <cfRule type="cellIs" dxfId="145" priority="2" operator="lessThan">
      <formula>$F$70</formula>
    </cfRule>
    <cfRule type="cellIs" dxfId="144" priority="3" operator="lessThan">
      <formula>0.05</formula>
    </cfRule>
  </conditionalFormatting>
  <conditionalFormatting sqref="G41:G42">
    <cfRule type="cellIs" dxfId="143" priority="1" operator="between">
      <formula>$F$70</formula>
      <formula>$G$70</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4"/>
  <sheetViews>
    <sheetView workbookViewId="0">
      <selection activeCell="E42" sqref="E42"/>
    </sheetView>
  </sheetViews>
  <sheetFormatPr baseColWidth="10" defaultRowHeight="15" x14ac:dyDescent="0.25"/>
  <cols>
    <col min="1" max="1" width="6" customWidth="1"/>
    <col min="2" max="2" width="22.85546875" customWidth="1"/>
    <col min="3" max="3" width="21.7109375" customWidth="1"/>
    <col min="4" max="4" width="21" customWidth="1"/>
    <col min="5" max="5" width="22.7109375" customWidth="1"/>
    <col min="8" max="8" width="13" customWidth="1"/>
  </cols>
  <sheetData>
    <row r="1" spans="1:11" ht="15" customHeight="1" x14ac:dyDescent="0.25">
      <c r="E1" s="214"/>
    </row>
    <row r="2" spans="1:11" ht="15" customHeight="1" x14ac:dyDescent="0.25">
      <c r="B2" s="189"/>
      <c r="C2" s="189"/>
      <c r="D2" s="189"/>
      <c r="E2" s="215"/>
      <c r="F2" s="189"/>
      <c r="G2" s="189"/>
      <c r="H2" s="189"/>
    </row>
    <row r="3" spans="1:11" ht="15" customHeight="1" x14ac:dyDescent="0.25">
      <c r="B3" s="189"/>
      <c r="C3" s="189"/>
      <c r="D3" s="189"/>
      <c r="E3" s="215"/>
      <c r="F3" s="189"/>
      <c r="G3" s="189"/>
      <c r="H3" s="189"/>
    </row>
    <row r="4" spans="1:11" ht="15" customHeight="1" x14ac:dyDescent="0.25">
      <c r="B4" s="189"/>
      <c r="C4" s="189"/>
      <c r="D4" s="189"/>
      <c r="E4" s="215"/>
      <c r="F4" s="189"/>
      <c r="G4" s="189"/>
      <c r="H4" s="189"/>
    </row>
    <row r="5" spans="1:11" ht="15" customHeight="1" x14ac:dyDescent="0.25">
      <c r="B5" s="189"/>
      <c r="C5" s="189"/>
      <c r="D5" s="189"/>
      <c r="E5" s="215"/>
      <c r="F5" s="189"/>
      <c r="G5" s="189"/>
      <c r="H5" s="189"/>
    </row>
    <row r="6" spans="1:11" ht="15" customHeight="1" x14ac:dyDescent="0.25">
      <c r="B6" s="189"/>
      <c r="C6" s="189"/>
      <c r="D6" s="189"/>
      <c r="E6" s="215"/>
      <c r="F6" s="189"/>
      <c r="G6" s="189"/>
      <c r="H6" s="189"/>
    </row>
    <row r="7" spans="1:11" x14ac:dyDescent="0.25">
      <c r="B7" s="231" t="s">
        <v>157</v>
      </c>
      <c r="C7" s="770" t="str">
        <f>'CARTA DE CONTROL'!B45</f>
        <v>REVOLUCIONES POR MINUTO  (VIBRACION)</v>
      </c>
      <c r="D7" s="771"/>
      <c r="E7" s="772"/>
    </row>
    <row r="8" spans="1:11" x14ac:dyDescent="0.25">
      <c r="B8" s="231" t="s">
        <v>158</v>
      </c>
      <c r="C8" s="770" t="str">
        <f>'CARTA DE CONTROL'!D42</f>
        <v>BRAIN BEE</v>
      </c>
      <c r="D8" s="771"/>
      <c r="E8" s="772"/>
    </row>
    <row r="9" spans="1:11" x14ac:dyDescent="0.25">
      <c r="B9" s="231" t="s">
        <v>159</v>
      </c>
      <c r="C9" s="770" t="str">
        <f>'CARTA DE CONTROL'!E42</f>
        <v xml:space="preserve"> MGT 300 EVO</v>
      </c>
      <c r="D9" s="771"/>
      <c r="E9" s="772"/>
    </row>
    <row r="10" spans="1:11" x14ac:dyDescent="0.25">
      <c r="B10" s="231" t="s">
        <v>160</v>
      </c>
      <c r="C10" s="786">
        <f>'CARTA DE CONTROL'!F42</f>
        <v>170228000011</v>
      </c>
      <c r="D10" s="787"/>
      <c r="E10" s="788"/>
    </row>
    <row r="11" spans="1:11" ht="15" customHeight="1" thickBot="1" x14ac:dyDescent="0.3">
      <c r="B11" s="189"/>
      <c r="C11" s="189"/>
      <c r="D11" s="189"/>
      <c r="E11" s="215"/>
      <c r="F11" s="189"/>
      <c r="G11" s="189"/>
      <c r="H11" s="202"/>
      <c r="I11" s="203"/>
      <c r="J11" s="203"/>
      <c r="K11" s="203"/>
    </row>
    <row r="12" spans="1:11" s="190" customFormat="1" ht="34.5" customHeight="1" x14ac:dyDescent="0.2">
      <c r="A12" s="776" t="s">
        <v>127</v>
      </c>
      <c r="B12" s="777"/>
      <c r="C12" s="777"/>
      <c r="D12" s="777"/>
      <c r="E12" s="777"/>
      <c r="F12" s="777"/>
      <c r="G12" s="778"/>
      <c r="H12" s="204"/>
      <c r="I12" s="204"/>
      <c r="J12" s="204"/>
      <c r="K12" s="204"/>
    </row>
    <row r="13" spans="1:11" s="190" customFormat="1" ht="15" customHeight="1" x14ac:dyDescent="0.2">
      <c r="A13" s="207" t="s">
        <v>128</v>
      </c>
      <c r="B13" s="779" t="s">
        <v>129</v>
      </c>
      <c r="C13" s="780"/>
      <c r="D13" s="781"/>
      <c r="E13" s="201" t="s">
        <v>130</v>
      </c>
      <c r="F13" s="782" t="s">
        <v>131</v>
      </c>
      <c r="G13" s="783"/>
      <c r="H13" s="205"/>
      <c r="I13" s="205"/>
      <c r="J13" s="205"/>
      <c r="K13" s="205"/>
    </row>
    <row r="14" spans="1:11" s="1" customFormat="1" ht="35.25" customHeight="1" x14ac:dyDescent="0.2">
      <c r="A14" s="208">
        <v>1</v>
      </c>
      <c r="B14" s="761" t="s">
        <v>132</v>
      </c>
      <c r="C14" s="761"/>
      <c r="D14" s="761"/>
      <c r="E14" s="192" t="s">
        <v>133</v>
      </c>
      <c r="F14" s="762"/>
      <c r="G14" s="763"/>
      <c r="H14" s="206"/>
      <c r="I14" s="206"/>
      <c r="J14" s="206"/>
      <c r="K14" s="206"/>
    </row>
    <row r="15" spans="1:11" s="1" customFormat="1" ht="35.25" customHeight="1" x14ac:dyDescent="0.2">
      <c r="A15" s="208">
        <v>2</v>
      </c>
      <c r="B15" s="761" t="s">
        <v>134</v>
      </c>
      <c r="C15" s="761"/>
      <c r="D15" s="761"/>
      <c r="E15" s="192" t="s">
        <v>133</v>
      </c>
      <c r="F15" s="762"/>
      <c r="G15" s="763"/>
    </row>
    <row r="16" spans="1:11" s="1" customFormat="1" ht="35.25" customHeight="1" x14ac:dyDescent="0.2">
      <c r="A16" s="208">
        <v>3</v>
      </c>
      <c r="B16" s="761" t="s">
        <v>135</v>
      </c>
      <c r="C16" s="761"/>
      <c r="D16" s="761"/>
      <c r="E16" s="192" t="s">
        <v>133</v>
      </c>
      <c r="F16" s="762"/>
      <c r="G16" s="763"/>
    </row>
    <row r="17" spans="1:11" s="1" customFormat="1" ht="35.25" customHeight="1" x14ac:dyDescent="0.2">
      <c r="A17" s="208">
        <v>4</v>
      </c>
      <c r="B17" s="761" t="s">
        <v>136</v>
      </c>
      <c r="C17" s="761"/>
      <c r="D17" s="761"/>
      <c r="E17" s="192" t="s">
        <v>133</v>
      </c>
      <c r="F17" s="784"/>
      <c r="G17" s="785"/>
    </row>
    <row r="18" spans="1:11" s="1" customFormat="1" ht="35.25" customHeight="1" x14ac:dyDescent="0.2">
      <c r="A18" s="208">
        <v>5</v>
      </c>
      <c r="B18" s="761" t="s">
        <v>137</v>
      </c>
      <c r="C18" s="761"/>
      <c r="D18" s="761"/>
      <c r="E18" s="192" t="s">
        <v>133</v>
      </c>
      <c r="F18" s="762"/>
      <c r="G18" s="763"/>
    </row>
    <row r="19" spans="1:11" s="1" customFormat="1" ht="35.25" customHeight="1" x14ac:dyDescent="0.2">
      <c r="A19" s="208">
        <v>6</v>
      </c>
      <c r="B19" s="761" t="s">
        <v>138</v>
      </c>
      <c r="C19" s="761"/>
      <c r="D19" s="761"/>
      <c r="E19" s="192" t="s">
        <v>133</v>
      </c>
      <c r="F19" s="762"/>
      <c r="G19" s="763"/>
    </row>
    <row r="20" spans="1:11" s="1" customFormat="1" ht="35.25" customHeight="1" x14ac:dyDescent="0.2">
      <c r="A20" s="208">
        <v>7</v>
      </c>
      <c r="B20" s="761" t="s">
        <v>139</v>
      </c>
      <c r="C20" s="761"/>
      <c r="D20" s="761"/>
      <c r="E20" s="192" t="s">
        <v>133</v>
      </c>
      <c r="F20" s="762"/>
      <c r="G20" s="763"/>
    </row>
    <row r="21" spans="1:11" s="1" customFormat="1" ht="35.25" customHeight="1" x14ac:dyDescent="0.2">
      <c r="A21" s="208">
        <v>8</v>
      </c>
      <c r="B21" s="761" t="s">
        <v>140</v>
      </c>
      <c r="C21" s="761"/>
      <c r="D21" s="761"/>
      <c r="E21" s="192" t="s">
        <v>133</v>
      </c>
      <c r="F21" s="762"/>
      <c r="G21" s="763"/>
    </row>
    <row r="22" spans="1:11" s="1" customFormat="1" ht="35.25" customHeight="1" x14ac:dyDescent="0.2">
      <c r="A22" s="208">
        <v>9</v>
      </c>
      <c r="B22" s="761" t="s">
        <v>141</v>
      </c>
      <c r="C22" s="761"/>
      <c r="D22" s="761"/>
      <c r="E22" s="192" t="s">
        <v>133</v>
      </c>
      <c r="F22" s="762"/>
      <c r="G22" s="763"/>
    </row>
    <row r="23" spans="1:11" s="1" customFormat="1" ht="35.25" customHeight="1" x14ac:dyDescent="0.2">
      <c r="A23" s="208">
        <v>10</v>
      </c>
      <c r="B23" s="761" t="s">
        <v>142</v>
      </c>
      <c r="C23" s="761"/>
      <c r="D23" s="761"/>
      <c r="E23" s="192" t="s">
        <v>133</v>
      </c>
      <c r="F23" s="762"/>
      <c r="G23" s="763"/>
    </row>
    <row r="24" spans="1:11" s="1" customFormat="1" ht="35.25" customHeight="1" x14ac:dyDescent="0.2">
      <c r="A24" s="208">
        <v>11</v>
      </c>
      <c r="B24" s="761" t="s">
        <v>143</v>
      </c>
      <c r="C24" s="761"/>
      <c r="D24" s="761"/>
      <c r="E24" s="192" t="s">
        <v>133</v>
      </c>
      <c r="F24" s="762"/>
      <c r="G24" s="763"/>
    </row>
    <row r="25" spans="1:11" s="194" customFormat="1" ht="35.25" customHeight="1" x14ac:dyDescent="0.2">
      <c r="A25" s="209">
        <v>12</v>
      </c>
      <c r="B25" s="761" t="s">
        <v>144</v>
      </c>
      <c r="C25" s="761"/>
      <c r="D25" s="761"/>
      <c r="E25" s="193" t="s">
        <v>133</v>
      </c>
      <c r="F25" s="762"/>
      <c r="G25" s="763"/>
    </row>
    <row r="26" spans="1:11" s="1" customFormat="1" ht="35.25" customHeight="1" x14ac:dyDescent="0.2">
      <c r="A26" s="208">
        <v>13</v>
      </c>
      <c r="B26" s="761" t="s">
        <v>145</v>
      </c>
      <c r="C26" s="761"/>
      <c r="D26" s="761"/>
      <c r="E26" s="192" t="s">
        <v>133</v>
      </c>
      <c r="F26" s="762"/>
      <c r="G26" s="763"/>
    </row>
    <row r="27" spans="1:11" s="1" customFormat="1" ht="35.25" customHeight="1" x14ac:dyDescent="0.2">
      <c r="A27" s="208">
        <v>14</v>
      </c>
      <c r="B27" s="761" t="s">
        <v>146</v>
      </c>
      <c r="C27" s="761"/>
      <c r="D27" s="761"/>
      <c r="E27" s="192" t="s">
        <v>133</v>
      </c>
      <c r="F27" s="762"/>
      <c r="G27" s="763"/>
    </row>
    <row r="28" spans="1:11" s="1" customFormat="1" ht="54.75" customHeight="1" thickBot="1" x14ac:dyDescent="0.25">
      <c r="A28" s="210">
        <v>15</v>
      </c>
      <c r="B28" s="764" t="s">
        <v>147</v>
      </c>
      <c r="C28" s="764"/>
      <c r="D28" s="764"/>
      <c r="E28" s="212" t="s">
        <v>133</v>
      </c>
      <c r="F28" s="765"/>
      <c r="G28" s="766"/>
    </row>
    <row r="29" spans="1:11" s="198" customFormat="1" ht="21" customHeight="1" thickBot="1" x14ac:dyDescent="0.25">
      <c r="B29" s="195"/>
      <c r="C29" s="196"/>
      <c r="D29" s="196"/>
      <c r="E29" s="195"/>
      <c r="F29" s="196"/>
      <c r="G29" s="196"/>
      <c r="H29" s="197"/>
      <c r="I29" s="197"/>
    </row>
    <row r="30" spans="1:11" s="219" customFormat="1" ht="15" customHeight="1" x14ac:dyDescent="0.2">
      <c r="A30" s="767" t="s">
        <v>148</v>
      </c>
      <c r="B30" s="768"/>
      <c r="C30" s="768"/>
      <c r="D30" s="768"/>
      <c r="E30" s="768"/>
      <c r="F30" s="768"/>
      <c r="G30" s="769"/>
      <c r="H30" s="222"/>
      <c r="I30" s="223"/>
      <c r="J30" s="223"/>
      <c r="K30" s="223"/>
    </row>
    <row r="31" spans="1:11" s="219" customFormat="1" ht="15" customHeight="1" x14ac:dyDescent="0.2">
      <c r="A31" s="220" t="s">
        <v>128</v>
      </c>
      <c r="B31" s="759" t="s">
        <v>129</v>
      </c>
      <c r="C31" s="759"/>
      <c r="D31" s="759"/>
      <c r="E31" s="221" t="s">
        <v>130</v>
      </c>
      <c r="F31" s="759" t="s">
        <v>131</v>
      </c>
      <c r="G31" s="760"/>
      <c r="H31" s="224"/>
      <c r="I31" s="225"/>
      <c r="J31" s="225"/>
      <c r="K31" s="225"/>
    </row>
    <row r="32" spans="1:11" s="1" customFormat="1" ht="55.5" customHeight="1" x14ac:dyDescent="0.2">
      <c r="A32" s="216">
        <v>1</v>
      </c>
      <c r="B32" s="754" t="s">
        <v>149</v>
      </c>
      <c r="C32" s="754"/>
      <c r="D32" s="754"/>
      <c r="E32" s="199" t="s">
        <v>150</v>
      </c>
      <c r="F32" s="755"/>
      <c r="G32" s="756"/>
      <c r="H32" s="226"/>
      <c r="I32" s="206"/>
      <c r="J32" s="206"/>
      <c r="K32" s="206"/>
    </row>
    <row r="33" spans="1:7" s="1" customFormat="1" ht="25.5" customHeight="1" x14ac:dyDescent="0.2">
      <c r="A33" s="216">
        <v>2</v>
      </c>
      <c r="B33" s="754" t="s">
        <v>151</v>
      </c>
      <c r="C33" s="754"/>
      <c r="D33" s="754"/>
      <c r="E33" s="199" t="s">
        <v>150</v>
      </c>
      <c r="F33" s="755"/>
      <c r="G33" s="756"/>
    </row>
    <row r="34" spans="1:7" s="1" customFormat="1" ht="25.5" customHeight="1" x14ac:dyDescent="0.2">
      <c r="A34" s="216">
        <v>3</v>
      </c>
      <c r="B34" s="754" t="s">
        <v>152</v>
      </c>
      <c r="C34" s="754"/>
      <c r="D34" s="754"/>
      <c r="E34" s="199" t="s">
        <v>150</v>
      </c>
      <c r="F34" s="755"/>
      <c r="G34" s="756"/>
    </row>
    <row r="35" spans="1:7" s="1" customFormat="1" ht="25.5" customHeight="1" x14ac:dyDescent="0.2">
      <c r="A35" s="216">
        <v>4</v>
      </c>
      <c r="B35" s="754" t="s">
        <v>153</v>
      </c>
      <c r="C35" s="754"/>
      <c r="D35" s="754"/>
      <c r="E35" s="199" t="s">
        <v>154</v>
      </c>
      <c r="F35" s="755"/>
      <c r="G35" s="756"/>
    </row>
    <row r="36" spans="1:7" s="1" customFormat="1" ht="25.5" customHeight="1" x14ac:dyDescent="0.2">
      <c r="A36" s="216">
        <v>5</v>
      </c>
      <c r="B36" s="754" t="s">
        <v>155</v>
      </c>
      <c r="C36" s="754"/>
      <c r="D36" s="754"/>
      <c r="E36" s="199" t="s">
        <v>154</v>
      </c>
      <c r="F36" s="757"/>
      <c r="G36" s="758"/>
    </row>
    <row r="37" spans="1:7" s="1" customFormat="1" ht="25.5" customHeight="1" thickBot="1" x14ac:dyDescent="0.25">
      <c r="A37" s="217">
        <v>6</v>
      </c>
      <c r="B37" s="748" t="s">
        <v>156</v>
      </c>
      <c r="C37" s="748"/>
      <c r="D37" s="748"/>
      <c r="E37" s="218" t="s">
        <v>154</v>
      </c>
      <c r="F37" s="749"/>
      <c r="G37" s="750"/>
    </row>
    <row r="38" spans="1:7" s="1" customFormat="1" ht="25.5" customHeight="1" thickBot="1" x14ac:dyDescent="0.25">
      <c r="A38" s="195"/>
      <c r="B38" s="196"/>
      <c r="C38" s="196"/>
      <c r="D38" s="196"/>
      <c r="E38" s="197"/>
      <c r="F38" s="334"/>
      <c r="G38" s="334"/>
    </row>
    <row r="39" spans="1:7" ht="15.75" thickBot="1" x14ac:dyDescent="0.3">
      <c r="B39" s="751" t="s">
        <v>166</v>
      </c>
      <c r="C39" s="752"/>
      <c r="D39" s="752"/>
      <c r="E39" s="752"/>
      <c r="F39" s="752"/>
      <c r="G39" s="753"/>
    </row>
    <row r="40" spans="1:7" ht="79.5" thickBot="1" x14ac:dyDescent="0.3">
      <c r="B40" s="2" t="s">
        <v>39</v>
      </c>
      <c r="C40" s="11" t="s">
        <v>92</v>
      </c>
      <c r="D40" s="11" t="s">
        <v>93</v>
      </c>
      <c r="E40" s="2" t="s">
        <v>94</v>
      </c>
      <c r="F40" s="2" t="s">
        <v>95</v>
      </c>
      <c r="G40" s="21" t="s">
        <v>96</v>
      </c>
    </row>
    <row r="41" spans="1:7" ht="15.75" thickBot="1" x14ac:dyDescent="0.3">
      <c r="B41" s="3">
        <f>'CARTA DE CONTROL'!R45</f>
        <v>399.4</v>
      </c>
      <c r="C41" s="4">
        <f>'CARTA DE CONTROL'!AR45</f>
        <v>1.6274411617426197</v>
      </c>
      <c r="D41" s="4">
        <f>'CARTA DE CONTROL'!AS45</f>
        <v>-1.3269904857285872</v>
      </c>
      <c r="E41" s="6">
        <f>'CARTA DE CONTROL'!I45</f>
        <v>2</v>
      </c>
      <c r="F41" s="7">
        <f>-('CARTA DE CONTROL'!I45)</f>
        <v>-2</v>
      </c>
      <c r="G41" s="5" t="str">
        <f>IF(C41&lt;=2,IF(D41&gt;=-2,"PASS","NO PASS"))</f>
        <v>PASS</v>
      </c>
    </row>
    <row r="42" spans="1:7" ht="15.75" thickBot="1" x14ac:dyDescent="0.3">
      <c r="B42" s="3">
        <f>'CARTA DE CONTROL'!R46</f>
        <v>498.8</v>
      </c>
      <c r="C42" s="4">
        <f>'CARTA DE CONTROL'!AR46</f>
        <v>1.4434643143544483</v>
      </c>
      <c r="D42" s="4">
        <f>'CARTA DE CONTROL'!AS46</f>
        <v>-0.96230954290296944</v>
      </c>
      <c r="E42" s="6">
        <f>'CARTA DE CONTROL'!I47</f>
        <v>2</v>
      </c>
      <c r="F42" s="7">
        <f>-('CARTA DE CONTROL'!I47)</f>
        <v>-2</v>
      </c>
      <c r="G42" s="5" t="str">
        <f t="shared" ref="G42:G49" si="0">IF(C42&lt;=2,IF(D42&gt;=-2,"PASS","NO PASS"))</f>
        <v>PASS</v>
      </c>
    </row>
    <row r="43" spans="1:7" ht="15.75" thickBot="1" x14ac:dyDescent="0.3">
      <c r="B43" s="3">
        <f>'CARTA DE CONTROL'!R48</f>
        <v>800.7</v>
      </c>
      <c r="C43" s="4">
        <f>'CARTA DE CONTROL'!AR48</f>
        <v>0.72436617959285055</v>
      </c>
      <c r="D43" s="4">
        <f>'CARTA DE CONTROL'!AS48</f>
        <v>-0.89921318846010301</v>
      </c>
      <c r="E43" s="6">
        <f>'CARTA DE CONTROL'!I48</f>
        <v>2</v>
      </c>
      <c r="F43" s="7">
        <f>-('CARTA DE CONTROL'!I48)</f>
        <v>-2</v>
      </c>
      <c r="G43" s="5" t="str">
        <f t="shared" si="0"/>
        <v>PASS</v>
      </c>
    </row>
    <row r="44" spans="1:7" ht="15.75" thickBot="1" x14ac:dyDescent="0.3">
      <c r="B44" s="3">
        <f>'CARTA DE CONTROL'!R49</f>
        <v>997.5</v>
      </c>
      <c r="C44" s="4">
        <f>'CARTA DE CONTROL'!AR49</f>
        <v>0.95238095238095233</v>
      </c>
      <c r="D44" s="4">
        <f>'CARTA DE CONTROL'!AS49</f>
        <v>-0.45112781954887216</v>
      </c>
      <c r="E44" s="6">
        <f>'CARTA DE CONTROL'!I49</f>
        <v>2</v>
      </c>
      <c r="F44" s="7">
        <f>-('CARTA DE CONTROL'!I49)</f>
        <v>-2</v>
      </c>
      <c r="G44" s="5" t="str">
        <f t="shared" si="0"/>
        <v>PASS</v>
      </c>
    </row>
    <row r="45" spans="1:7" ht="15.75" thickBot="1" x14ac:dyDescent="0.3">
      <c r="B45" s="3">
        <f>'CARTA DE CONTROL'!R50</f>
        <v>1800</v>
      </c>
      <c r="C45" s="4">
        <f>'CARTA DE CONTROL'!AR50</f>
        <v>0.51111111111111107</v>
      </c>
      <c r="D45" s="4">
        <f>'CARTA DE CONTROL'!AS50</f>
        <v>-0.51111111111111107</v>
      </c>
      <c r="E45" s="6">
        <f>'CARTA DE CONTROL'!I50</f>
        <v>2</v>
      </c>
      <c r="F45" s="7">
        <f>-('CARTA DE CONTROL'!I50)</f>
        <v>-2</v>
      </c>
      <c r="G45" s="5" t="str">
        <f t="shared" si="0"/>
        <v>PASS</v>
      </c>
    </row>
    <row r="46" spans="1:7" ht="15.75" thickBot="1" x14ac:dyDescent="0.3">
      <c r="B46" s="3">
        <f>'CARTA DE CONTROL'!R51</f>
        <v>2499</v>
      </c>
      <c r="C46" s="4">
        <f>'CARTA DE CONTROL'!AR51</f>
        <v>0.52020808323329326</v>
      </c>
      <c r="D46" s="4">
        <f>'CARTA DE CONTROL'!AS51</f>
        <v>-0.44017607042817125</v>
      </c>
      <c r="E46" s="6">
        <f>'CARTA DE CONTROL'!I51</f>
        <v>2</v>
      </c>
      <c r="F46" s="7">
        <f>-('CARTA DE CONTROL'!I51)</f>
        <v>-2</v>
      </c>
      <c r="G46" s="5" t="str">
        <f t="shared" si="0"/>
        <v>PASS</v>
      </c>
    </row>
    <row r="47" spans="1:7" ht="15.75" thickBot="1" x14ac:dyDescent="0.3">
      <c r="B47" s="3">
        <f>'CARTA DE CONTROL'!R52</f>
        <v>3000</v>
      </c>
      <c r="C47" s="4">
        <f>'CARTA DE CONTROL'!AR52</f>
        <v>0.43333333333333335</v>
      </c>
      <c r="D47" s="4">
        <f>'CARTA DE CONTROL'!AS52</f>
        <v>-0.43333333333333335</v>
      </c>
      <c r="E47" s="6">
        <f>'CARTA DE CONTROL'!I52</f>
        <v>2</v>
      </c>
      <c r="F47" s="7">
        <f>-('CARTA DE CONTROL'!I52)</f>
        <v>-2</v>
      </c>
      <c r="G47" s="5" t="str">
        <f t="shared" si="0"/>
        <v>PASS</v>
      </c>
    </row>
    <row r="48" spans="1:7" ht="15.75" thickBot="1" x14ac:dyDescent="0.3">
      <c r="B48" s="3">
        <f>'CARTA DE CONTROL'!R53</f>
        <v>3999</v>
      </c>
      <c r="C48" s="4">
        <f>'CARTA DE CONTROL'!AR53</f>
        <v>0.45011252813203301</v>
      </c>
      <c r="D48" s="4">
        <f>'CARTA DE CONTROL'!AS53</f>
        <v>-0.40010002500625158</v>
      </c>
      <c r="E48" s="6">
        <f>'CARTA DE CONTROL'!I53</f>
        <v>2</v>
      </c>
      <c r="F48" s="7">
        <f>-('CARTA DE CONTROL'!I53)</f>
        <v>-2</v>
      </c>
      <c r="G48" s="5" t="str">
        <f t="shared" si="0"/>
        <v>PASS</v>
      </c>
    </row>
    <row r="49" spans="1:8" ht="15.75" thickBot="1" x14ac:dyDescent="0.3">
      <c r="B49" s="3">
        <f>'CARTA DE CONTROL'!R54</f>
        <v>7001</v>
      </c>
      <c r="C49" s="4">
        <f>'CARTA DE CONTROL'!AR54</f>
        <v>0.39994286530495643</v>
      </c>
      <c r="D49" s="4">
        <f>'CARTA DE CONTROL'!AS54</f>
        <v>-0.42851021282673901</v>
      </c>
      <c r="E49" s="6">
        <f>'CARTA DE CONTROL'!I54</f>
        <v>2</v>
      </c>
      <c r="F49" s="7">
        <f>-('CARTA DE CONTROL'!I54)</f>
        <v>-2</v>
      </c>
      <c r="G49" s="5" t="str">
        <f t="shared" si="0"/>
        <v>PASS</v>
      </c>
    </row>
    <row r="50" spans="1:8" ht="15.75" thickBot="1" x14ac:dyDescent="0.3">
      <c r="B50" s="3">
        <f>'CARTA DE CONTROL'!R56</f>
        <v>9004</v>
      </c>
      <c r="C50" s="4">
        <f>'CARTA DE CONTROL'!AR56</f>
        <v>0.36650377609951135</v>
      </c>
      <c r="D50" s="4">
        <f>'CARTA DE CONTROL'!AS56</f>
        <v>-0.45535317636605954</v>
      </c>
      <c r="E50" s="6">
        <f>'CARTA DE CONTROL'!I56</f>
        <v>2</v>
      </c>
      <c r="F50" s="7">
        <f>-('CARTA DE CONTROL'!I56)</f>
        <v>-2</v>
      </c>
      <c r="G50" s="5" t="str">
        <f>IF(C50&lt;=2,IF(D50&gt;=-2,"PASS","NO PASS"))</f>
        <v>PASS</v>
      </c>
    </row>
    <row r="51" spans="1:8" x14ac:dyDescent="0.25">
      <c r="A51" s="1"/>
      <c r="B51" s="1"/>
      <c r="C51" s="1"/>
      <c r="D51" s="1"/>
      <c r="E51" s="1"/>
      <c r="F51" s="1"/>
      <c r="G51" s="1"/>
      <c r="H51" s="1"/>
    </row>
    <row r="52" spans="1:8" x14ac:dyDescent="0.25">
      <c r="A52" s="1"/>
      <c r="B52" s="1"/>
      <c r="C52" s="1"/>
      <c r="D52" s="1"/>
    </row>
    <row r="53" spans="1:8" x14ac:dyDescent="0.25">
      <c r="A53" s="1"/>
      <c r="B53" s="1"/>
      <c r="C53" s="1"/>
      <c r="D53" s="1"/>
    </row>
    <row r="54" spans="1:8" x14ac:dyDescent="0.25">
      <c r="A54" s="1"/>
      <c r="B54" s="1"/>
      <c r="C54" s="1"/>
      <c r="D54" s="1"/>
    </row>
    <row r="55" spans="1:8" x14ac:dyDescent="0.25">
      <c r="A55" s="1"/>
      <c r="B55" s="1"/>
      <c r="C55" s="1"/>
      <c r="D55" s="1"/>
      <c r="E55" s="1"/>
      <c r="F55" s="1"/>
      <c r="G55" s="1"/>
      <c r="H55" s="1"/>
    </row>
    <row r="56" spans="1:8" x14ac:dyDescent="0.25">
      <c r="A56" s="1"/>
      <c r="B56" s="1"/>
      <c r="C56" s="1"/>
      <c r="D56" s="1"/>
      <c r="E56" s="1"/>
      <c r="F56" s="1"/>
      <c r="G56" s="1"/>
      <c r="H56" s="1"/>
    </row>
    <row r="57" spans="1:8" x14ac:dyDescent="0.25">
      <c r="A57" s="1"/>
      <c r="B57" s="1"/>
      <c r="C57" s="1"/>
      <c r="D57" s="1"/>
      <c r="E57" s="1"/>
      <c r="F57" s="1"/>
      <c r="G57" s="1"/>
      <c r="H57" s="1"/>
    </row>
    <row r="58" spans="1:8" x14ac:dyDescent="0.25">
      <c r="A58" s="1"/>
      <c r="B58" s="1"/>
      <c r="C58" s="1"/>
      <c r="D58" s="1"/>
      <c r="E58" s="1"/>
      <c r="F58" s="1"/>
      <c r="G58" s="1"/>
      <c r="H58" s="1"/>
    </row>
    <row r="59" spans="1:8" x14ac:dyDescent="0.25">
      <c r="A59" s="1"/>
      <c r="B59" s="1"/>
      <c r="C59" s="1"/>
      <c r="D59" s="1"/>
      <c r="E59" s="1"/>
      <c r="F59" s="1"/>
      <c r="G59" s="1"/>
      <c r="H59" s="1"/>
    </row>
    <row r="60" spans="1:8" x14ac:dyDescent="0.25">
      <c r="A60" s="1"/>
      <c r="B60" s="1"/>
      <c r="C60" s="1"/>
      <c r="D60" s="1"/>
      <c r="E60" s="1"/>
      <c r="F60" s="1"/>
      <c r="G60" s="1"/>
      <c r="H60" s="1"/>
    </row>
    <row r="61" spans="1:8" x14ac:dyDescent="0.25">
      <c r="A61" s="1"/>
      <c r="B61" s="1"/>
      <c r="C61" s="1"/>
      <c r="D61" s="1"/>
      <c r="E61" s="1"/>
      <c r="F61" s="1"/>
      <c r="G61" s="1"/>
      <c r="H61" s="1"/>
    </row>
    <row r="62" spans="1:8" x14ac:dyDescent="0.25">
      <c r="A62" s="1"/>
      <c r="B62" s="1"/>
      <c r="C62" s="1"/>
      <c r="D62" s="1"/>
      <c r="E62" s="1"/>
      <c r="F62" s="1"/>
      <c r="G62" s="1"/>
      <c r="H62" s="1"/>
    </row>
    <row r="63" spans="1:8" x14ac:dyDescent="0.25">
      <c r="A63" s="1"/>
      <c r="B63" s="1"/>
      <c r="C63" s="1"/>
      <c r="D63" s="1"/>
      <c r="E63" s="1"/>
      <c r="F63" s="1"/>
      <c r="G63" s="1"/>
      <c r="H63" s="1"/>
    </row>
    <row r="64" spans="1:8" x14ac:dyDescent="0.25">
      <c r="A64" s="1"/>
      <c r="B64" s="1"/>
      <c r="C64" s="1"/>
      <c r="D64" s="1"/>
      <c r="E64" s="1"/>
      <c r="F64" s="1"/>
      <c r="G64" s="1"/>
      <c r="H64" s="1"/>
    </row>
  </sheetData>
  <mergeCells count="53">
    <mergeCell ref="B39:G39"/>
    <mergeCell ref="B37:D37"/>
    <mergeCell ref="F37:G37"/>
    <mergeCell ref="B34:D34"/>
    <mergeCell ref="F34:G34"/>
    <mergeCell ref="B35:D35"/>
    <mergeCell ref="F35:G35"/>
    <mergeCell ref="B36:D36"/>
    <mergeCell ref="F36:G36"/>
    <mergeCell ref="B33:D33"/>
    <mergeCell ref="F33:G33"/>
    <mergeCell ref="B26:D26"/>
    <mergeCell ref="F26:G26"/>
    <mergeCell ref="B27:D27"/>
    <mergeCell ref="F27:G27"/>
    <mergeCell ref="B28:D28"/>
    <mergeCell ref="F28:G28"/>
    <mergeCell ref="A30:G30"/>
    <mergeCell ref="B31:D31"/>
    <mergeCell ref="F31:G31"/>
    <mergeCell ref="B32:D32"/>
    <mergeCell ref="F32:G32"/>
    <mergeCell ref="B23:D23"/>
    <mergeCell ref="F23:G23"/>
    <mergeCell ref="B24:D24"/>
    <mergeCell ref="F24:G24"/>
    <mergeCell ref="B25:D25"/>
    <mergeCell ref="F25:G25"/>
    <mergeCell ref="B20:D20"/>
    <mergeCell ref="F20:G20"/>
    <mergeCell ref="B21:D21"/>
    <mergeCell ref="F21:G21"/>
    <mergeCell ref="B22:D22"/>
    <mergeCell ref="F22:G22"/>
    <mergeCell ref="B17:D17"/>
    <mergeCell ref="F17:G17"/>
    <mergeCell ref="B18:D18"/>
    <mergeCell ref="F18:G18"/>
    <mergeCell ref="B19:D19"/>
    <mergeCell ref="F19:G19"/>
    <mergeCell ref="B14:D14"/>
    <mergeCell ref="F14:G14"/>
    <mergeCell ref="B15:D15"/>
    <mergeCell ref="F15:G15"/>
    <mergeCell ref="B16:D16"/>
    <mergeCell ref="F16:G16"/>
    <mergeCell ref="B13:D13"/>
    <mergeCell ref="F13:G13"/>
    <mergeCell ref="C7:E7"/>
    <mergeCell ref="C8:E8"/>
    <mergeCell ref="C9:E9"/>
    <mergeCell ref="C10:E10"/>
    <mergeCell ref="A12:G12"/>
  </mergeCells>
  <conditionalFormatting sqref="G41:G50">
    <cfRule type="cellIs" dxfId="142" priority="2" operator="lessThan">
      <formula>$F$78</formula>
    </cfRule>
    <cfRule type="cellIs" dxfId="141" priority="3" operator="lessThan">
      <formula>0.05</formula>
    </cfRule>
  </conditionalFormatting>
  <conditionalFormatting sqref="G41:G50">
    <cfRule type="cellIs" dxfId="140" priority="1" operator="between">
      <formula>$F$78</formula>
      <formula>$G$78</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4"/>
  <sheetViews>
    <sheetView topLeftCell="A52" workbookViewId="0">
      <selection activeCell="F43" sqref="F43"/>
    </sheetView>
  </sheetViews>
  <sheetFormatPr baseColWidth="10" defaultRowHeight="15" x14ac:dyDescent="0.25"/>
  <cols>
    <col min="1" max="1" width="6" customWidth="1"/>
    <col min="2" max="2" width="22.85546875" customWidth="1"/>
    <col min="3" max="3" width="21.7109375" customWidth="1"/>
    <col min="4" max="4" width="21" customWidth="1"/>
    <col min="5" max="5" width="22.7109375" customWidth="1"/>
    <col min="8" max="8" width="13" customWidth="1"/>
  </cols>
  <sheetData>
    <row r="1" spans="1:11" ht="15" customHeight="1" x14ac:dyDescent="0.25">
      <c r="E1" s="214"/>
    </row>
    <row r="2" spans="1:11" ht="15" customHeight="1" x14ac:dyDescent="0.25">
      <c r="B2" s="290"/>
      <c r="C2" s="290"/>
      <c r="D2" s="290"/>
      <c r="E2" s="215"/>
      <c r="F2" s="290"/>
      <c r="G2" s="290"/>
      <c r="H2" s="290"/>
    </row>
    <row r="3" spans="1:11" ht="15" customHeight="1" x14ac:dyDescent="0.25">
      <c r="B3" s="290"/>
      <c r="C3" s="290"/>
      <c r="D3" s="290"/>
      <c r="E3" s="215"/>
      <c r="F3" s="290"/>
      <c r="G3" s="290"/>
      <c r="H3" s="290"/>
    </row>
    <row r="4" spans="1:11" ht="15" customHeight="1" x14ac:dyDescent="0.25">
      <c r="B4" s="290"/>
      <c r="C4" s="290"/>
      <c r="D4" s="290"/>
      <c r="E4" s="215"/>
      <c r="F4" s="290"/>
      <c r="G4" s="290"/>
      <c r="H4" s="290"/>
    </row>
    <row r="5" spans="1:11" ht="15" customHeight="1" x14ac:dyDescent="0.25">
      <c r="B5" s="290"/>
      <c r="C5" s="290"/>
      <c r="D5" s="290"/>
      <c r="E5" s="215"/>
      <c r="F5" s="290"/>
      <c r="G5" s="290"/>
      <c r="H5" s="290"/>
    </row>
    <row r="6" spans="1:11" ht="15" customHeight="1" x14ac:dyDescent="0.25">
      <c r="B6" s="290"/>
      <c r="C6" s="290"/>
      <c r="D6" s="290"/>
      <c r="E6" s="215"/>
      <c r="F6" s="290"/>
      <c r="G6" s="290"/>
      <c r="H6" s="290"/>
    </row>
    <row r="7" spans="1:11" x14ac:dyDescent="0.25">
      <c r="B7" s="231" t="s">
        <v>157</v>
      </c>
      <c r="C7" s="770" t="str">
        <f>'CARTA DE CONTROL'!B58</f>
        <v>REVOLUCIONES POR MINUTO (BATERIA)</v>
      </c>
      <c r="D7" s="771"/>
      <c r="E7" s="772"/>
    </row>
    <row r="8" spans="1:11" x14ac:dyDescent="0.25">
      <c r="B8" s="231" t="s">
        <v>158</v>
      </c>
      <c r="C8" s="770" t="str">
        <f>'CARTA DE CONTROL'!D58</f>
        <v>BRAIN BEE</v>
      </c>
      <c r="D8" s="771"/>
      <c r="E8" s="772"/>
    </row>
    <row r="9" spans="1:11" x14ac:dyDescent="0.25">
      <c r="B9" s="231" t="s">
        <v>159</v>
      </c>
      <c r="C9" s="770" t="str">
        <f>'CARTA DE CONTROL'!E58</f>
        <v xml:space="preserve"> MGT 300 EVO</v>
      </c>
      <c r="D9" s="771"/>
      <c r="E9" s="772"/>
    </row>
    <row r="10" spans="1:11" x14ac:dyDescent="0.25">
      <c r="B10" s="231" t="s">
        <v>160</v>
      </c>
      <c r="C10" s="786">
        <f>'CARTA DE CONTROL'!F58</f>
        <v>170228000012</v>
      </c>
      <c r="D10" s="787"/>
      <c r="E10" s="788"/>
    </row>
    <row r="11" spans="1:11" ht="15" customHeight="1" thickBot="1" x14ac:dyDescent="0.3">
      <c r="B11" s="290"/>
      <c r="C11" s="290"/>
      <c r="D11" s="290"/>
      <c r="E11" s="215"/>
      <c r="F11" s="290"/>
      <c r="G11" s="290"/>
      <c r="H11" s="202"/>
      <c r="I11" s="203"/>
      <c r="J11" s="203"/>
      <c r="K11" s="203"/>
    </row>
    <row r="12" spans="1:11" s="190" customFormat="1" ht="34.5" customHeight="1" x14ac:dyDescent="0.2">
      <c r="A12" s="776" t="s">
        <v>127</v>
      </c>
      <c r="B12" s="777"/>
      <c r="C12" s="777"/>
      <c r="D12" s="777"/>
      <c r="E12" s="777"/>
      <c r="F12" s="777"/>
      <c r="G12" s="778"/>
      <c r="H12" s="204"/>
      <c r="I12" s="204"/>
      <c r="J12" s="204"/>
      <c r="K12" s="204"/>
    </row>
    <row r="13" spans="1:11" s="190" customFormat="1" ht="15" customHeight="1" x14ac:dyDescent="0.2">
      <c r="A13" s="207" t="s">
        <v>128</v>
      </c>
      <c r="B13" s="779" t="s">
        <v>129</v>
      </c>
      <c r="C13" s="780"/>
      <c r="D13" s="781"/>
      <c r="E13" s="292" t="s">
        <v>130</v>
      </c>
      <c r="F13" s="782" t="s">
        <v>131</v>
      </c>
      <c r="G13" s="783"/>
      <c r="H13" s="205"/>
      <c r="I13" s="205"/>
      <c r="J13" s="205"/>
      <c r="K13" s="205"/>
    </row>
    <row r="14" spans="1:11" s="1" customFormat="1" ht="35.25" customHeight="1" x14ac:dyDescent="0.2">
      <c r="A14" s="208">
        <v>1</v>
      </c>
      <c r="B14" s="761" t="s">
        <v>132</v>
      </c>
      <c r="C14" s="761"/>
      <c r="D14" s="761"/>
      <c r="E14" s="291" t="s">
        <v>133</v>
      </c>
      <c r="F14" s="762"/>
      <c r="G14" s="763"/>
      <c r="H14" s="206"/>
      <c r="I14" s="206"/>
      <c r="J14" s="206"/>
      <c r="K14" s="206"/>
    </row>
    <row r="15" spans="1:11" s="1" customFormat="1" ht="35.25" customHeight="1" x14ac:dyDescent="0.2">
      <c r="A15" s="208">
        <v>2</v>
      </c>
      <c r="B15" s="761" t="s">
        <v>134</v>
      </c>
      <c r="C15" s="761"/>
      <c r="D15" s="761"/>
      <c r="E15" s="291" t="s">
        <v>133</v>
      </c>
      <c r="F15" s="762"/>
      <c r="G15" s="763"/>
    </row>
    <row r="16" spans="1:11" s="1" customFormat="1" ht="35.25" customHeight="1" x14ac:dyDescent="0.2">
      <c r="A16" s="208">
        <v>3</v>
      </c>
      <c r="B16" s="761" t="s">
        <v>135</v>
      </c>
      <c r="C16" s="761"/>
      <c r="D16" s="761"/>
      <c r="E16" s="291" t="s">
        <v>133</v>
      </c>
      <c r="F16" s="762"/>
      <c r="G16" s="763"/>
    </row>
    <row r="17" spans="1:11" s="1" customFormat="1" ht="35.25" customHeight="1" x14ac:dyDescent="0.2">
      <c r="A17" s="208">
        <v>4</v>
      </c>
      <c r="B17" s="761" t="s">
        <v>136</v>
      </c>
      <c r="C17" s="761"/>
      <c r="D17" s="761"/>
      <c r="E17" s="291" t="s">
        <v>133</v>
      </c>
      <c r="F17" s="784"/>
      <c r="G17" s="785"/>
    </row>
    <row r="18" spans="1:11" s="1" customFormat="1" ht="35.25" customHeight="1" x14ac:dyDescent="0.2">
      <c r="A18" s="208">
        <v>5</v>
      </c>
      <c r="B18" s="761" t="s">
        <v>137</v>
      </c>
      <c r="C18" s="761"/>
      <c r="D18" s="761"/>
      <c r="E18" s="291" t="s">
        <v>133</v>
      </c>
      <c r="F18" s="762"/>
      <c r="G18" s="763"/>
    </row>
    <row r="19" spans="1:11" s="1" customFormat="1" ht="35.25" customHeight="1" x14ac:dyDescent="0.2">
      <c r="A19" s="208">
        <v>6</v>
      </c>
      <c r="B19" s="761" t="s">
        <v>138</v>
      </c>
      <c r="C19" s="761"/>
      <c r="D19" s="761"/>
      <c r="E19" s="291" t="s">
        <v>133</v>
      </c>
      <c r="F19" s="762"/>
      <c r="G19" s="763"/>
    </row>
    <row r="20" spans="1:11" s="1" customFormat="1" ht="35.25" customHeight="1" x14ac:dyDescent="0.2">
      <c r="A20" s="208">
        <v>7</v>
      </c>
      <c r="B20" s="761" t="s">
        <v>139</v>
      </c>
      <c r="C20" s="761"/>
      <c r="D20" s="761"/>
      <c r="E20" s="291" t="s">
        <v>133</v>
      </c>
      <c r="F20" s="762"/>
      <c r="G20" s="763"/>
    </row>
    <row r="21" spans="1:11" s="1" customFormat="1" ht="35.25" customHeight="1" x14ac:dyDescent="0.2">
      <c r="A21" s="208">
        <v>8</v>
      </c>
      <c r="B21" s="761" t="s">
        <v>140</v>
      </c>
      <c r="C21" s="761"/>
      <c r="D21" s="761"/>
      <c r="E21" s="291" t="s">
        <v>133</v>
      </c>
      <c r="F21" s="762"/>
      <c r="G21" s="763"/>
    </row>
    <row r="22" spans="1:11" s="1" customFormat="1" ht="35.25" customHeight="1" x14ac:dyDescent="0.2">
      <c r="A22" s="208">
        <v>9</v>
      </c>
      <c r="B22" s="761" t="s">
        <v>141</v>
      </c>
      <c r="C22" s="761"/>
      <c r="D22" s="761"/>
      <c r="E22" s="291" t="s">
        <v>133</v>
      </c>
      <c r="F22" s="762"/>
      <c r="G22" s="763"/>
    </row>
    <row r="23" spans="1:11" s="1" customFormat="1" ht="35.25" customHeight="1" x14ac:dyDescent="0.2">
      <c r="A23" s="208">
        <v>10</v>
      </c>
      <c r="B23" s="761" t="s">
        <v>142</v>
      </c>
      <c r="C23" s="761"/>
      <c r="D23" s="761"/>
      <c r="E23" s="291" t="s">
        <v>133</v>
      </c>
      <c r="F23" s="762"/>
      <c r="G23" s="763"/>
    </row>
    <row r="24" spans="1:11" s="1" customFormat="1" ht="35.25" customHeight="1" x14ac:dyDescent="0.2">
      <c r="A24" s="208">
        <v>11</v>
      </c>
      <c r="B24" s="761" t="s">
        <v>143</v>
      </c>
      <c r="C24" s="761"/>
      <c r="D24" s="761"/>
      <c r="E24" s="291" t="s">
        <v>133</v>
      </c>
      <c r="F24" s="762"/>
      <c r="G24" s="763"/>
    </row>
    <row r="25" spans="1:11" s="194" customFormat="1" ht="35.25" customHeight="1" x14ac:dyDescent="0.2">
      <c r="A25" s="209">
        <v>12</v>
      </c>
      <c r="B25" s="761" t="s">
        <v>144</v>
      </c>
      <c r="C25" s="761"/>
      <c r="D25" s="761"/>
      <c r="E25" s="193" t="s">
        <v>133</v>
      </c>
      <c r="F25" s="762"/>
      <c r="G25" s="763"/>
    </row>
    <row r="26" spans="1:11" s="1" customFormat="1" ht="35.25" customHeight="1" x14ac:dyDescent="0.2">
      <c r="A26" s="208">
        <v>13</v>
      </c>
      <c r="B26" s="761" t="s">
        <v>145</v>
      </c>
      <c r="C26" s="761"/>
      <c r="D26" s="761"/>
      <c r="E26" s="291" t="s">
        <v>133</v>
      </c>
      <c r="F26" s="762"/>
      <c r="G26" s="763"/>
    </row>
    <row r="27" spans="1:11" s="1" customFormat="1" ht="35.25" customHeight="1" x14ac:dyDescent="0.2">
      <c r="A27" s="208">
        <v>14</v>
      </c>
      <c r="B27" s="761" t="s">
        <v>146</v>
      </c>
      <c r="C27" s="761"/>
      <c r="D27" s="761"/>
      <c r="E27" s="291" t="s">
        <v>133</v>
      </c>
      <c r="F27" s="762"/>
      <c r="G27" s="763"/>
    </row>
    <row r="28" spans="1:11" s="1" customFormat="1" ht="54.75" customHeight="1" thickBot="1" x14ac:dyDescent="0.25">
      <c r="A28" s="210">
        <v>15</v>
      </c>
      <c r="B28" s="764" t="s">
        <v>147</v>
      </c>
      <c r="C28" s="764"/>
      <c r="D28" s="764"/>
      <c r="E28" s="293" t="s">
        <v>133</v>
      </c>
      <c r="F28" s="765"/>
      <c r="G28" s="766"/>
    </row>
    <row r="29" spans="1:11" s="198" customFormat="1" ht="21" customHeight="1" thickBot="1" x14ac:dyDescent="0.25">
      <c r="B29" s="195"/>
      <c r="C29" s="196"/>
      <c r="D29" s="196"/>
      <c r="E29" s="195"/>
      <c r="F29" s="196"/>
      <c r="G29" s="196"/>
      <c r="H29" s="197"/>
      <c r="I29" s="197"/>
    </row>
    <row r="30" spans="1:11" s="219" customFormat="1" ht="15" customHeight="1" x14ac:dyDescent="0.2">
      <c r="A30" s="767" t="s">
        <v>148</v>
      </c>
      <c r="B30" s="768"/>
      <c r="C30" s="768"/>
      <c r="D30" s="768"/>
      <c r="E30" s="768"/>
      <c r="F30" s="768"/>
      <c r="G30" s="769"/>
      <c r="H30" s="222"/>
      <c r="I30" s="223"/>
      <c r="J30" s="223"/>
      <c r="K30" s="223"/>
    </row>
    <row r="31" spans="1:11" s="219" customFormat="1" ht="15" customHeight="1" x14ac:dyDescent="0.2">
      <c r="A31" s="220" t="s">
        <v>128</v>
      </c>
      <c r="B31" s="759" t="s">
        <v>129</v>
      </c>
      <c r="C31" s="759"/>
      <c r="D31" s="759"/>
      <c r="E31" s="294" t="s">
        <v>130</v>
      </c>
      <c r="F31" s="759" t="s">
        <v>131</v>
      </c>
      <c r="G31" s="760"/>
      <c r="H31" s="224"/>
      <c r="I31" s="225"/>
      <c r="J31" s="225"/>
      <c r="K31" s="225"/>
    </row>
    <row r="32" spans="1:11" s="1" customFormat="1" ht="55.5" customHeight="1" x14ac:dyDescent="0.2">
      <c r="A32" s="216">
        <v>1</v>
      </c>
      <c r="B32" s="754" t="s">
        <v>149</v>
      </c>
      <c r="C32" s="754"/>
      <c r="D32" s="754"/>
      <c r="E32" s="199" t="s">
        <v>150</v>
      </c>
      <c r="F32" s="755"/>
      <c r="G32" s="756"/>
      <c r="H32" s="226"/>
      <c r="I32" s="206"/>
      <c r="J32" s="206"/>
      <c r="K32" s="206"/>
    </row>
    <row r="33" spans="1:7" s="1" customFormat="1" ht="25.5" customHeight="1" x14ac:dyDescent="0.2">
      <c r="A33" s="216">
        <v>2</v>
      </c>
      <c r="B33" s="754" t="s">
        <v>151</v>
      </c>
      <c r="C33" s="754"/>
      <c r="D33" s="754"/>
      <c r="E33" s="199" t="s">
        <v>150</v>
      </c>
      <c r="F33" s="755"/>
      <c r="G33" s="756"/>
    </row>
    <row r="34" spans="1:7" s="1" customFormat="1" ht="25.5" customHeight="1" x14ac:dyDescent="0.2">
      <c r="A34" s="216">
        <v>3</v>
      </c>
      <c r="B34" s="754" t="s">
        <v>152</v>
      </c>
      <c r="C34" s="754"/>
      <c r="D34" s="754"/>
      <c r="E34" s="199" t="s">
        <v>150</v>
      </c>
      <c r="F34" s="755"/>
      <c r="G34" s="756"/>
    </row>
    <row r="35" spans="1:7" s="1" customFormat="1" ht="25.5" customHeight="1" x14ac:dyDescent="0.2">
      <c r="A35" s="216">
        <v>4</v>
      </c>
      <c r="B35" s="754" t="s">
        <v>153</v>
      </c>
      <c r="C35" s="754"/>
      <c r="D35" s="754"/>
      <c r="E35" s="199" t="s">
        <v>154</v>
      </c>
      <c r="F35" s="755"/>
      <c r="G35" s="756"/>
    </row>
    <row r="36" spans="1:7" s="1" customFormat="1" ht="25.5" customHeight="1" x14ac:dyDescent="0.2">
      <c r="A36" s="216">
        <v>5</v>
      </c>
      <c r="B36" s="754" t="s">
        <v>155</v>
      </c>
      <c r="C36" s="754"/>
      <c r="D36" s="754"/>
      <c r="E36" s="199" t="s">
        <v>154</v>
      </c>
      <c r="F36" s="757"/>
      <c r="G36" s="758"/>
    </row>
    <row r="37" spans="1:7" s="1" customFormat="1" ht="25.5" customHeight="1" thickBot="1" x14ac:dyDescent="0.25">
      <c r="A37" s="217">
        <v>6</v>
      </c>
      <c r="B37" s="748" t="s">
        <v>156</v>
      </c>
      <c r="C37" s="748"/>
      <c r="D37" s="748"/>
      <c r="E37" s="218" t="s">
        <v>154</v>
      </c>
      <c r="F37" s="749"/>
      <c r="G37" s="750"/>
    </row>
    <row r="38" spans="1:7" s="1" customFormat="1" ht="25.5" customHeight="1" thickBot="1" x14ac:dyDescent="0.25">
      <c r="A38" s="195"/>
      <c r="B38" s="196"/>
      <c r="C38" s="196"/>
      <c r="D38" s="196"/>
      <c r="E38" s="197"/>
      <c r="F38" s="334"/>
      <c r="G38" s="334"/>
    </row>
    <row r="39" spans="1:7" ht="15.75" thickBot="1" x14ac:dyDescent="0.3">
      <c r="B39" s="751" t="s">
        <v>166</v>
      </c>
      <c r="C39" s="752"/>
      <c r="D39" s="752"/>
      <c r="E39" s="752"/>
      <c r="F39" s="752"/>
      <c r="G39" s="753"/>
    </row>
    <row r="40" spans="1:7" ht="79.5" thickBot="1" x14ac:dyDescent="0.3">
      <c r="B40" s="2" t="s">
        <v>39</v>
      </c>
      <c r="C40" s="11" t="s">
        <v>92</v>
      </c>
      <c r="D40" s="11" t="s">
        <v>93</v>
      </c>
      <c r="E40" s="2" t="s">
        <v>94</v>
      </c>
      <c r="F40" s="2" t="s">
        <v>95</v>
      </c>
      <c r="G40" s="21" t="s">
        <v>96</v>
      </c>
    </row>
    <row r="41" spans="1:7" ht="15.75" thickBot="1" x14ac:dyDescent="0.3">
      <c r="B41" s="3">
        <f>'CARTA DE CONTROL'!R58</f>
        <v>399.4</v>
      </c>
      <c r="C41" s="4">
        <f>'CARTA DE CONTROL'!AR58</f>
        <v>1.6274411617426197</v>
      </c>
      <c r="D41" s="4">
        <f>'CARTA DE CONTROL'!AS58</f>
        <v>-1.3269904857285872</v>
      </c>
      <c r="E41" s="6">
        <f>'CARTA DE CONTROL'!I58</f>
        <v>2</v>
      </c>
      <c r="F41" s="7">
        <f>-('CARTA DE CONTROL'!I58)</f>
        <v>-2</v>
      </c>
      <c r="G41" s="5" t="str">
        <f>IF(C41&lt;=2,IF(D41&gt;=-2,"PASS","NO PASS"))</f>
        <v>PASS</v>
      </c>
    </row>
    <row r="42" spans="1:7" ht="15.75" thickBot="1" x14ac:dyDescent="0.3">
      <c r="B42" s="3">
        <f>'CARTA DE CONTROL'!R59</f>
        <v>500.6</v>
      </c>
      <c r="C42" s="4">
        <f>'CARTA DE CONTROL'!AR59</f>
        <v>1.0787055533359922</v>
      </c>
      <c r="D42" s="4">
        <f>'CARTA DE CONTROL'!AS59</f>
        <v>-1.3184178985217783</v>
      </c>
      <c r="E42" s="6">
        <f>'CARTA DE CONTROL'!I60</f>
        <v>2</v>
      </c>
      <c r="F42" s="7">
        <f>-('CARTA DE CONTROL'!I60)</f>
        <v>-2</v>
      </c>
      <c r="G42" s="5" t="str">
        <f t="shared" ref="G42:G48" si="0">IF(C42&lt;=2,IF(D42&gt;=-2,"PASS","NO PASS"))</f>
        <v>PASS</v>
      </c>
    </row>
    <row r="43" spans="1:7" ht="15.75" thickBot="1" x14ac:dyDescent="0.3">
      <c r="B43" s="3">
        <f>'CARTA DE CONTROL'!R61</f>
        <v>800.7</v>
      </c>
      <c r="C43" s="4">
        <f>'CARTA DE CONTROL'!AR61</f>
        <v>0.72436617959285055</v>
      </c>
      <c r="D43" s="4">
        <f>'CARTA DE CONTROL'!AS61</f>
        <v>-0.89921318846010301</v>
      </c>
      <c r="E43" s="6">
        <f>'CARTA DE CONTROL'!I61</f>
        <v>2</v>
      </c>
      <c r="F43" s="7">
        <f>-('CARTA DE CONTROL'!I61)</f>
        <v>-2</v>
      </c>
      <c r="G43" s="5" t="str">
        <f t="shared" si="0"/>
        <v>PASS</v>
      </c>
    </row>
    <row r="44" spans="1:7" ht="15.75" thickBot="1" x14ac:dyDescent="0.3">
      <c r="B44" s="3">
        <f>'CARTA DE CONTROL'!R62</f>
        <v>997.5</v>
      </c>
      <c r="C44" s="4">
        <f>'CARTA DE CONTROL'!AR62</f>
        <v>0.95238095238095233</v>
      </c>
      <c r="D44" s="4">
        <f>'CARTA DE CONTROL'!AS62</f>
        <v>-0.45112781954887216</v>
      </c>
      <c r="E44" s="6">
        <f>'CARTA DE CONTROL'!I62</f>
        <v>2</v>
      </c>
      <c r="F44" s="7">
        <f>-('CARTA DE CONTROL'!I62)</f>
        <v>-2</v>
      </c>
      <c r="G44" s="5" t="str">
        <f t="shared" si="0"/>
        <v>PASS</v>
      </c>
    </row>
    <row r="45" spans="1:7" ht="15.75" thickBot="1" x14ac:dyDescent="0.3">
      <c r="B45" s="3">
        <f>'CARTA DE CONTROL'!R63</f>
        <v>1800</v>
      </c>
      <c r="C45" s="4">
        <f>'CARTA DE CONTROL'!AR63</f>
        <v>1.0666666666666667</v>
      </c>
      <c r="D45" s="4">
        <f>'CARTA DE CONTROL'!AS63</f>
        <v>4.4444444444444509E-2</v>
      </c>
      <c r="E45" s="6">
        <f>'CARTA DE CONTROL'!I63</f>
        <v>2</v>
      </c>
      <c r="F45" s="7">
        <f>-('CARTA DE CONTROL'!I63)</f>
        <v>-2</v>
      </c>
      <c r="G45" s="5" t="str">
        <f t="shared" si="0"/>
        <v>PASS</v>
      </c>
    </row>
    <row r="46" spans="1:7" ht="15.75" thickBot="1" x14ac:dyDescent="0.3">
      <c r="B46" s="3">
        <f>'CARTA DE CONTROL'!R64</f>
        <v>2499</v>
      </c>
      <c r="C46" s="4">
        <f>'CARTA DE CONTROL'!AR64</f>
        <v>1.720688275310124</v>
      </c>
      <c r="D46" s="4">
        <f>'CARTA DE CONTROL'!AS64</f>
        <v>0.76030412164865957</v>
      </c>
      <c r="E46" s="6">
        <f>'CARTA DE CONTROL'!I64</f>
        <v>2</v>
      </c>
      <c r="F46" s="7">
        <f>-('CARTA DE CONTROL'!I64)</f>
        <v>-2</v>
      </c>
      <c r="G46" s="5" t="str">
        <f t="shared" si="0"/>
        <v>PASS</v>
      </c>
    </row>
    <row r="47" spans="1:7" ht="15.75" thickBot="1" x14ac:dyDescent="0.3">
      <c r="B47" s="3">
        <f>'CARTA DE CONTROL'!R65</f>
        <v>3000</v>
      </c>
      <c r="C47" s="4">
        <f>'CARTA DE CONTROL'!AR65</f>
        <v>1.1000000000000001</v>
      </c>
      <c r="D47" s="4">
        <f>'CARTA DE CONTROL'!AS65</f>
        <v>0.23333333333333328</v>
      </c>
      <c r="E47" s="6">
        <f>'CARTA DE CONTROL'!I65</f>
        <v>2</v>
      </c>
      <c r="F47" s="7">
        <f>-('CARTA DE CONTROL'!I65)</f>
        <v>-2</v>
      </c>
      <c r="G47" s="5" t="str">
        <f t="shared" si="0"/>
        <v>PASS</v>
      </c>
    </row>
    <row r="48" spans="1:7" ht="15.75" thickBot="1" x14ac:dyDescent="0.3">
      <c r="B48" s="3">
        <f>'CARTA DE CONTROL'!R66</f>
        <v>3999</v>
      </c>
      <c r="C48" s="4">
        <f>'CARTA DE CONTROL'!AR66</f>
        <v>1.4503625906476618</v>
      </c>
      <c r="D48" s="4">
        <f>'CARTA DE CONTROL'!AS66</f>
        <v>0.60015003750937734</v>
      </c>
      <c r="E48" s="6">
        <f>'CARTA DE CONTROL'!I66</f>
        <v>2</v>
      </c>
      <c r="F48" s="7">
        <f>-('CARTA DE CONTROL'!I66)</f>
        <v>-2</v>
      </c>
      <c r="G48" s="5" t="str">
        <f t="shared" si="0"/>
        <v>PASS</v>
      </c>
    </row>
    <row r="49" spans="1:8" ht="15.75" thickBot="1" x14ac:dyDescent="0.3">
      <c r="B49" s="3">
        <f>'CARTA DE CONTROL'!R67</f>
        <v>7001</v>
      </c>
      <c r="C49" s="4">
        <f>'CARTA DE CONTROL'!AR67</f>
        <v>1.6854735037851736</v>
      </c>
      <c r="D49" s="4">
        <f>'CARTA DE CONTROL'!AS67</f>
        <v>0.85702042565347814</v>
      </c>
      <c r="E49" s="6">
        <f>'CARTA DE CONTROL'!I67</f>
        <v>2</v>
      </c>
      <c r="F49" s="7">
        <f>-('CARTA DE CONTROL'!I67)</f>
        <v>-2</v>
      </c>
      <c r="G49" s="5" t="str">
        <f>IF(C49&lt;=2,IF(D49&gt;=-2,"PASS","NO PASS"))</f>
        <v>PASS</v>
      </c>
    </row>
    <row r="50" spans="1:8" ht="15.75" thickBot="1" x14ac:dyDescent="0.3">
      <c r="B50" s="3">
        <f>'CARTA DE CONTROL'!R69</f>
        <v>9004</v>
      </c>
      <c r="C50" s="4">
        <f>'CARTA DE CONTROL'!AR69</f>
        <v>0.69968902709906711</v>
      </c>
      <c r="D50" s="4">
        <f>'CARTA DE CONTROL'!AS69</f>
        <v>-0.12216792536650378</v>
      </c>
      <c r="E50" s="6">
        <f>'CARTA DE CONTROL'!I69</f>
        <v>2</v>
      </c>
      <c r="F50" s="7">
        <f>-('CARTA DE CONTROL'!I69)</f>
        <v>-2</v>
      </c>
      <c r="G50" s="5" t="str">
        <f>IF(C50&lt;=2,IF(D50&gt;=-2,"PASS","NO PASS"))</f>
        <v>PASS</v>
      </c>
    </row>
    <row r="51" spans="1:8" x14ac:dyDescent="0.25">
      <c r="A51" s="1"/>
      <c r="B51" s="1"/>
      <c r="C51" s="1"/>
      <c r="D51" s="1"/>
      <c r="E51" s="1"/>
      <c r="F51" s="1"/>
      <c r="G51" s="1"/>
      <c r="H51" s="1"/>
    </row>
    <row r="52" spans="1:8" x14ac:dyDescent="0.25">
      <c r="A52" s="1"/>
      <c r="B52" s="1"/>
      <c r="C52" s="1"/>
      <c r="D52" s="1"/>
    </row>
    <row r="53" spans="1:8" x14ac:dyDescent="0.25">
      <c r="A53" s="1"/>
      <c r="B53" s="1"/>
      <c r="C53" s="1"/>
      <c r="D53" s="1"/>
    </row>
    <row r="54" spans="1:8" x14ac:dyDescent="0.25">
      <c r="A54" s="1"/>
      <c r="B54" s="1"/>
      <c r="C54" s="1"/>
      <c r="D54" s="1"/>
    </row>
    <row r="55" spans="1:8" x14ac:dyDescent="0.25">
      <c r="A55" s="1"/>
      <c r="B55" s="1"/>
      <c r="C55" s="1"/>
      <c r="D55" s="1"/>
      <c r="E55" s="1"/>
      <c r="F55" s="1"/>
      <c r="G55" s="1"/>
      <c r="H55" s="1"/>
    </row>
    <row r="56" spans="1:8" x14ac:dyDescent="0.25">
      <c r="A56" s="1"/>
      <c r="B56" s="1"/>
      <c r="C56" s="1"/>
      <c r="D56" s="1"/>
      <c r="E56" s="1"/>
      <c r="F56" s="1"/>
      <c r="G56" s="1"/>
      <c r="H56" s="1"/>
    </row>
    <row r="57" spans="1:8" x14ac:dyDescent="0.25">
      <c r="A57" s="1"/>
      <c r="B57" s="1"/>
      <c r="C57" s="1"/>
      <c r="D57" s="1"/>
      <c r="E57" s="1"/>
      <c r="F57" s="1"/>
      <c r="G57" s="1"/>
      <c r="H57" s="1"/>
    </row>
    <row r="58" spans="1:8" x14ac:dyDescent="0.25">
      <c r="A58" s="1"/>
      <c r="B58" s="1"/>
      <c r="C58" s="1"/>
      <c r="D58" s="1"/>
      <c r="E58" s="1"/>
      <c r="F58" s="1"/>
      <c r="G58" s="1"/>
      <c r="H58" s="1"/>
    </row>
    <row r="59" spans="1:8" x14ac:dyDescent="0.25">
      <c r="A59" s="1"/>
      <c r="B59" s="1"/>
      <c r="C59" s="1"/>
      <c r="D59" s="1"/>
      <c r="E59" s="1"/>
      <c r="F59" s="1"/>
      <c r="G59" s="1"/>
      <c r="H59" s="1"/>
    </row>
    <row r="60" spans="1:8" x14ac:dyDescent="0.25">
      <c r="A60" s="1"/>
      <c r="B60" s="1"/>
      <c r="C60" s="1"/>
      <c r="D60" s="1"/>
      <c r="E60" s="1"/>
      <c r="F60" s="1"/>
      <c r="G60" s="1"/>
      <c r="H60" s="1"/>
    </row>
    <row r="61" spans="1:8" x14ac:dyDescent="0.25">
      <c r="A61" s="1"/>
      <c r="B61" s="1"/>
      <c r="C61" s="1"/>
      <c r="D61" s="1"/>
      <c r="E61" s="1"/>
      <c r="F61" s="1"/>
      <c r="G61" s="1"/>
      <c r="H61" s="1"/>
    </row>
    <row r="62" spans="1:8" x14ac:dyDescent="0.25">
      <c r="A62" s="1"/>
      <c r="B62" s="1"/>
      <c r="C62" s="1"/>
      <c r="D62" s="1"/>
      <c r="E62" s="1"/>
      <c r="F62" s="1"/>
      <c r="G62" s="1"/>
      <c r="H62" s="1"/>
    </row>
    <row r="63" spans="1:8" x14ac:dyDescent="0.25">
      <c r="A63" s="1"/>
      <c r="B63" s="1"/>
      <c r="C63" s="1"/>
      <c r="D63" s="1"/>
      <c r="E63" s="1"/>
      <c r="F63" s="1"/>
      <c r="G63" s="1"/>
      <c r="H63" s="1"/>
    </row>
    <row r="64" spans="1:8" x14ac:dyDescent="0.25">
      <c r="A64" s="1"/>
      <c r="B64" s="1"/>
      <c r="C64" s="1"/>
      <c r="D64" s="1"/>
      <c r="E64" s="1"/>
      <c r="F64" s="1"/>
      <c r="G64" s="1"/>
      <c r="H64" s="1"/>
    </row>
  </sheetData>
  <mergeCells count="53">
    <mergeCell ref="B37:D37"/>
    <mergeCell ref="F37:G37"/>
    <mergeCell ref="B39:G39"/>
    <mergeCell ref="B34:D34"/>
    <mergeCell ref="F34:G34"/>
    <mergeCell ref="B35:D35"/>
    <mergeCell ref="F35:G35"/>
    <mergeCell ref="B36:D36"/>
    <mergeCell ref="F36:G36"/>
    <mergeCell ref="B33:D33"/>
    <mergeCell ref="F33:G33"/>
    <mergeCell ref="B26:D26"/>
    <mergeCell ref="F26:G26"/>
    <mergeCell ref="B27:D27"/>
    <mergeCell ref="F27:G27"/>
    <mergeCell ref="B28:D28"/>
    <mergeCell ref="F28:G28"/>
    <mergeCell ref="A30:G30"/>
    <mergeCell ref="B31:D31"/>
    <mergeCell ref="F31:G31"/>
    <mergeCell ref="B32:D32"/>
    <mergeCell ref="F32:G32"/>
    <mergeCell ref="B23:D23"/>
    <mergeCell ref="F23:G23"/>
    <mergeCell ref="B24:D24"/>
    <mergeCell ref="F24:G24"/>
    <mergeCell ref="B25:D25"/>
    <mergeCell ref="F25:G25"/>
    <mergeCell ref="B20:D20"/>
    <mergeCell ref="F20:G20"/>
    <mergeCell ref="B21:D21"/>
    <mergeCell ref="F21:G21"/>
    <mergeCell ref="B22:D22"/>
    <mergeCell ref="F22:G22"/>
    <mergeCell ref="B17:D17"/>
    <mergeCell ref="F17:G17"/>
    <mergeCell ref="B18:D18"/>
    <mergeCell ref="F18:G18"/>
    <mergeCell ref="B19:D19"/>
    <mergeCell ref="F19:G19"/>
    <mergeCell ref="B14:D14"/>
    <mergeCell ref="F14:G14"/>
    <mergeCell ref="B15:D15"/>
    <mergeCell ref="F15:G15"/>
    <mergeCell ref="B16:D16"/>
    <mergeCell ref="F16:G16"/>
    <mergeCell ref="B13:D13"/>
    <mergeCell ref="F13:G13"/>
    <mergeCell ref="C7:E7"/>
    <mergeCell ref="C8:E8"/>
    <mergeCell ref="C9:E9"/>
    <mergeCell ref="C10:E10"/>
    <mergeCell ref="A12:G12"/>
  </mergeCells>
  <conditionalFormatting sqref="G41:G50">
    <cfRule type="cellIs" dxfId="139" priority="103" operator="lessThan">
      <formula>$F$78</formula>
    </cfRule>
    <cfRule type="cellIs" dxfId="138" priority="104" operator="lessThan">
      <formula>0.05</formula>
    </cfRule>
  </conditionalFormatting>
  <conditionalFormatting sqref="G41:G50">
    <cfRule type="cellIs" dxfId="137" priority="107" operator="between">
      <formula>$F$78</formula>
      <formula>$G$78</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4"/>
  <sheetViews>
    <sheetView topLeftCell="A22" workbookViewId="0">
      <selection activeCell="I49" sqref="I49"/>
    </sheetView>
  </sheetViews>
  <sheetFormatPr baseColWidth="10" defaultRowHeight="15" x14ac:dyDescent="0.25"/>
  <cols>
    <col min="1" max="1" width="6" customWidth="1"/>
    <col min="2" max="2" width="22.85546875" customWidth="1"/>
    <col min="3" max="3" width="21.7109375" customWidth="1"/>
    <col min="4" max="4" width="21" customWidth="1"/>
    <col min="5" max="5" width="22.7109375" customWidth="1"/>
    <col min="8" max="8" width="13" customWidth="1"/>
  </cols>
  <sheetData>
    <row r="1" spans="1:11" ht="15" customHeight="1" x14ac:dyDescent="0.25">
      <c r="E1" s="214"/>
    </row>
    <row r="2" spans="1:11" ht="15" customHeight="1" x14ac:dyDescent="0.25">
      <c r="B2" s="403"/>
      <c r="C2" s="403"/>
      <c r="D2" s="403"/>
      <c r="E2" s="215"/>
      <c r="F2" s="403"/>
      <c r="G2" s="403"/>
      <c r="H2" s="403"/>
    </row>
    <row r="3" spans="1:11" ht="15" customHeight="1" x14ac:dyDescent="0.25">
      <c r="B3" s="403"/>
      <c r="C3" s="403"/>
      <c r="D3" s="403"/>
      <c r="E3" s="215"/>
      <c r="F3" s="403"/>
      <c r="G3" s="403"/>
      <c r="H3" s="403"/>
    </row>
    <row r="4" spans="1:11" ht="15" customHeight="1" x14ac:dyDescent="0.25">
      <c r="B4" s="403"/>
      <c r="C4" s="403"/>
      <c r="D4" s="403"/>
      <c r="E4" s="215"/>
      <c r="F4" s="403"/>
      <c r="G4" s="403"/>
      <c r="H4" s="403"/>
    </row>
    <row r="5" spans="1:11" ht="15" customHeight="1" x14ac:dyDescent="0.25">
      <c r="B5" s="403"/>
      <c r="C5" s="403"/>
      <c r="D5" s="403"/>
      <c r="E5" s="215"/>
      <c r="F5" s="403"/>
      <c r="G5" s="403"/>
      <c r="H5" s="403"/>
    </row>
    <row r="6" spans="1:11" ht="15" customHeight="1" x14ac:dyDescent="0.25">
      <c r="B6" s="403"/>
      <c r="C6" s="403"/>
      <c r="D6" s="403"/>
      <c r="E6" s="215"/>
      <c r="F6" s="403"/>
      <c r="G6" s="403"/>
      <c r="H6" s="403"/>
    </row>
    <row r="7" spans="1:11" x14ac:dyDescent="0.25">
      <c r="B7" s="231" t="s">
        <v>157</v>
      </c>
      <c r="C7" s="770" t="str">
        <f>'CARTA DE CONTROL'!B71</f>
        <v xml:space="preserve">ALINEADOR AL PASO </v>
      </c>
      <c r="D7" s="771"/>
      <c r="E7" s="772"/>
    </row>
    <row r="8" spans="1:11" x14ac:dyDescent="0.25">
      <c r="B8" s="231" t="s">
        <v>158</v>
      </c>
      <c r="C8" s="770" t="str">
        <f>'CARTA DE CONTROL'!D71</f>
        <v>VAMAG</v>
      </c>
      <c r="D8" s="771"/>
      <c r="E8" s="772"/>
    </row>
    <row r="9" spans="1:11" x14ac:dyDescent="0.25">
      <c r="B9" s="231" t="s">
        <v>159</v>
      </c>
      <c r="C9" s="770" t="str">
        <f>'CARTA DE CONTROL'!E71</f>
        <v>TRZ</v>
      </c>
      <c r="D9" s="771"/>
      <c r="E9" s="772"/>
    </row>
    <row r="10" spans="1:11" x14ac:dyDescent="0.25">
      <c r="B10" s="231" t="s">
        <v>160</v>
      </c>
      <c r="C10" s="786" t="str">
        <f>'CARTA DE CONTROL'!F71</f>
        <v>TRZM-025</v>
      </c>
      <c r="D10" s="787"/>
      <c r="E10" s="788"/>
    </row>
    <row r="11" spans="1:11" ht="15" customHeight="1" thickBot="1" x14ac:dyDescent="0.3">
      <c r="B11" s="403"/>
      <c r="C11" s="403"/>
      <c r="D11" s="403"/>
      <c r="E11" s="215"/>
      <c r="F11" s="403"/>
      <c r="G11" s="403"/>
      <c r="H11" s="202"/>
      <c r="I11" s="203"/>
      <c r="J11" s="203"/>
      <c r="K11" s="203"/>
    </row>
    <row r="12" spans="1:11" s="190" customFormat="1" ht="34.5" customHeight="1" x14ac:dyDescent="0.2">
      <c r="A12" s="776" t="s">
        <v>127</v>
      </c>
      <c r="B12" s="777"/>
      <c r="C12" s="777"/>
      <c r="D12" s="777"/>
      <c r="E12" s="777"/>
      <c r="F12" s="777"/>
      <c r="G12" s="778"/>
      <c r="H12" s="204"/>
      <c r="I12" s="204"/>
      <c r="J12" s="204"/>
      <c r="K12" s="204"/>
    </row>
    <row r="13" spans="1:11" s="190" customFormat="1" ht="15" customHeight="1" x14ac:dyDescent="0.2">
      <c r="A13" s="207" t="s">
        <v>128</v>
      </c>
      <c r="B13" s="779" t="s">
        <v>129</v>
      </c>
      <c r="C13" s="780"/>
      <c r="D13" s="781"/>
      <c r="E13" s="405" t="s">
        <v>130</v>
      </c>
      <c r="F13" s="782" t="s">
        <v>131</v>
      </c>
      <c r="G13" s="783"/>
      <c r="H13" s="205"/>
      <c r="I13" s="205"/>
      <c r="J13" s="205"/>
      <c r="K13" s="205"/>
    </row>
    <row r="14" spans="1:11" s="1" customFormat="1" ht="35.25" customHeight="1" x14ac:dyDescent="0.2">
      <c r="A14" s="208">
        <v>1</v>
      </c>
      <c r="B14" s="761" t="s">
        <v>132</v>
      </c>
      <c r="C14" s="761"/>
      <c r="D14" s="761"/>
      <c r="E14" s="404" t="s">
        <v>133</v>
      </c>
      <c r="F14" s="762"/>
      <c r="G14" s="763"/>
      <c r="H14" s="206"/>
      <c r="I14" s="206"/>
      <c r="J14" s="206"/>
      <c r="K14" s="206"/>
    </row>
    <row r="15" spans="1:11" s="1" customFormat="1" ht="35.25" customHeight="1" x14ac:dyDescent="0.2">
      <c r="A15" s="208">
        <v>2</v>
      </c>
      <c r="B15" s="761" t="s">
        <v>134</v>
      </c>
      <c r="C15" s="761"/>
      <c r="D15" s="761"/>
      <c r="E15" s="404" t="s">
        <v>133</v>
      </c>
      <c r="F15" s="762"/>
      <c r="G15" s="763"/>
    </row>
    <row r="16" spans="1:11" s="1" customFormat="1" ht="35.25" customHeight="1" x14ac:dyDescent="0.2">
      <c r="A16" s="208">
        <v>3</v>
      </c>
      <c r="B16" s="761" t="s">
        <v>135</v>
      </c>
      <c r="C16" s="761"/>
      <c r="D16" s="761"/>
      <c r="E16" s="404" t="s">
        <v>133</v>
      </c>
      <c r="F16" s="762"/>
      <c r="G16" s="763"/>
    </row>
    <row r="17" spans="1:11" s="1" customFormat="1" ht="35.25" customHeight="1" x14ac:dyDescent="0.2">
      <c r="A17" s="208">
        <v>4</v>
      </c>
      <c r="B17" s="761" t="s">
        <v>136</v>
      </c>
      <c r="C17" s="761"/>
      <c r="D17" s="761"/>
      <c r="E17" s="404" t="s">
        <v>133</v>
      </c>
      <c r="F17" s="784"/>
      <c r="G17" s="785"/>
    </row>
    <row r="18" spans="1:11" s="1" customFormat="1" ht="35.25" customHeight="1" x14ac:dyDescent="0.2">
      <c r="A18" s="208">
        <v>5</v>
      </c>
      <c r="B18" s="761" t="s">
        <v>137</v>
      </c>
      <c r="C18" s="761"/>
      <c r="D18" s="761"/>
      <c r="E18" s="404" t="s">
        <v>133</v>
      </c>
      <c r="F18" s="762"/>
      <c r="G18" s="763"/>
    </row>
    <row r="19" spans="1:11" s="1" customFormat="1" ht="35.25" customHeight="1" x14ac:dyDescent="0.2">
      <c r="A19" s="208">
        <v>6</v>
      </c>
      <c r="B19" s="761" t="s">
        <v>138</v>
      </c>
      <c r="C19" s="761"/>
      <c r="D19" s="761"/>
      <c r="E19" s="404" t="s">
        <v>133</v>
      </c>
      <c r="F19" s="762"/>
      <c r="G19" s="763"/>
    </row>
    <row r="20" spans="1:11" s="1" customFormat="1" ht="35.25" customHeight="1" x14ac:dyDescent="0.2">
      <c r="A20" s="208">
        <v>7</v>
      </c>
      <c r="B20" s="761" t="s">
        <v>139</v>
      </c>
      <c r="C20" s="761"/>
      <c r="D20" s="761"/>
      <c r="E20" s="404" t="s">
        <v>133</v>
      </c>
      <c r="F20" s="762"/>
      <c r="G20" s="763"/>
    </row>
    <row r="21" spans="1:11" s="1" customFormat="1" ht="35.25" customHeight="1" x14ac:dyDescent="0.2">
      <c r="A21" s="208">
        <v>8</v>
      </c>
      <c r="B21" s="761" t="s">
        <v>140</v>
      </c>
      <c r="C21" s="761"/>
      <c r="D21" s="761"/>
      <c r="E21" s="404" t="s">
        <v>133</v>
      </c>
      <c r="F21" s="762"/>
      <c r="G21" s="763"/>
    </row>
    <row r="22" spans="1:11" s="1" customFormat="1" ht="35.25" customHeight="1" x14ac:dyDescent="0.2">
      <c r="A22" s="208">
        <v>9</v>
      </c>
      <c r="B22" s="761" t="s">
        <v>141</v>
      </c>
      <c r="C22" s="761"/>
      <c r="D22" s="761"/>
      <c r="E22" s="404" t="s">
        <v>133</v>
      </c>
      <c r="F22" s="762"/>
      <c r="G22" s="763"/>
    </row>
    <row r="23" spans="1:11" s="1" customFormat="1" ht="35.25" customHeight="1" x14ac:dyDescent="0.2">
      <c r="A23" s="208">
        <v>10</v>
      </c>
      <c r="B23" s="761" t="s">
        <v>142</v>
      </c>
      <c r="C23" s="761"/>
      <c r="D23" s="761"/>
      <c r="E23" s="404" t="s">
        <v>133</v>
      </c>
      <c r="F23" s="762"/>
      <c r="G23" s="763"/>
    </row>
    <row r="24" spans="1:11" s="1" customFormat="1" ht="35.25" customHeight="1" x14ac:dyDescent="0.2">
      <c r="A24" s="208">
        <v>11</v>
      </c>
      <c r="B24" s="761" t="s">
        <v>143</v>
      </c>
      <c r="C24" s="761"/>
      <c r="D24" s="761"/>
      <c r="E24" s="404" t="s">
        <v>133</v>
      </c>
      <c r="F24" s="762"/>
      <c r="G24" s="763"/>
    </row>
    <row r="25" spans="1:11" s="194" customFormat="1" ht="35.25" customHeight="1" x14ac:dyDescent="0.2">
      <c r="A25" s="209">
        <v>12</v>
      </c>
      <c r="B25" s="761" t="s">
        <v>144</v>
      </c>
      <c r="C25" s="761"/>
      <c r="D25" s="761"/>
      <c r="E25" s="193" t="s">
        <v>133</v>
      </c>
      <c r="F25" s="762"/>
      <c r="G25" s="763"/>
    </row>
    <row r="26" spans="1:11" s="1" customFormat="1" ht="35.25" customHeight="1" x14ac:dyDescent="0.2">
      <c r="A26" s="208">
        <v>13</v>
      </c>
      <c r="B26" s="761" t="s">
        <v>145</v>
      </c>
      <c r="C26" s="761"/>
      <c r="D26" s="761"/>
      <c r="E26" s="404" t="s">
        <v>133</v>
      </c>
      <c r="F26" s="762"/>
      <c r="G26" s="763"/>
    </row>
    <row r="27" spans="1:11" s="1" customFormat="1" ht="35.25" customHeight="1" x14ac:dyDescent="0.2">
      <c r="A27" s="208">
        <v>14</v>
      </c>
      <c r="B27" s="761" t="s">
        <v>146</v>
      </c>
      <c r="C27" s="761"/>
      <c r="D27" s="761"/>
      <c r="E27" s="404" t="s">
        <v>133</v>
      </c>
      <c r="F27" s="762"/>
      <c r="G27" s="763"/>
    </row>
    <row r="28" spans="1:11" s="1" customFormat="1" ht="54.75" customHeight="1" thickBot="1" x14ac:dyDescent="0.25">
      <c r="A28" s="210">
        <v>15</v>
      </c>
      <c r="B28" s="764" t="s">
        <v>147</v>
      </c>
      <c r="C28" s="764"/>
      <c r="D28" s="764"/>
      <c r="E28" s="406" t="s">
        <v>133</v>
      </c>
      <c r="F28" s="765"/>
      <c r="G28" s="766"/>
    </row>
    <row r="29" spans="1:11" s="198" customFormat="1" ht="21" customHeight="1" thickBot="1" x14ac:dyDescent="0.25">
      <c r="B29" s="195"/>
      <c r="C29" s="196"/>
      <c r="D29" s="196"/>
      <c r="E29" s="195"/>
      <c r="F29" s="196"/>
      <c r="G29" s="196"/>
      <c r="H29" s="197"/>
      <c r="I29" s="197"/>
    </row>
    <row r="30" spans="1:11" s="219" customFormat="1" ht="15" customHeight="1" x14ac:dyDescent="0.2">
      <c r="A30" s="767" t="s">
        <v>148</v>
      </c>
      <c r="B30" s="768"/>
      <c r="C30" s="768"/>
      <c r="D30" s="768"/>
      <c r="E30" s="768"/>
      <c r="F30" s="768"/>
      <c r="G30" s="769"/>
      <c r="H30" s="222"/>
      <c r="I30" s="223"/>
      <c r="J30" s="223"/>
      <c r="K30" s="223"/>
    </row>
    <row r="31" spans="1:11" s="219" customFormat="1" ht="15" customHeight="1" x14ac:dyDescent="0.2">
      <c r="A31" s="220" t="s">
        <v>128</v>
      </c>
      <c r="B31" s="759" t="s">
        <v>129</v>
      </c>
      <c r="C31" s="759"/>
      <c r="D31" s="759"/>
      <c r="E31" s="407" t="s">
        <v>130</v>
      </c>
      <c r="F31" s="759" t="s">
        <v>131</v>
      </c>
      <c r="G31" s="760"/>
      <c r="H31" s="224"/>
      <c r="I31" s="225"/>
      <c r="J31" s="225"/>
      <c r="K31" s="225"/>
    </row>
    <row r="32" spans="1:11" s="1" customFormat="1" ht="55.5" customHeight="1" x14ac:dyDescent="0.2">
      <c r="A32" s="216">
        <v>1</v>
      </c>
      <c r="B32" s="754" t="s">
        <v>149</v>
      </c>
      <c r="C32" s="754"/>
      <c r="D32" s="754"/>
      <c r="E32" s="199" t="s">
        <v>150</v>
      </c>
      <c r="F32" s="755"/>
      <c r="G32" s="756"/>
      <c r="H32" s="226"/>
      <c r="I32" s="206"/>
      <c r="J32" s="206"/>
      <c r="K32" s="206"/>
    </row>
    <row r="33" spans="1:7" s="1" customFormat="1" ht="25.5" customHeight="1" x14ac:dyDescent="0.2">
      <c r="A33" s="216">
        <v>2</v>
      </c>
      <c r="B33" s="754" t="s">
        <v>151</v>
      </c>
      <c r="C33" s="754"/>
      <c r="D33" s="754"/>
      <c r="E33" s="199" t="s">
        <v>150</v>
      </c>
      <c r="F33" s="755"/>
      <c r="G33" s="756"/>
    </row>
    <row r="34" spans="1:7" s="1" customFormat="1" ht="25.5" customHeight="1" x14ac:dyDescent="0.2">
      <c r="A34" s="216">
        <v>3</v>
      </c>
      <c r="B34" s="754" t="s">
        <v>152</v>
      </c>
      <c r="C34" s="754"/>
      <c r="D34" s="754"/>
      <c r="E34" s="199" t="s">
        <v>150</v>
      </c>
      <c r="F34" s="755"/>
      <c r="G34" s="756"/>
    </row>
    <row r="35" spans="1:7" s="1" customFormat="1" ht="25.5" customHeight="1" x14ac:dyDescent="0.2">
      <c r="A35" s="216">
        <v>4</v>
      </c>
      <c r="B35" s="754" t="s">
        <v>153</v>
      </c>
      <c r="C35" s="754"/>
      <c r="D35" s="754"/>
      <c r="E35" s="199" t="s">
        <v>154</v>
      </c>
      <c r="F35" s="755"/>
      <c r="G35" s="756"/>
    </row>
    <row r="36" spans="1:7" s="1" customFormat="1" ht="25.5" customHeight="1" x14ac:dyDescent="0.2">
      <c r="A36" s="216">
        <v>5</v>
      </c>
      <c r="B36" s="754" t="s">
        <v>155</v>
      </c>
      <c r="C36" s="754"/>
      <c r="D36" s="754"/>
      <c r="E36" s="199" t="s">
        <v>154</v>
      </c>
      <c r="F36" s="757"/>
      <c r="G36" s="758"/>
    </row>
    <row r="37" spans="1:7" s="1" customFormat="1" ht="25.5" customHeight="1" thickBot="1" x14ac:dyDescent="0.25">
      <c r="A37" s="217">
        <v>6</v>
      </c>
      <c r="B37" s="748" t="s">
        <v>156</v>
      </c>
      <c r="C37" s="748"/>
      <c r="D37" s="748"/>
      <c r="E37" s="218" t="s">
        <v>154</v>
      </c>
      <c r="F37" s="749"/>
      <c r="G37" s="750"/>
    </row>
    <row r="38" spans="1:7" s="1" customFormat="1" ht="25.5" customHeight="1" thickBot="1" x14ac:dyDescent="0.25">
      <c r="A38" s="195"/>
      <c r="B38" s="196"/>
      <c r="C38" s="196"/>
      <c r="D38" s="196"/>
      <c r="E38" s="197"/>
      <c r="F38" s="334"/>
      <c r="G38" s="334"/>
    </row>
    <row r="39" spans="1:7" ht="15.75" thickBot="1" x14ac:dyDescent="0.3">
      <c r="B39" s="751" t="s">
        <v>166</v>
      </c>
      <c r="C39" s="752"/>
      <c r="D39" s="752"/>
      <c r="E39" s="752"/>
      <c r="F39" s="752"/>
      <c r="G39" s="753"/>
    </row>
    <row r="40" spans="1:7" ht="79.5" thickBot="1" x14ac:dyDescent="0.3">
      <c r="B40" s="2" t="s">
        <v>194</v>
      </c>
      <c r="C40" s="11" t="s">
        <v>195</v>
      </c>
      <c r="D40" s="11" t="s">
        <v>196</v>
      </c>
      <c r="E40" s="2" t="s">
        <v>197</v>
      </c>
      <c r="F40" s="2" t="s">
        <v>198</v>
      </c>
      <c r="G40" s="21" t="s">
        <v>96</v>
      </c>
    </row>
    <row r="41" spans="1:7" ht="15.75" thickBot="1" x14ac:dyDescent="0.3">
      <c r="B41" s="3">
        <f>'CARTA DE CONTROL'!R71</f>
        <v>-0.06</v>
      </c>
      <c r="C41" s="4">
        <f>'CARTA DE CONTROL'!AR71</f>
        <v>0.15</v>
      </c>
      <c r="D41" s="4">
        <f>'CARTA DE CONTROL'!AS71</f>
        <v>-0.03</v>
      </c>
      <c r="E41" s="6">
        <f>'CARTA DE CONTROL'!I71</f>
        <v>1</v>
      </c>
      <c r="F41" s="7">
        <f>-('CARTA DE CONTROL'!I71)</f>
        <v>-1</v>
      </c>
      <c r="G41" s="5" t="str">
        <f>IF(C41&lt;=1,IF(D41&gt;=-1,"PASS","NO PASS"))</f>
        <v>PASS</v>
      </c>
    </row>
    <row r="42" spans="1:7" ht="15.75" thickBot="1" x14ac:dyDescent="0.3">
      <c r="B42" s="3">
        <f>'CARTA DE CONTROL'!R72</f>
        <v>-3.8570000000000002</v>
      </c>
      <c r="C42" s="4">
        <f>'CARTA DE CONTROL'!AR72</f>
        <v>-0.1089999999999994</v>
      </c>
      <c r="D42" s="4">
        <f>'CARTA DE CONTROL'!AS72</f>
        <v>-0.29699999999999938</v>
      </c>
      <c r="E42" s="6">
        <f>'CARTA DE CONTROL'!I72</f>
        <v>1</v>
      </c>
      <c r="F42" s="7">
        <f>-('CARTA DE CONTROL'!I72)</f>
        <v>-1</v>
      </c>
      <c r="G42" s="5" t="str">
        <f t="shared" ref="G42:G51" si="0">IF(C42&lt;=1,IF(D42&gt;=-1,"PASS","NO PASS"))</f>
        <v>PASS</v>
      </c>
    </row>
    <row r="43" spans="1:7" ht="15.75" thickBot="1" x14ac:dyDescent="0.3">
      <c r="B43" s="3">
        <f>'CARTA DE CONTROL'!R73</f>
        <v>-8.2170000000000005</v>
      </c>
      <c r="C43" s="4">
        <f>'CARTA DE CONTROL'!AR73</f>
        <v>-0.18299999999999969</v>
      </c>
      <c r="D43" s="4">
        <f>'CARTA DE CONTROL'!AS73</f>
        <v>-0.36299999999999966</v>
      </c>
      <c r="E43" s="6">
        <f>'CARTA DE CONTROL'!I73</f>
        <v>1</v>
      </c>
      <c r="F43" s="7">
        <f>-('CARTA DE CONTROL'!I73)</f>
        <v>-1</v>
      </c>
      <c r="G43" s="5" t="str">
        <f t="shared" si="0"/>
        <v>PASS</v>
      </c>
    </row>
    <row r="44" spans="1:7" ht="15.75" thickBot="1" x14ac:dyDescent="0.3">
      <c r="B44" s="3">
        <f>'CARTA DE CONTROL'!R74</f>
        <v>-11.054</v>
      </c>
      <c r="C44" s="4">
        <f>'CARTA DE CONTROL'!AR74</f>
        <v>0.52700000000000102</v>
      </c>
      <c r="D44" s="4">
        <f>'CARTA DE CONTROL'!AS74</f>
        <v>0.34100000000000108</v>
      </c>
      <c r="E44" s="6">
        <f>'CARTA DE CONTROL'!I74</f>
        <v>1</v>
      </c>
      <c r="F44" s="7">
        <f>-('CARTA DE CONTROL'!I74)</f>
        <v>-1</v>
      </c>
      <c r="G44" s="5" t="str">
        <f t="shared" si="0"/>
        <v>PASS</v>
      </c>
    </row>
    <row r="45" spans="1:7" ht="15.75" thickBot="1" x14ac:dyDescent="0.3">
      <c r="B45" s="3">
        <f>'CARTA DE CONTROL'!R75</f>
        <v>-15.041</v>
      </c>
      <c r="C45" s="4">
        <f>'CARTA DE CONTROL'!AR75</f>
        <v>2.6000000000000939E-2</v>
      </c>
      <c r="D45" s="4">
        <f>'CARTA DE CONTROL'!AS75</f>
        <v>-0.16399999999999906</v>
      </c>
      <c r="E45" s="6">
        <f>'CARTA DE CONTROL'!I75</f>
        <v>1</v>
      </c>
      <c r="F45" s="7">
        <f>-('CARTA DE CONTROL'!I75)</f>
        <v>-1</v>
      </c>
      <c r="G45" s="5" t="str">
        <f t="shared" si="0"/>
        <v>PASS</v>
      </c>
    </row>
    <row r="46" spans="1:7" ht="15.75" thickBot="1" x14ac:dyDescent="0.3">
      <c r="B46" s="3">
        <f>'CARTA DE CONTROL'!R76</f>
        <v>8.0000000000000002E-3</v>
      </c>
      <c r="C46" s="4">
        <f>'CARTA DE CONTROL'!AR76</f>
        <v>8.299999999999999E-2</v>
      </c>
      <c r="D46" s="4">
        <f>'CARTA DE CONTROL'!AS76</f>
        <v>-9.9000000000000005E-2</v>
      </c>
      <c r="E46" s="6">
        <f>'CARTA DE CONTROL'!I76</f>
        <v>1</v>
      </c>
      <c r="F46" s="7">
        <f>-('CARTA DE CONTROL'!I76)</f>
        <v>-1</v>
      </c>
      <c r="G46" s="5" t="str">
        <f t="shared" si="0"/>
        <v>PASS</v>
      </c>
    </row>
    <row r="47" spans="1:7" ht="15.75" thickBot="1" x14ac:dyDescent="0.3">
      <c r="B47" s="3">
        <f>'CARTA DE CONTROL'!R77</f>
        <v>2.5470000000000002</v>
      </c>
      <c r="C47" s="4">
        <f>'CARTA DE CONTROL'!AR77</f>
        <v>0.5519999999999996</v>
      </c>
      <c r="D47" s="4">
        <f>'CARTA DE CONTROL'!AS77</f>
        <v>0.37399999999999967</v>
      </c>
      <c r="E47" s="6">
        <f>'CARTA DE CONTROL'!I77</f>
        <v>1</v>
      </c>
      <c r="F47" s="7">
        <f>-('CARTA DE CONTROL'!I77)</f>
        <v>-1</v>
      </c>
      <c r="G47" s="5" t="str">
        <f t="shared" si="0"/>
        <v>PASS</v>
      </c>
    </row>
    <row r="48" spans="1:7" ht="15.75" thickBot="1" x14ac:dyDescent="0.3">
      <c r="B48" s="3">
        <f>'CARTA DE CONTROL'!R78</f>
        <v>4.6959999999999997</v>
      </c>
      <c r="C48" s="4">
        <f>'CARTA DE CONTROL'!AR78</f>
        <v>0.51400000000000035</v>
      </c>
      <c r="D48" s="4">
        <f>'CARTA DE CONTROL'!AS78</f>
        <v>0.33400000000000041</v>
      </c>
      <c r="E48" s="6">
        <f>'CARTA DE CONTROL'!I78</f>
        <v>1</v>
      </c>
      <c r="F48" s="7">
        <f>-('CARTA DE CONTROL'!I78)</f>
        <v>-1</v>
      </c>
      <c r="G48" s="5" t="str">
        <f t="shared" si="0"/>
        <v>PASS</v>
      </c>
    </row>
    <row r="49" spans="1:8" ht="15.75" thickBot="1" x14ac:dyDescent="0.3">
      <c r="B49" s="3">
        <f>'CARTA DE CONTROL'!R79</f>
        <v>8.2850000000000001</v>
      </c>
      <c r="C49" s="4">
        <f>'CARTA DE CONTROL'!AR79</f>
        <v>0.34999999999999898</v>
      </c>
      <c r="D49" s="4">
        <f>'CARTA DE CONTROL'!AS79</f>
        <v>0.159999999999999</v>
      </c>
      <c r="E49" s="6">
        <f>'CARTA DE CONTROL'!I79</f>
        <v>1</v>
      </c>
      <c r="F49" s="7">
        <f>-('CARTA DE CONTROL'!I79)</f>
        <v>-1</v>
      </c>
      <c r="G49" s="5" t="str">
        <f t="shared" si="0"/>
        <v>PASS</v>
      </c>
    </row>
    <row r="50" spans="1:8" ht="15.75" thickBot="1" x14ac:dyDescent="0.3">
      <c r="B50" s="3">
        <f>'CARTA DE CONTROL'!R80</f>
        <v>12.007999999999999</v>
      </c>
      <c r="C50" s="4">
        <f>'CARTA DE CONTROL'!AR80</f>
        <v>0.23300000000000123</v>
      </c>
      <c r="D50" s="4">
        <f>'CARTA DE CONTROL'!AS80</f>
        <v>5.1000000000001239E-2</v>
      </c>
      <c r="E50" s="6">
        <f>'CARTA DE CONTROL'!I80</f>
        <v>1</v>
      </c>
      <c r="F50" s="7">
        <f>-('CARTA DE CONTROL'!I80)</f>
        <v>-1</v>
      </c>
      <c r="G50" s="5" t="str">
        <f t="shared" si="0"/>
        <v>PASS</v>
      </c>
    </row>
    <row r="51" spans="1:8" ht="15.75" thickBot="1" x14ac:dyDescent="0.3">
      <c r="A51" s="1"/>
      <c r="B51" s="3">
        <f>'CARTA DE CONTROL'!R81</f>
        <v>14.962999999999999</v>
      </c>
      <c r="C51" s="4">
        <f>'CARTA DE CONTROL'!AR81</f>
        <v>-0.35999999999999943</v>
      </c>
      <c r="D51" s="4">
        <f>'CARTA DE CONTROL'!AS81</f>
        <v>-0.54599999999999937</v>
      </c>
      <c r="E51" s="6">
        <f>'CARTA DE CONTROL'!I81</f>
        <v>1</v>
      </c>
      <c r="F51" s="7">
        <f>-('CARTA DE CONTROL'!I81)</f>
        <v>-1</v>
      </c>
      <c r="G51" s="5" t="str">
        <f t="shared" si="0"/>
        <v>PASS</v>
      </c>
      <c r="H51" s="1"/>
    </row>
    <row r="52" spans="1:8" x14ac:dyDescent="0.25">
      <c r="A52" s="1"/>
      <c r="B52" s="1"/>
      <c r="C52" s="1"/>
      <c r="D52" s="1"/>
    </row>
    <row r="53" spans="1:8" x14ac:dyDescent="0.25">
      <c r="A53" s="1"/>
      <c r="B53" s="1"/>
      <c r="C53" s="1"/>
      <c r="D53" s="1"/>
    </row>
    <row r="54" spans="1:8" x14ac:dyDescent="0.25">
      <c r="A54" s="1"/>
      <c r="B54" s="1"/>
      <c r="C54" s="1"/>
      <c r="D54" s="1"/>
    </row>
    <row r="55" spans="1:8" x14ac:dyDescent="0.25">
      <c r="A55" s="1"/>
      <c r="B55" s="1"/>
      <c r="C55" s="1"/>
      <c r="D55" s="1"/>
      <c r="E55" s="1"/>
      <c r="F55" s="1"/>
      <c r="G55" s="1"/>
      <c r="H55" s="1"/>
    </row>
    <row r="56" spans="1:8" x14ac:dyDescent="0.25">
      <c r="A56" s="1"/>
      <c r="B56" s="1"/>
      <c r="C56" s="1"/>
      <c r="D56" s="1"/>
      <c r="E56" s="1"/>
      <c r="F56" s="1"/>
      <c r="G56" s="1"/>
      <c r="H56" s="1"/>
    </row>
    <row r="57" spans="1:8" x14ac:dyDescent="0.25">
      <c r="A57" s="1"/>
      <c r="B57" s="1"/>
      <c r="C57" s="1"/>
      <c r="D57" s="1"/>
      <c r="E57" s="1"/>
      <c r="F57" s="1"/>
      <c r="G57" s="1"/>
      <c r="H57" s="1"/>
    </row>
    <row r="58" spans="1:8" x14ac:dyDescent="0.25">
      <c r="A58" s="1"/>
      <c r="B58" s="1"/>
      <c r="C58" s="1"/>
      <c r="D58" s="1"/>
      <c r="E58" s="1"/>
      <c r="F58" s="1"/>
      <c r="G58" s="1"/>
      <c r="H58" s="1"/>
    </row>
    <row r="59" spans="1:8" x14ac:dyDescent="0.25">
      <c r="A59" s="1"/>
      <c r="B59" s="1"/>
      <c r="C59" s="1"/>
      <c r="D59" s="1"/>
      <c r="E59" s="1"/>
      <c r="F59" s="1"/>
      <c r="G59" s="1"/>
      <c r="H59" s="1"/>
    </row>
    <row r="60" spans="1:8" x14ac:dyDescent="0.25">
      <c r="A60" s="1"/>
      <c r="B60" s="1"/>
      <c r="C60" s="1"/>
      <c r="D60" s="1"/>
      <c r="E60" s="1"/>
      <c r="F60" s="1"/>
      <c r="G60" s="1"/>
      <c r="H60" s="1"/>
    </row>
    <row r="61" spans="1:8" x14ac:dyDescent="0.25">
      <c r="A61" s="1"/>
      <c r="B61" s="1"/>
      <c r="C61" s="1"/>
      <c r="D61" s="1"/>
      <c r="E61" s="1"/>
      <c r="F61" s="1"/>
      <c r="G61" s="1"/>
      <c r="H61" s="1"/>
    </row>
    <row r="62" spans="1:8" x14ac:dyDescent="0.25">
      <c r="A62" s="1"/>
      <c r="B62" s="1"/>
      <c r="C62" s="1"/>
      <c r="D62" s="1"/>
      <c r="E62" s="1"/>
      <c r="F62" s="1"/>
      <c r="G62" s="1"/>
      <c r="H62" s="1"/>
    </row>
    <row r="63" spans="1:8" x14ac:dyDescent="0.25">
      <c r="A63" s="1"/>
      <c r="B63" s="1"/>
      <c r="C63" s="1"/>
      <c r="D63" s="1"/>
      <c r="E63" s="1"/>
      <c r="F63" s="1"/>
      <c r="G63" s="1"/>
      <c r="H63" s="1"/>
    </row>
    <row r="64" spans="1:8" x14ac:dyDescent="0.25">
      <c r="A64" s="1"/>
      <c r="B64" s="1"/>
      <c r="C64" s="1"/>
      <c r="D64" s="1"/>
      <c r="E64" s="1"/>
      <c r="F64" s="1"/>
      <c r="G64" s="1"/>
      <c r="H64" s="1"/>
    </row>
  </sheetData>
  <mergeCells count="53">
    <mergeCell ref="B37:D37"/>
    <mergeCell ref="F37:G37"/>
    <mergeCell ref="B39:G39"/>
    <mergeCell ref="B34:D34"/>
    <mergeCell ref="F34:G34"/>
    <mergeCell ref="B35:D35"/>
    <mergeCell ref="F35:G35"/>
    <mergeCell ref="B36:D36"/>
    <mergeCell ref="F36:G36"/>
    <mergeCell ref="B33:D33"/>
    <mergeCell ref="F33:G33"/>
    <mergeCell ref="B26:D26"/>
    <mergeCell ref="F26:G26"/>
    <mergeCell ref="B27:D27"/>
    <mergeCell ref="F27:G27"/>
    <mergeCell ref="B28:D28"/>
    <mergeCell ref="F28:G28"/>
    <mergeCell ref="A30:G30"/>
    <mergeCell ref="B31:D31"/>
    <mergeCell ref="F31:G31"/>
    <mergeCell ref="B32:D32"/>
    <mergeCell ref="F32:G32"/>
    <mergeCell ref="B23:D23"/>
    <mergeCell ref="F23:G23"/>
    <mergeCell ref="B24:D24"/>
    <mergeCell ref="F24:G24"/>
    <mergeCell ref="B25:D25"/>
    <mergeCell ref="F25:G25"/>
    <mergeCell ref="B20:D20"/>
    <mergeCell ref="F20:G20"/>
    <mergeCell ref="B21:D21"/>
    <mergeCell ref="F21:G21"/>
    <mergeCell ref="B22:D22"/>
    <mergeCell ref="F22:G22"/>
    <mergeCell ref="B17:D17"/>
    <mergeCell ref="F17:G17"/>
    <mergeCell ref="B18:D18"/>
    <mergeCell ref="F18:G18"/>
    <mergeCell ref="B19:D19"/>
    <mergeCell ref="F19:G19"/>
    <mergeCell ref="B14:D14"/>
    <mergeCell ref="F14:G14"/>
    <mergeCell ref="B15:D15"/>
    <mergeCell ref="F15:G15"/>
    <mergeCell ref="B16:D16"/>
    <mergeCell ref="F16:G16"/>
    <mergeCell ref="B13:D13"/>
    <mergeCell ref="F13:G13"/>
    <mergeCell ref="C7:E7"/>
    <mergeCell ref="C8:E8"/>
    <mergeCell ref="C9:E9"/>
    <mergeCell ref="C10:E10"/>
    <mergeCell ref="A12:G12"/>
  </mergeCells>
  <conditionalFormatting sqref="G41:G51">
    <cfRule type="cellIs" dxfId="136" priority="1" operator="lessThan">
      <formula>$F$78</formula>
    </cfRule>
    <cfRule type="cellIs" dxfId="135" priority="2" operator="lessThan">
      <formula>0.05</formula>
    </cfRule>
  </conditionalFormatting>
  <conditionalFormatting sqref="G41:G51">
    <cfRule type="cellIs" dxfId="134" priority="3" operator="between">
      <formula>$F$78</formula>
      <formula>$G$78</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23</vt:i4>
      </vt:variant>
    </vt:vector>
  </HeadingPairs>
  <TitlesOfParts>
    <vt:vector size="23" baseType="lpstr">
      <vt:lpstr>CARTA DE CONTROL</vt:lpstr>
      <vt:lpstr>MONOXIDO (CO)  </vt:lpstr>
      <vt:lpstr>DIOXIDO (CO2)  </vt:lpstr>
      <vt:lpstr>HIDROCARBUROS (HC) </vt:lpstr>
      <vt:lpstr>OXIGENO (O2) </vt:lpstr>
      <vt:lpstr>TEMPERATURA (TEM) </vt:lpstr>
      <vt:lpstr>VIBRACION RPM</vt:lpstr>
      <vt:lpstr>BATERIA RPM </vt:lpstr>
      <vt:lpstr>ALINEADOR AL PASO</vt:lpstr>
      <vt:lpstr>SUSPENSION</vt:lpstr>
      <vt:lpstr>FRENOMETRO (FUERZA)</vt:lpstr>
      <vt:lpstr>FRENOMETRO (PESO)</vt:lpstr>
      <vt:lpstr>OPACIMETRO</vt:lpstr>
      <vt:lpstr>LUXOMETRO (INTENSIDAD)</vt:lpstr>
      <vt:lpstr>LUXOMETRO (INCLINACION)</vt:lpstr>
      <vt:lpstr>PROFUNDIMETRO</vt:lpstr>
      <vt:lpstr>SONOMETRO</vt:lpstr>
      <vt:lpstr>REVOLUCIONES POR MINUTO 2T</vt:lpstr>
      <vt:lpstr>TEMPERATURA (TEM) 2T</vt:lpstr>
      <vt:lpstr>MONOXIDO (CO) 2T</vt:lpstr>
      <vt:lpstr>DIOXIDO (CO2) 2T</vt:lpstr>
      <vt:lpstr>HIDROCARBUROS (HC) 2T </vt:lpstr>
      <vt:lpstr>OXIGENO (O2) 2T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CITB</cp:lastModifiedBy>
  <cp:lastPrinted>2021-09-22T18:28:49Z</cp:lastPrinted>
  <dcterms:created xsi:type="dcterms:W3CDTF">2016-03-20T03:06:20Z</dcterms:created>
  <dcterms:modified xsi:type="dcterms:W3CDTF">2021-10-07T16:45:17Z</dcterms:modified>
</cp:coreProperties>
</file>